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2 NIRS Requests\22-351 N38443 and N833CA\"/>
    </mc:Choice>
  </mc:AlternateContent>
  <bookViews>
    <workbookView xWindow="0" yWindow="0" windowWidth="23040" windowHeight="9192"/>
  </bookViews>
  <sheets>
    <sheet name="20220616_AB63B2_486791973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BW2" i="1"/>
  <c r="A3" i="1"/>
  <c r="C3" i="1"/>
  <c r="S3" i="1"/>
  <c r="T3" i="1"/>
  <c r="U3" i="1"/>
  <c r="BB3" i="1"/>
  <c r="BW3" i="1"/>
  <c r="A4" i="1"/>
  <c r="C4" i="1"/>
  <c r="S4" i="1"/>
  <c r="T4" i="1"/>
  <c r="U4" i="1"/>
  <c r="BB4" i="1"/>
  <c r="BW4" i="1"/>
  <c r="A5" i="1"/>
  <c r="C5" i="1"/>
  <c r="S5" i="1"/>
  <c r="T5" i="1"/>
  <c r="U5" i="1"/>
  <c r="BB5" i="1"/>
  <c r="BW5" i="1"/>
  <c r="A6" i="1"/>
  <c r="C6" i="1"/>
  <c r="S6" i="1"/>
  <c r="T6" i="1"/>
  <c r="U6" i="1"/>
  <c r="BB6" i="1"/>
  <c r="BW6" i="1"/>
  <c r="A7" i="1"/>
  <c r="C7" i="1"/>
  <c r="S7" i="1"/>
  <c r="T7" i="1"/>
  <c r="U7" i="1"/>
  <c r="BB7" i="1"/>
  <c r="BW7" i="1"/>
  <c r="A8" i="1"/>
  <c r="C8" i="1"/>
  <c r="S8" i="1"/>
  <c r="T8" i="1"/>
  <c r="U8" i="1"/>
  <c r="BB8" i="1"/>
  <c r="BW8" i="1"/>
  <c r="A9" i="1"/>
  <c r="C9" i="1"/>
  <c r="S9" i="1"/>
  <c r="T9" i="1"/>
  <c r="U9" i="1"/>
  <c r="BB9" i="1"/>
  <c r="BW9" i="1"/>
  <c r="A10" i="1"/>
  <c r="C10" i="1"/>
  <c r="S10" i="1"/>
  <c r="T10" i="1"/>
  <c r="U10" i="1"/>
  <c r="BB10" i="1"/>
  <c r="BW10" i="1"/>
  <c r="A11" i="1"/>
  <c r="C11" i="1"/>
  <c r="S11" i="1"/>
  <c r="T11" i="1"/>
  <c r="U11" i="1"/>
  <c r="BB11" i="1"/>
  <c r="BW11" i="1"/>
  <c r="A12" i="1"/>
  <c r="C12" i="1"/>
  <c r="S12" i="1"/>
  <c r="T12" i="1"/>
  <c r="U12" i="1"/>
  <c r="BB12" i="1"/>
  <c r="BW12" i="1"/>
  <c r="A13" i="1"/>
  <c r="C13" i="1"/>
  <c r="S13" i="1"/>
  <c r="T13" i="1"/>
  <c r="U13" i="1"/>
  <c r="BB13" i="1"/>
  <c r="BW13" i="1"/>
  <c r="A14" i="1"/>
  <c r="C14" i="1"/>
  <c r="S14" i="1"/>
  <c r="T14" i="1"/>
  <c r="U14" i="1"/>
  <c r="BB14" i="1"/>
  <c r="BW14" i="1"/>
  <c r="A15" i="1"/>
  <c r="C15" i="1"/>
  <c r="S15" i="1"/>
  <c r="T15" i="1"/>
  <c r="U15" i="1"/>
  <c r="BB15" i="1"/>
  <c r="BW15" i="1"/>
  <c r="A16" i="1"/>
  <c r="C16" i="1"/>
  <c r="S16" i="1"/>
  <c r="T16" i="1"/>
  <c r="U16" i="1"/>
  <c r="BB16" i="1"/>
  <c r="BW16" i="1"/>
  <c r="A17" i="1"/>
  <c r="C17" i="1"/>
  <c r="S17" i="1"/>
  <c r="T17" i="1"/>
  <c r="U17" i="1"/>
  <c r="BB17" i="1"/>
  <c r="BW17" i="1"/>
  <c r="A18" i="1"/>
  <c r="C18" i="1"/>
  <c r="S18" i="1"/>
  <c r="T18" i="1"/>
  <c r="U18" i="1"/>
  <c r="BB18" i="1"/>
  <c r="BW18" i="1"/>
  <c r="A19" i="1"/>
  <c r="C19" i="1"/>
  <c r="S19" i="1"/>
  <c r="T19" i="1"/>
  <c r="U19" i="1"/>
  <c r="BB19" i="1"/>
  <c r="BW19" i="1"/>
  <c r="A20" i="1"/>
  <c r="C20" i="1"/>
  <c r="S20" i="1"/>
  <c r="T20" i="1"/>
  <c r="U20" i="1"/>
  <c r="BB20" i="1"/>
  <c r="BW20" i="1"/>
  <c r="A21" i="1"/>
  <c r="C21" i="1"/>
  <c r="S21" i="1"/>
  <c r="T21" i="1"/>
  <c r="U21" i="1"/>
  <c r="BB21" i="1"/>
  <c r="BW21" i="1"/>
  <c r="A22" i="1"/>
  <c r="C22" i="1"/>
  <c r="S22" i="1"/>
  <c r="T22" i="1"/>
  <c r="U22" i="1"/>
  <c r="BB22" i="1"/>
  <c r="BW22" i="1"/>
  <c r="A23" i="1"/>
  <c r="C23" i="1"/>
  <c r="S23" i="1"/>
  <c r="T23" i="1"/>
  <c r="U23" i="1"/>
  <c r="BB23" i="1"/>
  <c r="BW23" i="1"/>
  <c r="A24" i="1"/>
  <c r="C24" i="1"/>
  <c r="S24" i="1"/>
  <c r="T24" i="1"/>
  <c r="U24" i="1"/>
  <c r="BB24" i="1"/>
  <c r="BW24" i="1"/>
  <c r="A25" i="1"/>
  <c r="C25" i="1"/>
  <c r="S25" i="1"/>
  <c r="T25" i="1"/>
  <c r="U25" i="1"/>
  <c r="BB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B62" i="1"/>
  <c r="BW62" i="1"/>
  <c r="A63" i="1"/>
  <c r="C63" i="1"/>
  <c r="S63" i="1"/>
  <c r="T63" i="1"/>
  <c r="U63" i="1"/>
  <c r="BB63" i="1"/>
  <c r="BW63" i="1"/>
  <c r="A64" i="1"/>
  <c r="C64" i="1"/>
  <c r="S64" i="1"/>
  <c r="T64" i="1"/>
  <c r="U64" i="1"/>
  <c r="BB64" i="1"/>
  <c r="BW64" i="1"/>
  <c r="A65" i="1"/>
  <c r="C65" i="1"/>
  <c r="S65" i="1"/>
  <c r="T65" i="1"/>
  <c r="U65" i="1"/>
  <c r="BB65" i="1"/>
  <c r="BW65" i="1"/>
  <c r="A66" i="1"/>
  <c r="C66" i="1"/>
  <c r="S66" i="1"/>
  <c r="T66" i="1"/>
  <c r="U66" i="1"/>
  <c r="BB66" i="1"/>
  <c r="BW66" i="1"/>
  <c r="A67" i="1"/>
  <c r="C67" i="1"/>
  <c r="S67" i="1"/>
  <c r="T67" i="1"/>
  <c r="U67" i="1"/>
  <c r="BB67" i="1"/>
  <c r="BW67" i="1"/>
  <c r="A68" i="1"/>
  <c r="C68" i="1"/>
  <c r="S68" i="1"/>
  <c r="T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T72" i="1"/>
  <c r="U72" i="1"/>
  <c r="BB72" i="1"/>
  <c r="BW72" i="1"/>
  <c r="A73" i="1"/>
  <c r="C73" i="1"/>
  <c r="S73" i="1"/>
  <c r="T73" i="1"/>
  <c r="U73" i="1"/>
  <c r="BB73" i="1"/>
  <c r="BW73" i="1"/>
  <c r="A74" i="1"/>
  <c r="C74" i="1"/>
  <c r="S74" i="1"/>
  <c r="T74" i="1"/>
  <c r="U74" i="1"/>
  <c r="BB74" i="1"/>
  <c r="BW74" i="1"/>
  <c r="A75" i="1"/>
  <c r="C75" i="1"/>
  <c r="S75" i="1"/>
  <c r="T75" i="1"/>
  <c r="U75" i="1"/>
  <c r="BB75" i="1"/>
  <c r="BW75" i="1"/>
  <c r="A76" i="1"/>
  <c r="C76" i="1"/>
  <c r="S76" i="1"/>
  <c r="T76" i="1"/>
  <c r="U76" i="1"/>
  <c r="BB76" i="1"/>
  <c r="BW76" i="1"/>
  <c r="A77" i="1"/>
  <c r="C77" i="1"/>
  <c r="S77" i="1"/>
  <c r="T77" i="1"/>
  <c r="U77" i="1"/>
  <c r="BB77" i="1"/>
  <c r="BW77" i="1"/>
  <c r="A78" i="1"/>
  <c r="C78" i="1"/>
  <c r="S78" i="1"/>
  <c r="T78" i="1"/>
  <c r="U78" i="1"/>
  <c r="BB78" i="1"/>
  <c r="BW78" i="1"/>
  <c r="A79" i="1"/>
  <c r="C79" i="1"/>
  <c r="S79" i="1"/>
  <c r="T79" i="1"/>
  <c r="U79" i="1"/>
  <c r="BB79" i="1"/>
  <c r="BW79" i="1"/>
  <c r="A80" i="1"/>
  <c r="C80" i="1"/>
  <c r="S80" i="1"/>
  <c r="T80" i="1"/>
  <c r="U80" i="1"/>
  <c r="BB80" i="1"/>
  <c r="BW80" i="1"/>
  <c r="A81" i="1"/>
  <c r="C81" i="1"/>
  <c r="S81" i="1"/>
  <c r="T81" i="1"/>
  <c r="U81" i="1"/>
  <c r="BB81" i="1"/>
  <c r="BW81" i="1"/>
  <c r="A82" i="1"/>
  <c r="C82" i="1"/>
  <c r="S82" i="1"/>
  <c r="T82" i="1"/>
  <c r="U82" i="1"/>
  <c r="BB82" i="1"/>
  <c r="BW82" i="1"/>
  <c r="A83" i="1"/>
  <c r="C83" i="1"/>
  <c r="S83" i="1"/>
  <c r="T83" i="1"/>
  <c r="U83" i="1"/>
  <c r="BB83" i="1"/>
  <c r="BW83" i="1"/>
  <c r="A84" i="1"/>
  <c r="C84" i="1"/>
  <c r="S84" i="1"/>
  <c r="T84" i="1"/>
  <c r="U84" i="1"/>
  <c r="BB84" i="1"/>
  <c r="BW84" i="1"/>
  <c r="A85" i="1"/>
  <c r="C85" i="1"/>
  <c r="S85" i="1"/>
  <c r="T85" i="1"/>
  <c r="U85" i="1"/>
  <c r="BB85" i="1"/>
  <c r="BW85" i="1"/>
  <c r="A86" i="1"/>
  <c r="C86" i="1"/>
  <c r="S86" i="1"/>
  <c r="T86" i="1"/>
  <c r="U86" i="1"/>
  <c r="BB86" i="1"/>
  <c r="BW86" i="1"/>
  <c r="A87" i="1"/>
  <c r="C87" i="1"/>
  <c r="S87" i="1"/>
  <c r="T87" i="1"/>
  <c r="U87" i="1"/>
  <c r="BB87" i="1"/>
  <c r="BW87" i="1"/>
  <c r="A88" i="1"/>
  <c r="C88" i="1"/>
  <c r="S88" i="1"/>
  <c r="T88" i="1"/>
  <c r="U88" i="1"/>
  <c r="BB88" i="1"/>
  <c r="BW88" i="1"/>
  <c r="A89" i="1"/>
  <c r="C89" i="1"/>
  <c r="S89" i="1"/>
  <c r="T89" i="1"/>
  <c r="U89" i="1"/>
  <c r="BB89" i="1"/>
  <c r="BW89" i="1"/>
  <c r="A90" i="1"/>
  <c r="C90" i="1"/>
  <c r="S90" i="1"/>
  <c r="T90" i="1"/>
  <c r="U90" i="1"/>
  <c r="BB90" i="1"/>
  <c r="BW90" i="1"/>
  <c r="A91" i="1"/>
  <c r="C91" i="1"/>
  <c r="S91" i="1"/>
  <c r="T91" i="1"/>
  <c r="U91" i="1"/>
  <c r="BB91" i="1"/>
  <c r="BW91" i="1"/>
  <c r="A92" i="1"/>
  <c r="C92" i="1"/>
  <c r="S92" i="1"/>
  <c r="T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  <c r="A95" i="1"/>
  <c r="C95" i="1"/>
  <c r="S95" i="1"/>
  <c r="T95" i="1"/>
  <c r="U95" i="1"/>
  <c r="BB95" i="1"/>
  <c r="BW95" i="1"/>
  <c r="A96" i="1"/>
  <c r="C96" i="1"/>
  <c r="S96" i="1"/>
  <c r="T96" i="1"/>
  <c r="U96" i="1"/>
  <c r="BB96" i="1"/>
  <c r="BW96" i="1"/>
  <c r="A97" i="1"/>
  <c r="C97" i="1"/>
  <c r="S97" i="1"/>
  <c r="T97" i="1"/>
  <c r="U97" i="1"/>
  <c r="BB97" i="1"/>
  <c r="BW97" i="1"/>
  <c r="A98" i="1"/>
  <c r="C98" i="1"/>
  <c r="S98" i="1"/>
  <c r="T98" i="1"/>
  <c r="U98" i="1"/>
  <c r="BB98" i="1"/>
  <c r="BW98" i="1"/>
  <c r="A99" i="1"/>
  <c r="C99" i="1"/>
  <c r="S99" i="1"/>
  <c r="T99" i="1"/>
  <c r="U99" i="1"/>
  <c r="BB99" i="1"/>
  <c r="BW99" i="1"/>
  <c r="A100" i="1"/>
  <c r="C100" i="1"/>
  <c r="S100" i="1"/>
  <c r="T100" i="1"/>
  <c r="U100" i="1"/>
  <c r="BB100" i="1"/>
  <c r="BW100" i="1"/>
  <c r="A101" i="1"/>
  <c r="C101" i="1"/>
  <c r="S101" i="1"/>
  <c r="T101" i="1"/>
  <c r="U101" i="1"/>
  <c r="BB101" i="1"/>
  <c r="BW101" i="1"/>
  <c r="A102" i="1"/>
  <c r="C102" i="1"/>
  <c r="S102" i="1"/>
  <c r="T102" i="1"/>
  <c r="U102" i="1"/>
  <c r="BB102" i="1"/>
  <c r="BW102" i="1"/>
  <c r="A103" i="1"/>
  <c r="C103" i="1"/>
  <c r="S103" i="1"/>
  <c r="T103" i="1"/>
  <c r="U103" i="1"/>
  <c r="BB103" i="1"/>
  <c r="BW103" i="1"/>
  <c r="A104" i="1"/>
  <c r="C104" i="1"/>
  <c r="S104" i="1"/>
  <c r="T104" i="1"/>
  <c r="U104" i="1"/>
  <c r="BB104" i="1"/>
  <c r="BW104" i="1"/>
  <c r="A105" i="1"/>
  <c r="C105" i="1"/>
  <c r="S105" i="1"/>
  <c r="T105" i="1"/>
  <c r="U105" i="1"/>
  <c r="BB105" i="1"/>
  <c r="BW105" i="1"/>
  <c r="A106" i="1"/>
  <c r="C106" i="1"/>
  <c r="S106" i="1"/>
  <c r="T106" i="1"/>
  <c r="U106" i="1"/>
  <c r="BB106" i="1"/>
  <c r="BW106" i="1"/>
  <c r="A107" i="1"/>
  <c r="C107" i="1"/>
  <c r="S107" i="1"/>
  <c r="T107" i="1"/>
  <c r="U107" i="1"/>
  <c r="BB107" i="1"/>
  <c r="BW107" i="1"/>
  <c r="A108" i="1"/>
  <c r="C108" i="1"/>
  <c r="S108" i="1"/>
  <c r="T108" i="1"/>
  <c r="U108" i="1"/>
  <c r="BB108" i="1"/>
  <c r="BW108" i="1"/>
  <c r="A109" i="1"/>
  <c r="C109" i="1"/>
  <c r="S109" i="1"/>
  <c r="T109" i="1"/>
  <c r="U109" i="1"/>
  <c r="BB109" i="1"/>
  <c r="BW109" i="1"/>
  <c r="A110" i="1"/>
  <c r="C110" i="1"/>
  <c r="S110" i="1"/>
  <c r="T110" i="1"/>
  <c r="U110" i="1"/>
  <c r="BB110" i="1"/>
  <c r="BW110" i="1"/>
  <c r="A111" i="1"/>
  <c r="C111" i="1"/>
  <c r="S111" i="1"/>
  <c r="T111" i="1"/>
  <c r="U111" i="1"/>
  <c r="BB111" i="1"/>
  <c r="BW111" i="1"/>
  <c r="A112" i="1"/>
  <c r="C112" i="1"/>
  <c r="S112" i="1"/>
  <c r="T112" i="1"/>
  <c r="U112" i="1"/>
  <c r="BB112" i="1"/>
  <c r="BW112" i="1"/>
  <c r="A113" i="1"/>
  <c r="C113" i="1"/>
  <c r="S113" i="1"/>
  <c r="T113" i="1"/>
  <c r="U113" i="1"/>
  <c r="BB113" i="1"/>
  <c r="BW113" i="1"/>
  <c r="A114" i="1"/>
  <c r="C114" i="1"/>
  <c r="S114" i="1"/>
  <c r="T114" i="1"/>
  <c r="U114" i="1"/>
  <c r="BB114" i="1"/>
  <c r="BW114" i="1"/>
  <c r="A115" i="1"/>
  <c r="C115" i="1"/>
  <c r="S115" i="1"/>
  <c r="T115" i="1"/>
  <c r="U115" i="1"/>
  <c r="BB115" i="1"/>
  <c r="BW115" i="1"/>
  <c r="A116" i="1"/>
  <c r="C116" i="1"/>
  <c r="S116" i="1"/>
  <c r="T116" i="1"/>
  <c r="U116" i="1"/>
  <c r="BB116" i="1"/>
  <c r="BW116" i="1"/>
  <c r="A117" i="1"/>
  <c r="C117" i="1"/>
  <c r="S117" i="1"/>
  <c r="T117" i="1"/>
  <c r="U117" i="1"/>
  <c r="BB117" i="1"/>
  <c r="BW117" i="1"/>
  <c r="A118" i="1"/>
  <c r="C118" i="1"/>
  <c r="S118" i="1"/>
  <c r="T118" i="1"/>
  <c r="U118" i="1"/>
  <c r="BB118" i="1"/>
  <c r="BW118" i="1"/>
  <c r="A119" i="1"/>
  <c r="C119" i="1"/>
  <c r="S119" i="1"/>
  <c r="T119" i="1"/>
  <c r="U119" i="1"/>
  <c r="BB119" i="1"/>
  <c r="BW119" i="1"/>
  <c r="A120" i="1"/>
  <c r="C120" i="1"/>
  <c r="S120" i="1"/>
  <c r="T120" i="1"/>
  <c r="U120" i="1"/>
  <c r="BB120" i="1"/>
  <c r="BW120" i="1"/>
  <c r="A121" i="1"/>
  <c r="C121" i="1"/>
  <c r="S121" i="1"/>
  <c r="T121" i="1"/>
  <c r="U121" i="1"/>
  <c r="BB121" i="1"/>
  <c r="BW121" i="1"/>
  <c r="A122" i="1"/>
  <c r="C122" i="1"/>
  <c r="S122" i="1"/>
  <c r="T122" i="1"/>
  <c r="U122" i="1"/>
  <c r="BB122" i="1"/>
  <c r="BW122" i="1"/>
  <c r="A123" i="1"/>
  <c r="C123" i="1"/>
  <c r="S123" i="1"/>
  <c r="T123" i="1"/>
  <c r="U123" i="1"/>
  <c r="BB123" i="1"/>
  <c r="BW123" i="1"/>
  <c r="A124" i="1"/>
  <c r="C124" i="1"/>
  <c r="S124" i="1"/>
  <c r="T124" i="1"/>
  <c r="U124" i="1"/>
  <c r="BB124" i="1"/>
  <c r="BW124" i="1"/>
  <c r="A125" i="1"/>
  <c r="C125" i="1"/>
  <c r="S125" i="1"/>
  <c r="T125" i="1"/>
  <c r="U125" i="1"/>
  <c r="BB125" i="1"/>
  <c r="BW125" i="1"/>
  <c r="A126" i="1"/>
  <c r="C126" i="1"/>
  <c r="S126" i="1"/>
  <c r="T126" i="1"/>
  <c r="U126" i="1"/>
  <c r="BB126" i="1"/>
  <c r="BW126" i="1"/>
  <c r="A127" i="1"/>
  <c r="C127" i="1"/>
  <c r="S127" i="1"/>
  <c r="T127" i="1"/>
  <c r="U127" i="1"/>
  <c r="BB127" i="1"/>
  <c r="BW127" i="1"/>
  <c r="A128" i="1"/>
  <c r="C128" i="1"/>
  <c r="S128" i="1"/>
  <c r="T128" i="1"/>
  <c r="U128" i="1"/>
  <c r="BB128" i="1"/>
  <c r="BW128" i="1"/>
  <c r="A129" i="1"/>
  <c r="C129" i="1"/>
  <c r="S129" i="1"/>
  <c r="T129" i="1"/>
  <c r="U129" i="1"/>
  <c r="BB129" i="1"/>
  <c r="BW129" i="1"/>
  <c r="A130" i="1"/>
  <c r="C130" i="1"/>
  <c r="S130" i="1"/>
  <c r="T130" i="1"/>
  <c r="U130" i="1"/>
  <c r="BB130" i="1"/>
  <c r="BW130" i="1"/>
  <c r="A131" i="1"/>
  <c r="C131" i="1"/>
  <c r="S131" i="1"/>
  <c r="T131" i="1"/>
  <c r="U131" i="1"/>
  <c r="BB131" i="1"/>
  <c r="BW131" i="1"/>
  <c r="A132" i="1"/>
  <c r="C132" i="1"/>
  <c r="S132" i="1"/>
  <c r="T132" i="1"/>
  <c r="U132" i="1"/>
  <c r="BB132" i="1"/>
  <c r="BW132" i="1"/>
  <c r="A133" i="1"/>
  <c r="C133" i="1"/>
  <c r="S133" i="1"/>
  <c r="T133" i="1"/>
  <c r="U133" i="1"/>
  <c r="BB133" i="1"/>
  <c r="BW133" i="1"/>
  <c r="A134" i="1"/>
  <c r="C134" i="1"/>
  <c r="S134" i="1"/>
  <c r="T134" i="1"/>
  <c r="U134" i="1"/>
  <c r="BB134" i="1"/>
  <c r="BW134" i="1"/>
  <c r="A135" i="1"/>
  <c r="C135" i="1"/>
  <c r="S135" i="1"/>
  <c r="T135" i="1"/>
  <c r="U135" i="1"/>
  <c r="BB135" i="1"/>
  <c r="BW135" i="1"/>
  <c r="A136" i="1"/>
  <c r="C136" i="1"/>
  <c r="S136" i="1"/>
  <c r="T136" i="1"/>
  <c r="U136" i="1"/>
  <c r="BB136" i="1"/>
  <c r="BW136" i="1"/>
  <c r="A137" i="1"/>
  <c r="C137" i="1"/>
  <c r="S137" i="1"/>
  <c r="T137" i="1"/>
  <c r="U137" i="1"/>
  <c r="BB137" i="1"/>
  <c r="BW137" i="1"/>
  <c r="A138" i="1"/>
  <c r="C138" i="1"/>
  <c r="S138" i="1"/>
  <c r="T138" i="1"/>
  <c r="U138" i="1"/>
  <c r="BB138" i="1"/>
  <c r="BW138" i="1"/>
  <c r="A139" i="1"/>
  <c r="C139" i="1"/>
  <c r="S139" i="1"/>
  <c r="T139" i="1"/>
  <c r="U139" i="1"/>
  <c r="BB139" i="1"/>
  <c r="BW139" i="1"/>
  <c r="A140" i="1"/>
  <c r="C140" i="1"/>
  <c r="S140" i="1"/>
  <c r="T140" i="1"/>
  <c r="U140" i="1"/>
  <c r="BB140" i="1"/>
  <c r="BW140" i="1"/>
  <c r="A141" i="1"/>
  <c r="C141" i="1"/>
  <c r="S141" i="1"/>
  <c r="T141" i="1"/>
  <c r="U141" i="1"/>
  <c r="BB141" i="1"/>
  <c r="BW141" i="1"/>
  <c r="A142" i="1"/>
  <c r="C142" i="1"/>
  <c r="S142" i="1"/>
  <c r="T142" i="1"/>
  <c r="U142" i="1"/>
  <c r="BB142" i="1"/>
  <c r="BW142" i="1"/>
  <c r="A143" i="1"/>
  <c r="C143" i="1"/>
  <c r="S143" i="1"/>
  <c r="T143" i="1"/>
  <c r="U143" i="1"/>
  <c r="BB143" i="1"/>
  <c r="BW143" i="1"/>
  <c r="A144" i="1"/>
  <c r="C144" i="1"/>
  <c r="S144" i="1"/>
  <c r="T144" i="1"/>
  <c r="U144" i="1"/>
  <c r="BB144" i="1"/>
  <c r="BW144" i="1"/>
  <c r="A145" i="1"/>
  <c r="C145" i="1"/>
  <c r="S145" i="1"/>
  <c r="T145" i="1"/>
  <c r="U145" i="1"/>
  <c r="BB145" i="1"/>
  <c r="BW145" i="1"/>
  <c r="A146" i="1"/>
  <c r="C146" i="1"/>
  <c r="S146" i="1"/>
  <c r="T146" i="1"/>
  <c r="U146" i="1"/>
  <c r="BB146" i="1"/>
  <c r="BW146" i="1"/>
  <c r="A147" i="1"/>
  <c r="C147" i="1"/>
  <c r="S147" i="1"/>
  <c r="T147" i="1"/>
  <c r="U147" i="1"/>
  <c r="BB147" i="1"/>
  <c r="BW147" i="1"/>
  <c r="A148" i="1"/>
  <c r="C148" i="1"/>
  <c r="S148" i="1"/>
  <c r="T148" i="1"/>
  <c r="U148" i="1"/>
  <c r="BB148" i="1"/>
  <c r="BW148" i="1"/>
  <c r="A149" i="1"/>
  <c r="C149" i="1"/>
  <c r="S149" i="1"/>
  <c r="T149" i="1"/>
  <c r="U149" i="1"/>
  <c r="BB149" i="1"/>
  <c r="BW149" i="1"/>
  <c r="A150" i="1"/>
  <c r="C150" i="1"/>
  <c r="S150" i="1"/>
  <c r="T150" i="1"/>
  <c r="U150" i="1"/>
  <c r="BB150" i="1"/>
  <c r="BW150" i="1"/>
  <c r="A151" i="1"/>
  <c r="C151" i="1"/>
  <c r="S151" i="1"/>
  <c r="T151" i="1"/>
  <c r="U151" i="1"/>
  <c r="BB151" i="1"/>
  <c r="BW151" i="1"/>
  <c r="A152" i="1"/>
  <c r="C152" i="1"/>
  <c r="S152" i="1"/>
  <c r="T152" i="1"/>
  <c r="U152" i="1"/>
  <c r="BB152" i="1"/>
  <c r="BW152" i="1"/>
  <c r="A153" i="1"/>
  <c r="C153" i="1"/>
  <c r="S153" i="1"/>
  <c r="T153" i="1"/>
  <c r="U153" i="1"/>
  <c r="BB153" i="1"/>
  <c r="BW153" i="1"/>
  <c r="A154" i="1"/>
  <c r="C154" i="1"/>
  <c r="S154" i="1"/>
  <c r="T154" i="1"/>
  <c r="U154" i="1"/>
  <c r="BB154" i="1"/>
  <c r="BW154" i="1"/>
  <c r="A155" i="1"/>
  <c r="C155" i="1"/>
  <c r="S155" i="1"/>
  <c r="T155" i="1"/>
  <c r="U155" i="1"/>
  <c r="BB155" i="1"/>
  <c r="BW155" i="1"/>
  <c r="A156" i="1"/>
  <c r="C156" i="1"/>
  <c r="S156" i="1"/>
  <c r="T156" i="1"/>
  <c r="U156" i="1"/>
  <c r="BB156" i="1"/>
  <c r="BW156" i="1"/>
  <c r="A157" i="1"/>
  <c r="C157" i="1"/>
  <c r="S157" i="1"/>
  <c r="T157" i="1"/>
  <c r="U157" i="1"/>
  <c r="BB157" i="1"/>
  <c r="BW157" i="1"/>
  <c r="A158" i="1"/>
  <c r="C158" i="1"/>
  <c r="S158" i="1"/>
  <c r="T158" i="1"/>
  <c r="U158" i="1"/>
  <c r="BB158" i="1"/>
  <c r="BW158" i="1"/>
  <c r="A159" i="1"/>
  <c r="C159" i="1"/>
  <c r="S159" i="1"/>
  <c r="T159" i="1"/>
  <c r="U159" i="1"/>
  <c r="BB159" i="1"/>
  <c r="BW159" i="1"/>
  <c r="A160" i="1"/>
  <c r="C160" i="1"/>
  <c r="S160" i="1"/>
  <c r="T160" i="1"/>
  <c r="U160" i="1"/>
  <c r="BB160" i="1"/>
  <c r="BW160" i="1"/>
  <c r="A161" i="1"/>
  <c r="C161" i="1"/>
  <c r="S161" i="1"/>
  <c r="T161" i="1"/>
  <c r="U161" i="1"/>
  <c r="BB161" i="1"/>
  <c r="BW161" i="1"/>
  <c r="A162" i="1"/>
  <c r="C162" i="1"/>
  <c r="S162" i="1"/>
  <c r="T162" i="1"/>
  <c r="U162" i="1"/>
  <c r="BB162" i="1"/>
  <c r="BW162" i="1"/>
  <c r="A163" i="1"/>
  <c r="C163" i="1"/>
  <c r="S163" i="1"/>
  <c r="T163" i="1"/>
  <c r="U163" i="1"/>
  <c r="BB163" i="1"/>
  <c r="BW163" i="1"/>
  <c r="A164" i="1"/>
  <c r="C164" i="1"/>
  <c r="S164" i="1"/>
  <c r="T164" i="1"/>
  <c r="U164" i="1"/>
  <c r="BB164" i="1"/>
  <c r="BW164" i="1"/>
  <c r="A165" i="1"/>
  <c r="C165" i="1"/>
  <c r="S165" i="1"/>
  <c r="T165" i="1"/>
  <c r="U165" i="1"/>
  <c r="BB165" i="1"/>
  <c r="BW165" i="1"/>
  <c r="A166" i="1"/>
  <c r="C166" i="1"/>
  <c r="S166" i="1"/>
  <c r="T166" i="1"/>
  <c r="U166" i="1"/>
  <c r="BB166" i="1"/>
  <c r="BW166" i="1"/>
  <c r="A167" i="1"/>
  <c r="C167" i="1"/>
  <c r="S167" i="1"/>
  <c r="T167" i="1"/>
  <c r="U167" i="1"/>
  <c r="BB167" i="1"/>
  <c r="BW167" i="1"/>
  <c r="A168" i="1"/>
  <c r="C168" i="1"/>
  <c r="S168" i="1"/>
  <c r="T168" i="1"/>
  <c r="U168" i="1"/>
  <c r="BB168" i="1"/>
  <c r="BW168" i="1"/>
  <c r="A169" i="1"/>
  <c r="C169" i="1"/>
  <c r="S169" i="1"/>
  <c r="T169" i="1"/>
  <c r="U169" i="1"/>
  <c r="BB169" i="1"/>
  <c r="BW169" i="1"/>
  <c r="A170" i="1"/>
  <c r="C170" i="1"/>
  <c r="S170" i="1"/>
  <c r="T170" i="1"/>
  <c r="U170" i="1"/>
  <c r="BB170" i="1"/>
  <c r="BW170" i="1"/>
  <c r="A171" i="1"/>
  <c r="C171" i="1"/>
  <c r="S171" i="1"/>
  <c r="T171" i="1"/>
  <c r="U171" i="1"/>
  <c r="BB171" i="1"/>
  <c r="BW171" i="1"/>
  <c r="A172" i="1"/>
  <c r="C172" i="1"/>
  <c r="S172" i="1"/>
  <c r="T172" i="1"/>
  <c r="U172" i="1"/>
  <c r="BB172" i="1"/>
  <c r="BW172" i="1"/>
  <c r="A173" i="1"/>
  <c r="C173" i="1"/>
  <c r="S173" i="1"/>
  <c r="T173" i="1"/>
  <c r="U173" i="1"/>
  <c r="BB173" i="1"/>
  <c r="BW173" i="1"/>
  <c r="A174" i="1"/>
  <c r="C174" i="1"/>
  <c r="S174" i="1"/>
  <c r="T174" i="1"/>
  <c r="U174" i="1"/>
  <c r="BB174" i="1"/>
  <c r="BW174" i="1"/>
  <c r="A175" i="1"/>
  <c r="C175" i="1"/>
  <c r="S175" i="1"/>
  <c r="T175" i="1"/>
  <c r="U175" i="1"/>
  <c r="BB175" i="1"/>
  <c r="BW175" i="1"/>
  <c r="A176" i="1"/>
  <c r="C176" i="1"/>
  <c r="S176" i="1"/>
  <c r="T176" i="1"/>
  <c r="U176" i="1"/>
  <c r="BB176" i="1"/>
  <c r="BW176" i="1"/>
  <c r="A177" i="1"/>
  <c r="C177" i="1"/>
  <c r="S177" i="1"/>
  <c r="T177" i="1"/>
  <c r="U177" i="1"/>
  <c r="BB177" i="1"/>
  <c r="BW177" i="1"/>
  <c r="A178" i="1"/>
  <c r="C178" i="1"/>
  <c r="S178" i="1"/>
  <c r="T178" i="1"/>
  <c r="U178" i="1"/>
  <c r="BB178" i="1"/>
  <c r="BW178" i="1"/>
  <c r="A179" i="1"/>
  <c r="C179" i="1"/>
  <c r="S179" i="1"/>
  <c r="T179" i="1"/>
  <c r="U179" i="1"/>
  <c r="BB179" i="1"/>
  <c r="BW179" i="1"/>
  <c r="A180" i="1"/>
  <c r="C180" i="1"/>
  <c r="S180" i="1"/>
  <c r="T180" i="1"/>
  <c r="U180" i="1"/>
  <c r="BB180" i="1"/>
  <c r="BW180" i="1"/>
  <c r="A181" i="1"/>
  <c r="C181" i="1"/>
  <c r="S181" i="1"/>
  <c r="T181" i="1"/>
  <c r="U181" i="1"/>
  <c r="BB181" i="1"/>
  <c r="BW181" i="1"/>
  <c r="A182" i="1"/>
  <c r="C182" i="1"/>
  <c r="S182" i="1"/>
  <c r="T182" i="1"/>
  <c r="U182" i="1"/>
  <c r="BB182" i="1"/>
  <c r="BW182" i="1"/>
  <c r="A183" i="1"/>
  <c r="C183" i="1"/>
  <c r="S183" i="1"/>
  <c r="T183" i="1"/>
  <c r="U183" i="1"/>
  <c r="BB183" i="1"/>
  <c r="BW183" i="1"/>
  <c r="A184" i="1"/>
  <c r="C184" i="1"/>
  <c r="S184" i="1"/>
  <c r="T184" i="1"/>
  <c r="U184" i="1"/>
  <c r="BB184" i="1"/>
  <c r="BW184" i="1"/>
  <c r="A185" i="1"/>
  <c r="C185" i="1"/>
  <c r="S185" i="1"/>
  <c r="T185" i="1"/>
  <c r="U185" i="1"/>
  <c r="BB185" i="1"/>
  <c r="BW185" i="1"/>
  <c r="A186" i="1"/>
  <c r="C186" i="1"/>
  <c r="S186" i="1"/>
  <c r="T186" i="1"/>
  <c r="U186" i="1"/>
  <c r="BB186" i="1"/>
  <c r="BW186" i="1"/>
  <c r="A187" i="1"/>
  <c r="C187" i="1"/>
  <c r="S187" i="1"/>
  <c r="T187" i="1"/>
  <c r="U187" i="1"/>
  <c r="BB187" i="1"/>
  <c r="BW187" i="1"/>
  <c r="A188" i="1"/>
  <c r="C188" i="1"/>
  <c r="S188" i="1"/>
  <c r="T188" i="1"/>
  <c r="U188" i="1"/>
  <c r="BB188" i="1"/>
  <c r="BW188" i="1"/>
  <c r="A189" i="1"/>
  <c r="C189" i="1"/>
  <c r="S189" i="1"/>
  <c r="T189" i="1"/>
  <c r="U189" i="1"/>
  <c r="BB189" i="1"/>
  <c r="BW189" i="1"/>
  <c r="A190" i="1"/>
  <c r="C190" i="1"/>
  <c r="S190" i="1"/>
  <c r="T190" i="1"/>
  <c r="U190" i="1"/>
  <c r="BB190" i="1"/>
  <c r="BW190" i="1"/>
  <c r="A191" i="1"/>
  <c r="C191" i="1"/>
  <c r="S191" i="1"/>
  <c r="T191" i="1"/>
  <c r="U191" i="1"/>
  <c r="BB191" i="1"/>
  <c r="BW191" i="1"/>
  <c r="A192" i="1"/>
  <c r="C192" i="1"/>
  <c r="S192" i="1"/>
  <c r="T192" i="1"/>
  <c r="U192" i="1"/>
  <c r="BB192" i="1"/>
  <c r="BW192" i="1"/>
  <c r="A193" i="1"/>
  <c r="C193" i="1"/>
  <c r="S193" i="1"/>
  <c r="T193" i="1"/>
  <c r="U193" i="1"/>
  <c r="BB193" i="1"/>
  <c r="BW193" i="1"/>
  <c r="A194" i="1"/>
  <c r="C194" i="1"/>
  <c r="S194" i="1"/>
  <c r="T194" i="1"/>
  <c r="U194" i="1"/>
  <c r="BB194" i="1"/>
  <c r="BW194" i="1"/>
  <c r="A195" i="1"/>
  <c r="C195" i="1"/>
  <c r="S195" i="1"/>
  <c r="T195" i="1"/>
  <c r="U195" i="1"/>
  <c r="BB195" i="1"/>
  <c r="BW195" i="1"/>
  <c r="A196" i="1"/>
  <c r="C196" i="1"/>
  <c r="S196" i="1"/>
  <c r="T196" i="1"/>
  <c r="U196" i="1"/>
  <c r="BB196" i="1"/>
  <c r="BW196" i="1"/>
  <c r="A197" i="1"/>
  <c r="C197" i="1"/>
  <c r="S197" i="1"/>
  <c r="T197" i="1"/>
  <c r="U197" i="1"/>
  <c r="BB197" i="1"/>
  <c r="BW197" i="1"/>
  <c r="A198" i="1"/>
  <c r="C198" i="1"/>
  <c r="S198" i="1"/>
  <c r="T198" i="1"/>
  <c r="U198" i="1"/>
  <c r="BB198" i="1"/>
  <c r="BW198" i="1"/>
  <c r="A199" i="1"/>
  <c r="C199" i="1"/>
  <c r="S199" i="1"/>
  <c r="T199" i="1"/>
  <c r="U199" i="1"/>
  <c r="BB199" i="1"/>
  <c r="BW199" i="1"/>
  <c r="A200" i="1"/>
  <c r="C200" i="1"/>
  <c r="S200" i="1"/>
  <c r="T200" i="1"/>
  <c r="U200" i="1"/>
  <c r="BB200" i="1"/>
  <c r="BW200" i="1"/>
  <c r="A201" i="1"/>
  <c r="C201" i="1"/>
  <c r="S201" i="1"/>
  <c r="T201" i="1"/>
  <c r="U201" i="1"/>
  <c r="BB201" i="1"/>
  <c r="BW201" i="1"/>
  <c r="A202" i="1"/>
  <c r="C202" i="1"/>
  <c r="S202" i="1"/>
  <c r="T202" i="1"/>
  <c r="U202" i="1"/>
  <c r="BB202" i="1"/>
  <c r="BW202" i="1"/>
  <c r="A203" i="1"/>
  <c r="C203" i="1"/>
  <c r="S203" i="1"/>
  <c r="T203" i="1"/>
  <c r="U203" i="1"/>
  <c r="BB203" i="1"/>
  <c r="BW203" i="1"/>
  <c r="A204" i="1"/>
  <c r="C204" i="1"/>
  <c r="S204" i="1"/>
  <c r="T204" i="1"/>
  <c r="U204" i="1"/>
  <c r="BB204" i="1"/>
  <c r="BW204" i="1"/>
  <c r="A205" i="1"/>
  <c r="C205" i="1"/>
  <c r="S205" i="1"/>
  <c r="T205" i="1"/>
  <c r="U205" i="1"/>
  <c r="BB205" i="1"/>
  <c r="BW205" i="1"/>
  <c r="A206" i="1"/>
  <c r="C206" i="1"/>
  <c r="S206" i="1"/>
  <c r="T206" i="1"/>
  <c r="U206" i="1"/>
  <c r="BB206" i="1"/>
  <c r="BW206" i="1"/>
  <c r="A207" i="1"/>
  <c r="C207" i="1"/>
  <c r="S207" i="1"/>
  <c r="T207" i="1"/>
  <c r="U207" i="1"/>
  <c r="BB207" i="1"/>
  <c r="BW207" i="1"/>
  <c r="A208" i="1"/>
  <c r="C208" i="1"/>
  <c r="S208" i="1"/>
  <c r="T208" i="1"/>
  <c r="U208" i="1"/>
  <c r="BB208" i="1"/>
  <c r="BW208" i="1"/>
  <c r="A209" i="1"/>
  <c r="C209" i="1"/>
  <c r="S209" i="1"/>
  <c r="T209" i="1"/>
  <c r="U209" i="1"/>
  <c r="BB209" i="1"/>
  <c r="BW209" i="1"/>
  <c r="A210" i="1"/>
  <c r="C210" i="1"/>
  <c r="S210" i="1"/>
  <c r="T210" i="1"/>
  <c r="U210" i="1"/>
  <c r="BB210" i="1"/>
  <c r="BW210" i="1"/>
  <c r="A211" i="1"/>
  <c r="C211" i="1"/>
  <c r="S211" i="1"/>
  <c r="T211" i="1"/>
  <c r="U211" i="1"/>
  <c r="BB211" i="1"/>
  <c r="BW211" i="1"/>
  <c r="A212" i="1"/>
  <c r="C212" i="1"/>
  <c r="S212" i="1"/>
  <c r="T212" i="1"/>
  <c r="U212" i="1"/>
  <c r="BB212" i="1"/>
  <c r="BW212" i="1"/>
  <c r="A213" i="1"/>
  <c r="C213" i="1"/>
  <c r="S213" i="1"/>
  <c r="T213" i="1"/>
  <c r="U213" i="1"/>
  <c r="BB213" i="1"/>
  <c r="BW213" i="1"/>
  <c r="A214" i="1"/>
  <c r="C214" i="1"/>
  <c r="S214" i="1"/>
  <c r="T214" i="1"/>
  <c r="U214" i="1"/>
  <c r="BB214" i="1"/>
  <c r="BW214" i="1"/>
  <c r="A215" i="1"/>
  <c r="C215" i="1"/>
  <c r="S215" i="1"/>
  <c r="T215" i="1"/>
  <c r="U215" i="1"/>
  <c r="BB215" i="1"/>
  <c r="BW215" i="1"/>
  <c r="A216" i="1"/>
  <c r="C216" i="1"/>
  <c r="S216" i="1"/>
  <c r="T216" i="1"/>
  <c r="U216" i="1"/>
  <c r="BB216" i="1"/>
  <c r="BW216" i="1"/>
  <c r="A217" i="1"/>
  <c r="C217" i="1"/>
  <c r="S217" i="1"/>
  <c r="T217" i="1"/>
  <c r="U217" i="1"/>
  <c r="BB217" i="1"/>
  <c r="BW217" i="1"/>
  <c r="A218" i="1"/>
  <c r="C218" i="1"/>
  <c r="S218" i="1"/>
  <c r="T218" i="1"/>
  <c r="U218" i="1"/>
  <c r="BB218" i="1"/>
  <c r="BW218" i="1"/>
  <c r="A219" i="1"/>
  <c r="C219" i="1"/>
  <c r="S219" i="1"/>
  <c r="T219" i="1"/>
  <c r="U219" i="1"/>
  <c r="BB219" i="1"/>
  <c r="BW219" i="1"/>
  <c r="A220" i="1"/>
  <c r="C220" i="1"/>
  <c r="S220" i="1"/>
  <c r="T220" i="1"/>
  <c r="U220" i="1"/>
  <c r="BB220" i="1"/>
  <c r="BW220" i="1"/>
  <c r="A221" i="1"/>
  <c r="C221" i="1"/>
  <c r="S221" i="1"/>
  <c r="T221" i="1"/>
  <c r="U221" i="1"/>
  <c r="BB221" i="1"/>
  <c r="BW221" i="1"/>
  <c r="A222" i="1"/>
  <c r="C222" i="1"/>
  <c r="S222" i="1"/>
  <c r="T222" i="1"/>
  <c r="U222" i="1"/>
  <c r="BB222" i="1"/>
  <c r="BW222" i="1"/>
  <c r="A223" i="1"/>
  <c r="C223" i="1"/>
  <c r="S223" i="1"/>
  <c r="T223" i="1"/>
  <c r="U223" i="1"/>
  <c r="BB223" i="1"/>
  <c r="BW223" i="1"/>
  <c r="A224" i="1"/>
  <c r="C224" i="1"/>
  <c r="S224" i="1"/>
  <c r="T224" i="1"/>
  <c r="U224" i="1"/>
  <c r="BB224" i="1"/>
  <c r="BW224" i="1"/>
  <c r="A225" i="1"/>
  <c r="C225" i="1"/>
  <c r="S225" i="1"/>
  <c r="T225" i="1"/>
  <c r="U225" i="1"/>
  <c r="BB225" i="1"/>
  <c r="BW225" i="1"/>
  <c r="A226" i="1"/>
  <c r="C226" i="1"/>
  <c r="S226" i="1"/>
  <c r="T226" i="1"/>
  <c r="U226" i="1"/>
  <c r="BB226" i="1"/>
  <c r="BW226" i="1"/>
  <c r="A227" i="1"/>
  <c r="C227" i="1"/>
  <c r="S227" i="1"/>
  <c r="T227" i="1"/>
  <c r="U227" i="1"/>
  <c r="BB227" i="1"/>
  <c r="BW227" i="1"/>
  <c r="A228" i="1"/>
  <c r="C228" i="1"/>
  <c r="S228" i="1"/>
  <c r="T228" i="1"/>
  <c r="U228" i="1"/>
  <c r="BB228" i="1"/>
  <c r="BW228" i="1"/>
  <c r="A229" i="1"/>
  <c r="C229" i="1"/>
  <c r="S229" i="1"/>
  <c r="T229" i="1"/>
  <c r="U229" i="1"/>
  <c r="BB229" i="1"/>
  <c r="BW229" i="1"/>
  <c r="A230" i="1"/>
  <c r="C230" i="1"/>
  <c r="S230" i="1"/>
  <c r="T230" i="1"/>
  <c r="U230" i="1"/>
  <c r="BB230" i="1"/>
  <c r="BW230" i="1"/>
  <c r="A231" i="1"/>
  <c r="C231" i="1"/>
  <c r="S231" i="1"/>
  <c r="T231" i="1"/>
  <c r="U231" i="1"/>
  <c r="BB231" i="1"/>
  <c r="BW231" i="1"/>
  <c r="A232" i="1"/>
  <c r="C232" i="1"/>
  <c r="S232" i="1"/>
  <c r="T232" i="1"/>
  <c r="U232" i="1"/>
  <c r="BB232" i="1"/>
  <c r="BW232" i="1"/>
  <c r="A233" i="1"/>
  <c r="C233" i="1"/>
  <c r="S233" i="1"/>
  <c r="T233" i="1"/>
  <c r="U233" i="1"/>
  <c r="BB233" i="1"/>
  <c r="BW233" i="1"/>
  <c r="A234" i="1"/>
  <c r="C234" i="1"/>
  <c r="S234" i="1"/>
  <c r="T234" i="1"/>
  <c r="U234" i="1"/>
  <c r="BB234" i="1"/>
  <c r="BW234" i="1"/>
  <c r="A235" i="1"/>
  <c r="C235" i="1"/>
  <c r="S235" i="1"/>
  <c r="T235" i="1"/>
  <c r="U235" i="1"/>
  <c r="BB235" i="1"/>
  <c r="BW235" i="1"/>
  <c r="A236" i="1"/>
  <c r="C236" i="1"/>
  <c r="S236" i="1"/>
  <c r="T236" i="1"/>
  <c r="U236" i="1"/>
  <c r="BB236" i="1"/>
  <c r="BW236" i="1"/>
  <c r="A237" i="1"/>
  <c r="C237" i="1"/>
  <c r="S237" i="1"/>
  <c r="T237" i="1"/>
  <c r="U237" i="1"/>
  <c r="BB237" i="1"/>
  <c r="BW237" i="1"/>
  <c r="A238" i="1"/>
  <c r="C238" i="1"/>
  <c r="S238" i="1"/>
  <c r="T238" i="1"/>
  <c r="U238" i="1"/>
  <c r="BB238" i="1"/>
  <c r="BW238" i="1"/>
  <c r="A239" i="1"/>
  <c r="C239" i="1"/>
  <c r="S239" i="1"/>
  <c r="T239" i="1"/>
  <c r="U239" i="1"/>
  <c r="BB239" i="1"/>
  <c r="BW239" i="1"/>
  <c r="A240" i="1"/>
  <c r="C240" i="1"/>
  <c r="S240" i="1"/>
  <c r="T240" i="1"/>
  <c r="U240" i="1"/>
  <c r="BB240" i="1"/>
  <c r="BW240" i="1"/>
  <c r="A241" i="1"/>
  <c r="C241" i="1"/>
  <c r="S241" i="1"/>
  <c r="T241" i="1"/>
  <c r="U241" i="1"/>
  <c r="BB241" i="1"/>
  <c r="BW241" i="1"/>
  <c r="A242" i="1"/>
  <c r="C242" i="1"/>
  <c r="S242" i="1"/>
  <c r="T242" i="1"/>
  <c r="U242" i="1"/>
  <c r="BB242" i="1"/>
  <c r="BW242" i="1"/>
  <c r="A243" i="1"/>
  <c r="C243" i="1"/>
  <c r="S243" i="1"/>
  <c r="T243" i="1"/>
  <c r="U243" i="1"/>
  <c r="BB243" i="1"/>
  <c r="BW243" i="1"/>
  <c r="A244" i="1"/>
  <c r="C244" i="1"/>
  <c r="S244" i="1"/>
  <c r="T244" i="1"/>
  <c r="U244" i="1"/>
  <c r="BB244" i="1"/>
  <c r="BW244" i="1"/>
  <c r="A245" i="1"/>
  <c r="C245" i="1"/>
  <c r="S245" i="1"/>
  <c r="T245" i="1"/>
  <c r="U245" i="1"/>
  <c r="BB245" i="1"/>
  <c r="BW245" i="1"/>
  <c r="A246" i="1"/>
  <c r="C246" i="1"/>
  <c r="S246" i="1"/>
  <c r="T246" i="1"/>
  <c r="U246" i="1"/>
  <c r="BB246" i="1"/>
  <c r="BW246" i="1"/>
  <c r="A247" i="1"/>
  <c r="C247" i="1"/>
  <c r="S247" i="1"/>
  <c r="T247" i="1"/>
  <c r="U247" i="1"/>
  <c r="BB247" i="1"/>
  <c r="BW247" i="1"/>
  <c r="A248" i="1"/>
  <c r="C248" i="1"/>
  <c r="S248" i="1"/>
  <c r="T248" i="1"/>
  <c r="U248" i="1"/>
  <c r="BB248" i="1"/>
  <c r="BW248" i="1"/>
  <c r="A249" i="1"/>
  <c r="C249" i="1"/>
  <c r="S249" i="1"/>
  <c r="T249" i="1"/>
  <c r="U249" i="1"/>
  <c r="BB249" i="1"/>
  <c r="BW249" i="1"/>
  <c r="A250" i="1"/>
  <c r="C250" i="1"/>
  <c r="S250" i="1"/>
  <c r="T250" i="1"/>
  <c r="U250" i="1"/>
  <c r="BB250" i="1"/>
  <c r="BW250" i="1"/>
  <c r="A251" i="1"/>
  <c r="C251" i="1"/>
  <c r="S251" i="1"/>
  <c r="T251" i="1"/>
  <c r="U251" i="1"/>
  <c r="BB251" i="1"/>
  <c r="BW251" i="1"/>
  <c r="A252" i="1"/>
  <c r="C252" i="1"/>
  <c r="S252" i="1"/>
  <c r="T252" i="1"/>
  <c r="U252" i="1"/>
  <c r="BB252" i="1"/>
  <c r="BW252" i="1"/>
  <c r="A253" i="1"/>
  <c r="C253" i="1"/>
  <c r="S253" i="1"/>
  <c r="T253" i="1"/>
  <c r="U253" i="1"/>
  <c r="BB253" i="1"/>
  <c r="BW253" i="1"/>
  <c r="A254" i="1"/>
  <c r="C254" i="1"/>
  <c r="S254" i="1"/>
  <c r="T254" i="1"/>
  <c r="U254" i="1"/>
  <c r="BB254" i="1"/>
  <c r="BW254" i="1"/>
  <c r="A255" i="1"/>
  <c r="C255" i="1"/>
  <c r="S255" i="1"/>
  <c r="T255" i="1"/>
  <c r="U255" i="1"/>
  <c r="BB255" i="1"/>
  <c r="BW255" i="1"/>
  <c r="A256" i="1"/>
  <c r="C256" i="1"/>
  <c r="S256" i="1"/>
  <c r="T256" i="1"/>
  <c r="U256" i="1"/>
  <c r="BB256" i="1"/>
  <c r="BW256" i="1"/>
  <c r="A257" i="1"/>
  <c r="C257" i="1"/>
  <c r="S257" i="1"/>
  <c r="T257" i="1"/>
  <c r="U257" i="1"/>
  <c r="BB257" i="1"/>
  <c r="BW257" i="1"/>
  <c r="A258" i="1"/>
  <c r="C258" i="1"/>
  <c r="S258" i="1"/>
  <c r="T258" i="1"/>
  <c r="U258" i="1"/>
  <c r="BB258" i="1"/>
  <c r="BW258" i="1"/>
  <c r="A259" i="1"/>
  <c r="C259" i="1"/>
  <c r="S259" i="1"/>
  <c r="T259" i="1"/>
  <c r="U259" i="1"/>
  <c r="BB259" i="1"/>
  <c r="BW259" i="1"/>
  <c r="A260" i="1"/>
  <c r="C260" i="1"/>
  <c r="S260" i="1"/>
  <c r="T260" i="1"/>
  <c r="U260" i="1"/>
  <c r="BB260" i="1"/>
  <c r="BW260" i="1"/>
  <c r="A261" i="1"/>
  <c r="C261" i="1"/>
  <c r="S261" i="1"/>
  <c r="T261" i="1"/>
  <c r="U261" i="1"/>
  <c r="BB261" i="1"/>
  <c r="BW261" i="1"/>
  <c r="A262" i="1"/>
  <c r="C262" i="1"/>
  <c r="S262" i="1"/>
  <c r="T262" i="1"/>
  <c r="U262" i="1"/>
  <c r="BB262" i="1"/>
  <c r="BW262" i="1"/>
  <c r="A263" i="1"/>
  <c r="C263" i="1"/>
  <c r="S263" i="1"/>
  <c r="T263" i="1"/>
  <c r="U263" i="1"/>
  <c r="BB263" i="1"/>
  <c r="BW263" i="1"/>
  <c r="A264" i="1"/>
  <c r="C264" i="1"/>
  <c r="S264" i="1"/>
  <c r="T264" i="1"/>
  <c r="U264" i="1"/>
  <c r="BB264" i="1"/>
  <c r="BW264" i="1"/>
  <c r="A265" i="1"/>
  <c r="C265" i="1"/>
  <c r="S265" i="1"/>
  <c r="T265" i="1"/>
  <c r="U265" i="1"/>
  <c r="BB265" i="1"/>
  <c r="BW265" i="1"/>
  <c r="A266" i="1"/>
  <c r="C266" i="1"/>
  <c r="S266" i="1"/>
  <c r="T266" i="1"/>
  <c r="U266" i="1"/>
  <c r="BB266" i="1"/>
  <c r="BW266" i="1"/>
  <c r="A267" i="1"/>
  <c r="C267" i="1"/>
  <c r="S267" i="1"/>
  <c r="T267" i="1"/>
  <c r="U267" i="1"/>
  <c r="BB267" i="1"/>
  <c r="BW267" i="1"/>
  <c r="A268" i="1"/>
  <c r="C268" i="1"/>
  <c r="S268" i="1"/>
  <c r="T268" i="1"/>
  <c r="U268" i="1"/>
  <c r="BB268" i="1"/>
  <c r="BW268" i="1"/>
  <c r="A269" i="1"/>
  <c r="C269" i="1"/>
  <c r="S269" i="1"/>
  <c r="T269" i="1"/>
  <c r="U269" i="1"/>
  <c r="BB269" i="1"/>
  <c r="BW269" i="1"/>
  <c r="A270" i="1"/>
  <c r="C270" i="1"/>
  <c r="S270" i="1"/>
  <c r="T270" i="1"/>
  <c r="U270" i="1"/>
  <c r="BB270" i="1"/>
  <c r="BW270" i="1"/>
  <c r="A271" i="1"/>
  <c r="C271" i="1"/>
  <c r="S271" i="1"/>
  <c r="T271" i="1"/>
  <c r="U271" i="1"/>
  <c r="BB271" i="1"/>
  <c r="BW271" i="1"/>
  <c r="A272" i="1"/>
  <c r="C272" i="1"/>
  <c r="S272" i="1"/>
  <c r="T272" i="1"/>
  <c r="U272" i="1"/>
  <c r="BB272" i="1"/>
  <c r="BW272" i="1"/>
  <c r="A273" i="1"/>
  <c r="C273" i="1"/>
  <c r="S273" i="1"/>
  <c r="T273" i="1"/>
  <c r="U273" i="1"/>
  <c r="BB273" i="1"/>
  <c r="BW273" i="1"/>
  <c r="A274" i="1"/>
  <c r="C274" i="1"/>
  <c r="S274" i="1"/>
  <c r="T274" i="1"/>
  <c r="U274" i="1"/>
  <c r="BB274" i="1"/>
  <c r="BW274" i="1"/>
  <c r="A275" i="1"/>
  <c r="C275" i="1"/>
  <c r="S275" i="1"/>
  <c r="T275" i="1"/>
  <c r="U275" i="1"/>
  <c r="BB275" i="1"/>
  <c r="BW275" i="1"/>
  <c r="A276" i="1"/>
  <c r="C276" i="1"/>
  <c r="S276" i="1"/>
  <c r="T276" i="1"/>
  <c r="U276" i="1"/>
  <c r="BB276" i="1"/>
  <c r="BW276" i="1"/>
  <c r="A277" i="1"/>
  <c r="C277" i="1"/>
  <c r="S277" i="1"/>
  <c r="T277" i="1"/>
  <c r="U277" i="1"/>
  <c r="BB277" i="1"/>
  <c r="BW277" i="1"/>
  <c r="A278" i="1"/>
  <c r="C278" i="1"/>
  <c r="S278" i="1"/>
  <c r="T278" i="1"/>
  <c r="U278" i="1"/>
  <c r="BB278" i="1"/>
  <c r="BW278" i="1"/>
  <c r="A279" i="1"/>
  <c r="C279" i="1"/>
  <c r="S279" i="1"/>
  <c r="T279" i="1"/>
  <c r="U279" i="1"/>
  <c r="BB279" i="1"/>
  <c r="BW279" i="1"/>
  <c r="A280" i="1"/>
  <c r="C280" i="1"/>
  <c r="S280" i="1"/>
  <c r="T280" i="1"/>
  <c r="U280" i="1"/>
  <c r="BB280" i="1"/>
  <c r="BW280" i="1"/>
  <c r="A281" i="1"/>
  <c r="C281" i="1"/>
  <c r="S281" i="1"/>
  <c r="T281" i="1"/>
  <c r="U281" i="1"/>
  <c r="BB281" i="1"/>
  <c r="BW281" i="1"/>
  <c r="A282" i="1"/>
  <c r="C282" i="1"/>
  <c r="S282" i="1"/>
  <c r="T282" i="1"/>
  <c r="U282" i="1"/>
  <c r="BB282" i="1"/>
  <c r="BW282" i="1"/>
  <c r="A283" i="1"/>
  <c r="C283" i="1"/>
  <c r="S283" i="1"/>
  <c r="T283" i="1"/>
  <c r="U283" i="1"/>
  <c r="BB283" i="1"/>
  <c r="BW283" i="1"/>
  <c r="A284" i="1"/>
  <c r="C284" i="1"/>
  <c r="S284" i="1"/>
  <c r="T284" i="1"/>
  <c r="U284" i="1"/>
  <c r="BB284" i="1"/>
  <c r="BW284" i="1"/>
  <c r="A285" i="1"/>
  <c r="C285" i="1"/>
  <c r="S285" i="1"/>
  <c r="T285" i="1"/>
  <c r="U285" i="1"/>
  <c r="BB285" i="1"/>
  <c r="BW285" i="1"/>
  <c r="A286" i="1"/>
  <c r="C286" i="1"/>
  <c r="S286" i="1"/>
  <c r="T286" i="1"/>
  <c r="U286" i="1"/>
  <c r="BB286" i="1"/>
  <c r="BW286" i="1"/>
  <c r="A287" i="1"/>
  <c r="C287" i="1"/>
  <c r="S287" i="1"/>
  <c r="T287" i="1"/>
  <c r="U287" i="1"/>
  <c r="BB287" i="1"/>
  <c r="BW287" i="1"/>
  <c r="A288" i="1"/>
  <c r="C288" i="1"/>
  <c r="S288" i="1"/>
  <c r="T288" i="1"/>
  <c r="U288" i="1"/>
  <c r="BB288" i="1"/>
  <c r="BW288" i="1"/>
  <c r="A289" i="1"/>
  <c r="C289" i="1"/>
  <c r="S289" i="1"/>
  <c r="T289" i="1"/>
  <c r="U289" i="1"/>
  <c r="BB289" i="1"/>
  <c r="BW289" i="1"/>
  <c r="A290" i="1"/>
  <c r="C290" i="1"/>
  <c r="S290" i="1"/>
  <c r="T290" i="1"/>
  <c r="U290" i="1"/>
  <c r="BB290" i="1"/>
  <c r="BW290" i="1"/>
  <c r="A291" i="1"/>
  <c r="C291" i="1"/>
  <c r="S291" i="1"/>
  <c r="T291" i="1"/>
  <c r="U291" i="1"/>
  <c r="BB291" i="1"/>
  <c r="BW291" i="1"/>
  <c r="A292" i="1"/>
  <c r="C292" i="1"/>
  <c r="S292" i="1"/>
  <c r="T292" i="1"/>
  <c r="U292" i="1"/>
  <c r="BB292" i="1"/>
  <c r="BW292" i="1"/>
  <c r="A293" i="1"/>
  <c r="C293" i="1"/>
  <c r="S293" i="1"/>
  <c r="T293" i="1"/>
  <c r="U293" i="1"/>
  <c r="BB293" i="1"/>
  <c r="BW293" i="1"/>
  <c r="A294" i="1"/>
  <c r="C294" i="1"/>
  <c r="S294" i="1"/>
  <c r="T294" i="1"/>
  <c r="U294" i="1"/>
  <c r="BB294" i="1"/>
  <c r="BW294" i="1"/>
  <c r="A295" i="1"/>
  <c r="C295" i="1"/>
  <c r="S295" i="1"/>
  <c r="T295" i="1"/>
  <c r="U295" i="1"/>
  <c r="BB295" i="1"/>
  <c r="BW295" i="1"/>
  <c r="A296" i="1"/>
  <c r="C296" i="1"/>
  <c r="S296" i="1"/>
  <c r="T296" i="1"/>
  <c r="U296" i="1"/>
  <c r="BB296" i="1"/>
  <c r="BW296" i="1"/>
  <c r="A297" i="1"/>
  <c r="C297" i="1"/>
  <c r="S297" i="1"/>
  <c r="T297" i="1"/>
  <c r="U297" i="1"/>
  <c r="BB297" i="1"/>
  <c r="BW297" i="1"/>
  <c r="A298" i="1"/>
  <c r="C298" i="1"/>
  <c r="S298" i="1"/>
  <c r="T298" i="1"/>
  <c r="U298" i="1"/>
  <c r="BB298" i="1"/>
  <c r="BW298" i="1"/>
  <c r="A299" i="1"/>
  <c r="C299" i="1"/>
  <c r="S299" i="1"/>
  <c r="T299" i="1"/>
  <c r="U299" i="1"/>
  <c r="BB299" i="1"/>
  <c r="BW299" i="1"/>
  <c r="A300" i="1"/>
  <c r="C300" i="1"/>
  <c r="S300" i="1"/>
  <c r="T300" i="1"/>
  <c r="U300" i="1"/>
  <c r="BB300" i="1"/>
  <c r="BW300" i="1"/>
  <c r="A301" i="1"/>
  <c r="C301" i="1"/>
  <c r="S301" i="1"/>
  <c r="T301" i="1"/>
  <c r="U301" i="1"/>
  <c r="BB301" i="1"/>
  <c r="BW301" i="1"/>
  <c r="A302" i="1"/>
  <c r="C302" i="1"/>
  <c r="S302" i="1"/>
  <c r="T302" i="1"/>
  <c r="U302" i="1"/>
  <c r="BB302" i="1"/>
  <c r="BW302" i="1"/>
  <c r="A303" i="1"/>
  <c r="C303" i="1"/>
  <c r="S303" i="1"/>
  <c r="T303" i="1"/>
  <c r="U303" i="1"/>
  <c r="BB303" i="1"/>
  <c r="BW303" i="1"/>
  <c r="A304" i="1"/>
  <c r="C304" i="1"/>
  <c r="S304" i="1"/>
  <c r="T304" i="1"/>
  <c r="U304" i="1"/>
  <c r="BB304" i="1"/>
  <c r="BW304" i="1"/>
  <c r="A305" i="1"/>
  <c r="C305" i="1"/>
  <c r="S305" i="1"/>
  <c r="T305" i="1"/>
  <c r="U305" i="1"/>
  <c r="BB305" i="1"/>
  <c r="BW305" i="1"/>
  <c r="A306" i="1"/>
  <c r="C306" i="1"/>
  <c r="S306" i="1"/>
  <c r="T306" i="1"/>
  <c r="U306" i="1"/>
  <c r="BB306" i="1"/>
  <c r="BW306" i="1"/>
  <c r="A307" i="1"/>
  <c r="C307" i="1"/>
  <c r="S307" i="1"/>
  <c r="T307" i="1"/>
  <c r="U307" i="1"/>
  <c r="BB307" i="1"/>
  <c r="BW307" i="1"/>
  <c r="A308" i="1"/>
  <c r="C308" i="1"/>
  <c r="S308" i="1"/>
  <c r="T308" i="1"/>
  <c r="U308" i="1"/>
  <c r="BB308" i="1"/>
  <c r="BW308" i="1"/>
  <c r="A309" i="1"/>
  <c r="C309" i="1"/>
  <c r="S309" i="1"/>
  <c r="T309" i="1"/>
  <c r="U309" i="1"/>
  <c r="BB309" i="1"/>
  <c r="BW309" i="1"/>
  <c r="A310" i="1"/>
  <c r="C310" i="1"/>
  <c r="S310" i="1"/>
  <c r="T310" i="1"/>
  <c r="U310" i="1"/>
  <c r="BB310" i="1"/>
  <c r="BW310" i="1"/>
  <c r="A311" i="1"/>
  <c r="C311" i="1"/>
  <c r="S311" i="1"/>
  <c r="T311" i="1"/>
  <c r="U311" i="1"/>
  <c r="BB311" i="1"/>
  <c r="BW311" i="1"/>
  <c r="A312" i="1"/>
  <c r="C312" i="1"/>
  <c r="S312" i="1"/>
  <c r="T312" i="1"/>
  <c r="U312" i="1"/>
  <c r="BB312" i="1"/>
  <c r="BW312" i="1"/>
  <c r="A313" i="1"/>
  <c r="C313" i="1"/>
  <c r="S313" i="1"/>
  <c r="T313" i="1"/>
  <c r="U313" i="1"/>
  <c r="BB313" i="1"/>
  <c r="BW313" i="1"/>
  <c r="A314" i="1"/>
  <c r="C314" i="1"/>
  <c r="S314" i="1"/>
  <c r="T314" i="1"/>
  <c r="U314" i="1"/>
  <c r="BB314" i="1"/>
  <c r="BW314" i="1"/>
  <c r="A315" i="1"/>
  <c r="C315" i="1"/>
  <c r="S315" i="1"/>
  <c r="T315" i="1"/>
  <c r="U315" i="1"/>
  <c r="BB315" i="1"/>
  <c r="BW315" i="1"/>
  <c r="A316" i="1"/>
  <c r="C316" i="1"/>
  <c r="S316" i="1"/>
  <c r="T316" i="1"/>
  <c r="U316" i="1"/>
  <c r="BB316" i="1"/>
  <c r="BW316" i="1"/>
  <c r="A317" i="1"/>
  <c r="C317" i="1"/>
  <c r="S317" i="1"/>
  <c r="T317" i="1"/>
  <c r="U317" i="1"/>
  <c r="BB317" i="1"/>
  <c r="BW317" i="1"/>
  <c r="A318" i="1"/>
  <c r="C318" i="1"/>
  <c r="S318" i="1"/>
  <c r="T318" i="1"/>
  <c r="U318" i="1"/>
  <c r="BB318" i="1"/>
  <c r="BW318" i="1"/>
  <c r="A319" i="1"/>
  <c r="C319" i="1"/>
  <c r="S319" i="1"/>
  <c r="T319" i="1"/>
  <c r="U319" i="1"/>
  <c r="BB319" i="1"/>
  <c r="BW319" i="1"/>
  <c r="A320" i="1"/>
  <c r="C320" i="1"/>
  <c r="S320" i="1"/>
  <c r="T320" i="1"/>
  <c r="U320" i="1"/>
  <c r="BB320" i="1"/>
  <c r="BW320" i="1"/>
  <c r="A321" i="1"/>
  <c r="C321" i="1"/>
  <c r="S321" i="1"/>
  <c r="T321" i="1"/>
  <c r="U321" i="1"/>
  <c r="BB321" i="1"/>
  <c r="BW321" i="1"/>
  <c r="A322" i="1"/>
  <c r="C322" i="1"/>
  <c r="S322" i="1"/>
  <c r="T322" i="1"/>
  <c r="U322" i="1"/>
  <c r="BB322" i="1"/>
  <c r="BW322" i="1"/>
  <c r="A323" i="1"/>
  <c r="C323" i="1"/>
  <c r="S323" i="1"/>
  <c r="T323" i="1"/>
  <c r="U323" i="1"/>
  <c r="BB323" i="1"/>
  <c r="BW323" i="1"/>
  <c r="A324" i="1"/>
  <c r="C324" i="1"/>
  <c r="S324" i="1"/>
  <c r="T324" i="1"/>
  <c r="U324" i="1"/>
  <c r="BB324" i="1"/>
  <c r="BW324" i="1"/>
  <c r="A325" i="1"/>
  <c r="C325" i="1"/>
  <c r="S325" i="1"/>
  <c r="T325" i="1"/>
  <c r="U325" i="1"/>
  <c r="BB325" i="1"/>
  <c r="BW325" i="1"/>
  <c r="A326" i="1"/>
  <c r="C326" i="1"/>
  <c r="S326" i="1"/>
  <c r="T326" i="1"/>
  <c r="U326" i="1"/>
  <c r="BB326" i="1"/>
  <c r="BW326" i="1"/>
  <c r="A327" i="1"/>
  <c r="C327" i="1"/>
  <c r="S327" i="1"/>
  <c r="T327" i="1"/>
  <c r="U327" i="1"/>
  <c r="BB327" i="1"/>
  <c r="BW327" i="1"/>
  <c r="A328" i="1"/>
  <c r="C328" i="1"/>
  <c r="S328" i="1"/>
  <c r="T328" i="1"/>
  <c r="U328" i="1"/>
  <c r="BB328" i="1"/>
  <c r="BW328" i="1"/>
  <c r="A329" i="1"/>
  <c r="C329" i="1"/>
  <c r="S329" i="1"/>
  <c r="T329" i="1"/>
  <c r="U329" i="1"/>
  <c r="BB329" i="1"/>
  <c r="BW329" i="1"/>
  <c r="A330" i="1"/>
  <c r="C330" i="1"/>
  <c r="S330" i="1"/>
  <c r="T330" i="1"/>
  <c r="U330" i="1"/>
  <c r="BB330" i="1"/>
  <c r="BW330" i="1"/>
  <c r="A331" i="1"/>
  <c r="C331" i="1"/>
  <c r="S331" i="1"/>
  <c r="T331" i="1"/>
  <c r="U331" i="1"/>
  <c r="BB331" i="1"/>
  <c r="BW331" i="1"/>
  <c r="A332" i="1"/>
  <c r="C332" i="1"/>
  <c r="S332" i="1"/>
  <c r="T332" i="1"/>
  <c r="U332" i="1"/>
  <c r="BB332" i="1"/>
  <c r="BW332" i="1"/>
  <c r="A333" i="1"/>
  <c r="C333" i="1"/>
  <c r="S333" i="1"/>
  <c r="T333" i="1"/>
  <c r="U333" i="1"/>
  <c r="BB333" i="1"/>
  <c r="BW333" i="1"/>
  <c r="A334" i="1"/>
  <c r="C334" i="1"/>
  <c r="S334" i="1"/>
  <c r="T334" i="1"/>
  <c r="U334" i="1"/>
  <c r="BB334" i="1"/>
  <c r="BW334" i="1"/>
  <c r="A335" i="1"/>
  <c r="C335" i="1"/>
  <c r="S335" i="1"/>
  <c r="T335" i="1"/>
  <c r="U335" i="1"/>
  <c r="BB335" i="1"/>
  <c r="BW335" i="1"/>
  <c r="A336" i="1"/>
  <c r="C336" i="1"/>
  <c r="S336" i="1"/>
  <c r="T336" i="1"/>
  <c r="U336" i="1"/>
  <c r="BB336" i="1"/>
  <c r="BW336" i="1"/>
  <c r="A337" i="1"/>
  <c r="C337" i="1"/>
  <c r="S337" i="1"/>
  <c r="T337" i="1"/>
  <c r="U337" i="1"/>
  <c r="BB337" i="1"/>
  <c r="BW337" i="1"/>
  <c r="A338" i="1"/>
  <c r="C338" i="1"/>
  <c r="S338" i="1"/>
  <c r="T338" i="1"/>
  <c r="U338" i="1"/>
  <c r="BB338" i="1"/>
  <c r="BW338" i="1"/>
  <c r="A339" i="1"/>
  <c r="C339" i="1"/>
  <c r="S339" i="1"/>
  <c r="T339" i="1"/>
  <c r="U339" i="1"/>
  <c r="BB339" i="1"/>
  <c r="BW339" i="1"/>
  <c r="A340" i="1"/>
  <c r="C340" i="1"/>
  <c r="S340" i="1"/>
  <c r="T340" i="1"/>
  <c r="U340" i="1"/>
  <c r="BB340" i="1"/>
  <c r="BW340" i="1"/>
  <c r="A341" i="1"/>
  <c r="C341" i="1"/>
  <c r="S341" i="1"/>
  <c r="T341" i="1"/>
  <c r="U341" i="1"/>
  <c r="BB341" i="1"/>
  <c r="BW341" i="1"/>
  <c r="A342" i="1"/>
  <c r="C342" i="1"/>
  <c r="S342" i="1"/>
  <c r="T342" i="1"/>
  <c r="U342" i="1"/>
  <c r="BB342" i="1"/>
  <c r="BW342" i="1"/>
  <c r="A343" i="1"/>
  <c r="C343" i="1"/>
  <c r="S343" i="1"/>
  <c r="T343" i="1"/>
  <c r="U343" i="1"/>
  <c r="BB343" i="1"/>
  <c r="BW343" i="1"/>
  <c r="A344" i="1"/>
  <c r="C344" i="1"/>
  <c r="S344" i="1"/>
  <c r="T344" i="1"/>
  <c r="U344" i="1"/>
  <c r="BB344" i="1"/>
  <c r="BW344" i="1"/>
  <c r="A345" i="1"/>
  <c r="C345" i="1"/>
  <c r="S345" i="1"/>
  <c r="T345" i="1"/>
  <c r="U345" i="1"/>
  <c r="BB345" i="1"/>
  <c r="BW345" i="1"/>
  <c r="A346" i="1"/>
  <c r="C346" i="1"/>
  <c r="S346" i="1"/>
  <c r="T346" i="1"/>
  <c r="U346" i="1"/>
  <c r="BB346" i="1"/>
  <c r="BW346" i="1"/>
  <c r="A347" i="1"/>
  <c r="C347" i="1"/>
  <c r="S347" i="1"/>
  <c r="T347" i="1"/>
  <c r="U347" i="1"/>
  <c r="BB347" i="1"/>
  <c r="BW347" i="1"/>
  <c r="A348" i="1"/>
  <c r="C348" i="1"/>
  <c r="S348" i="1"/>
  <c r="T348" i="1"/>
  <c r="U348" i="1"/>
  <c r="BB348" i="1"/>
  <c r="BW348" i="1"/>
  <c r="A349" i="1"/>
  <c r="C349" i="1"/>
  <c r="S349" i="1"/>
  <c r="T349" i="1"/>
  <c r="U349" i="1"/>
  <c r="BB349" i="1"/>
  <c r="BW349" i="1"/>
  <c r="A350" i="1"/>
  <c r="C350" i="1"/>
  <c r="S350" i="1"/>
  <c r="T350" i="1"/>
  <c r="U350" i="1"/>
  <c r="BB350" i="1"/>
  <c r="BW350" i="1"/>
  <c r="A351" i="1"/>
  <c r="C351" i="1"/>
  <c r="S351" i="1"/>
  <c r="T351" i="1"/>
  <c r="U351" i="1"/>
  <c r="BB351" i="1"/>
  <c r="BW351" i="1"/>
  <c r="A352" i="1"/>
  <c r="C352" i="1"/>
  <c r="S352" i="1"/>
  <c r="T352" i="1"/>
  <c r="U352" i="1"/>
  <c r="BB352" i="1"/>
  <c r="BW352" i="1"/>
  <c r="A353" i="1"/>
  <c r="C353" i="1"/>
  <c r="S353" i="1"/>
  <c r="T353" i="1"/>
  <c r="U353" i="1"/>
  <c r="BB353" i="1"/>
  <c r="BW353" i="1"/>
  <c r="A354" i="1"/>
  <c r="C354" i="1"/>
  <c r="S354" i="1"/>
  <c r="T354" i="1"/>
  <c r="U354" i="1"/>
  <c r="BB354" i="1"/>
  <c r="BW354" i="1"/>
  <c r="A355" i="1"/>
  <c r="C355" i="1"/>
  <c r="S355" i="1"/>
  <c r="T355" i="1"/>
  <c r="U355" i="1"/>
  <c r="BB355" i="1"/>
  <c r="BW355" i="1"/>
  <c r="A356" i="1"/>
  <c r="C356" i="1"/>
  <c r="S356" i="1"/>
  <c r="T356" i="1"/>
  <c r="U356" i="1"/>
  <c r="BB356" i="1"/>
  <c r="BW356" i="1"/>
  <c r="A357" i="1"/>
  <c r="C357" i="1"/>
  <c r="S357" i="1"/>
  <c r="T357" i="1"/>
  <c r="U357" i="1"/>
  <c r="BB357" i="1"/>
  <c r="BW357" i="1"/>
  <c r="A358" i="1"/>
  <c r="C358" i="1"/>
  <c r="S358" i="1"/>
  <c r="T358" i="1"/>
  <c r="U358" i="1"/>
  <c r="BB358" i="1"/>
  <c r="BW358" i="1"/>
  <c r="A359" i="1"/>
  <c r="C359" i="1"/>
  <c r="S359" i="1"/>
  <c r="T359" i="1"/>
  <c r="U359" i="1"/>
  <c r="BB359" i="1"/>
  <c r="BW359" i="1"/>
  <c r="A360" i="1"/>
  <c r="C360" i="1"/>
  <c r="S360" i="1"/>
  <c r="T360" i="1"/>
  <c r="U360" i="1"/>
  <c r="BB360" i="1"/>
  <c r="BW360" i="1"/>
  <c r="A361" i="1"/>
  <c r="C361" i="1"/>
  <c r="S361" i="1"/>
  <c r="T361" i="1"/>
  <c r="U361" i="1"/>
  <c r="BB361" i="1"/>
  <c r="BW361" i="1"/>
  <c r="A362" i="1"/>
  <c r="C362" i="1"/>
  <c r="S362" i="1"/>
  <c r="T362" i="1"/>
  <c r="U362" i="1"/>
  <c r="BB362" i="1"/>
  <c r="BW362" i="1"/>
  <c r="A363" i="1"/>
  <c r="C363" i="1"/>
  <c r="S363" i="1"/>
  <c r="T363" i="1"/>
  <c r="U363" i="1"/>
  <c r="BB363" i="1"/>
  <c r="BW363" i="1"/>
  <c r="A364" i="1"/>
  <c r="C364" i="1"/>
  <c r="S364" i="1"/>
  <c r="T364" i="1"/>
  <c r="U364" i="1"/>
  <c r="BB364" i="1"/>
  <c r="BW364" i="1"/>
  <c r="A365" i="1"/>
  <c r="C365" i="1"/>
  <c r="S365" i="1"/>
  <c r="T365" i="1"/>
  <c r="U365" i="1"/>
  <c r="BB365" i="1"/>
  <c r="BW365" i="1"/>
  <c r="A366" i="1"/>
  <c r="C366" i="1"/>
  <c r="S366" i="1"/>
  <c r="T366" i="1"/>
  <c r="U366" i="1"/>
  <c r="BB366" i="1"/>
  <c r="BW366" i="1"/>
  <c r="A367" i="1"/>
  <c r="C367" i="1"/>
  <c r="S367" i="1"/>
  <c r="T367" i="1"/>
  <c r="U367" i="1"/>
  <c r="BB367" i="1"/>
  <c r="BW367" i="1"/>
  <c r="A368" i="1"/>
  <c r="C368" i="1"/>
  <c r="S368" i="1"/>
  <c r="T368" i="1"/>
  <c r="U368" i="1"/>
  <c r="BB368" i="1"/>
  <c r="BW368" i="1"/>
  <c r="A369" i="1"/>
  <c r="C369" i="1"/>
  <c r="S369" i="1"/>
  <c r="T369" i="1"/>
  <c r="U369" i="1"/>
  <c r="BB369" i="1"/>
  <c r="BW369" i="1"/>
  <c r="A370" i="1"/>
  <c r="C370" i="1"/>
  <c r="S370" i="1"/>
  <c r="T370" i="1"/>
  <c r="U370" i="1"/>
  <c r="BB370" i="1"/>
  <c r="BW370" i="1"/>
  <c r="A371" i="1"/>
  <c r="C371" i="1"/>
  <c r="S371" i="1"/>
  <c r="T371" i="1"/>
  <c r="U371" i="1"/>
  <c r="BB371" i="1"/>
  <c r="BW371" i="1"/>
  <c r="A372" i="1"/>
  <c r="C372" i="1"/>
  <c r="S372" i="1"/>
  <c r="T372" i="1"/>
  <c r="U372" i="1"/>
  <c r="BB372" i="1"/>
  <c r="BW372" i="1"/>
  <c r="A373" i="1"/>
  <c r="C373" i="1"/>
  <c r="S373" i="1"/>
  <c r="T373" i="1"/>
  <c r="U373" i="1"/>
  <c r="BB373" i="1"/>
  <c r="BW373" i="1"/>
  <c r="A374" i="1"/>
  <c r="C374" i="1"/>
  <c r="S374" i="1"/>
  <c r="T374" i="1"/>
  <c r="U374" i="1"/>
  <c r="BB374" i="1"/>
  <c r="BW374" i="1"/>
  <c r="A375" i="1"/>
  <c r="C375" i="1"/>
  <c r="S375" i="1"/>
  <c r="T375" i="1"/>
  <c r="U375" i="1"/>
  <c r="BB375" i="1"/>
  <c r="BW375" i="1"/>
  <c r="A376" i="1"/>
  <c r="C376" i="1"/>
  <c r="S376" i="1"/>
  <c r="T376" i="1"/>
  <c r="U376" i="1"/>
  <c r="BB376" i="1"/>
  <c r="BW376" i="1"/>
  <c r="A377" i="1"/>
  <c r="C377" i="1"/>
  <c r="S377" i="1"/>
  <c r="T377" i="1"/>
  <c r="U377" i="1"/>
  <c r="BB377" i="1"/>
  <c r="BW377" i="1"/>
  <c r="A378" i="1"/>
  <c r="C378" i="1"/>
  <c r="S378" i="1"/>
  <c r="T378" i="1"/>
  <c r="U378" i="1"/>
  <c r="BB378" i="1"/>
  <c r="BW378" i="1"/>
  <c r="A379" i="1"/>
  <c r="C379" i="1"/>
  <c r="S379" i="1"/>
  <c r="T379" i="1"/>
  <c r="U379" i="1"/>
  <c r="BB379" i="1"/>
  <c r="BW379" i="1"/>
  <c r="A380" i="1"/>
  <c r="C380" i="1"/>
  <c r="S380" i="1"/>
  <c r="T380" i="1"/>
  <c r="U380" i="1"/>
  <c r="BB380" i="1"/>
  <c r="BW380" i="1"/>
  <c r="A381" i="1"/>
  <c r="C381" i="1"/>
  <c r="S381" i="1"/>
  <c r="T381" i="1"/>
  <c r="U381" i="1"/>
  <c r="BB381" i="1"/>
  <c r="BW381" i="1"/>
  <c r="A382" i="1"/>
  <c r="C382" i="1"/>
  <c r="S382" i="1"/>
  <c r="T382" i="1"/>
  <c r="U382" i="1"/>
  <c r="BB382" i="1"/>
  <c r="BW382" i="1"/>
  <c r="A383" i="1"/>
  <c r="C383" i="1"/>
  <c r="S383" i="1"/>
  <c r="T383" i="1"/>
  <c r="U383" i="1"/>
  <c r="BB383" i="1"/>
  <c r="BW383" i="1"/>
  <c r="A384" i="1"/>
  <c r="C384" i="1"/>
  <c r="S384" i="1"/>
  <c r="T384" i="1"/>
  <c r="U384" i="1"/>
  <c r="BB384" i="1"/>
  <c r="BW384" i="1"/>
  <c r="A385" i="1"/>
  <c r="C385" i="1"/>
  <c r="S385" i="1"/>
  <c r="T385" i="1"/>
  <c r="U385" i="1"/>
  <c r="BB385" i="1"/>
  <c r="BW385" i="1"/>
  <c r="A386" i="1"/>
  <c r="C386" i="1"/>
  <c r="S386" i="1"/>
  <c r="T386" i="1"/>
  <c r="U386" i="1"/>
  <c r="BB386" i="1"/>
  <c r="BW386" i="1"/>
  <c r="A387" i="1"/>
  <c r="C387" i="1"/>
  <c r="S387" i="1"/>
  <c r="T387" i="1"/>
  <c r="U387" i="1"/>
  <c r="BB387" i="1"/>
  <c r="BW387" i="1"/>
  <c r="A388" i="1"/>
  <c r="C388" i="1"/>
  <c r="S388" i="1"/>
  <c r="T388" i="1"/>
  <c r="U388" i="1"/>
  <c r="BB388" i="1"/>
  <c r="BW388" i="1"/>
  <c r="A389" i="1"/>
  <c r="C389" i="1"/>
  <c r="S389" i="1"/>
  <c r="T389" i="1"/>
  <c r="U389" i="1"/>
  <c r="BB389" i="1"/>
  <c r="BW389" i="1"/>
  <c r="A390" i="1"/>
  <c r="C390" i="1"/>
  <c r="S390" i="1"/>
  <c r="T390" i="1"/>
  <c r="U390" i="1"/>
  <c r="BB390" i="1"/>
  <c r="BW390" i="1"/>
  <c r="A391" i="1"/>
  <c r="C391" i="1"/>
  <c r="S391" i="1"/>
  <c r="T391" i="1"/>
  <c r="U391" i="1"/>
  <c r="BB391" i="1"/>
  <c r="BW391" i="1"/>
  <c r="A392" i="1"/>
  <c r="C392" i="1"/>
  <c r="S392" i="1"/>
  <c r="T392" i="1"/>
  <c r="U392" i="1"/>
  <c r="BB392" i="1"/>
  <c r="BW392" i="1"/>
  <c r="A393" i="1"/>
  <c r="C393" i="1"/>
  <c r="S393" i="1"/>
  <c r="T393" i="1"/>
  <c r="U393" i="1"/>
  <c r="BB393" i="1"/>
  <c r="BW393" i="1"/>
  <c r="A394" i="1"/>
  <c r="C394" i="1"/>
  <c r="S394" i="1"/>
  <c r="T394" i="1"/>
  <c r="U394" i="1"/>
  <c r="BB394" i="1"/>
  <c r="BW394" i="1"/>
  <c r="A395" i="1"/>
  <c r="C395" i="1"/>
  <c r="S395" i="1"/>
  <c r="T395" i="1"/>
  <c r="U395" i="1"/>
  <c r="BB395" i="1"/>
  <c r="BW395" i="1"/>
  <c r="A396" i="1"/>
  <c r="C396" i="1"/>
  <c r="S396" i="1"/>
  <c r="T396" i="1"/>
  <c r="U396" i="1"/>
  <c r="BB396" i="1"/>
  <c r="BW396" i="1"/>
  <c r="A397" i="1"/>
  <c r="C397" i="1"/>
  <c r="S397" i="1"/>
  <c r="T397" i="1"/>
  <c r="U397" i="1"/>
  <c r="BB397" i="1"/>
  <c r="BW397" i="1"/>
  <c r="A398" i="1"/>
  <c r="C398" i="1"/>
  <c r="S398" i="1"/>
  <c r="T398" i="1"/>
  <c r="U398" i="1"/>
  <c r="BB398" i="1"/>
  <c r="BW398" i="1"/>
  <c r="A399" i="1"/>
  <c r="C399" i="1"/>
  <c r="S399" i="1"/>
  <c r="T399" i="1"/>
  <c r="U399" i="1"/>
  <c r="BB399" i="1"/>
  <c r="BW399" i="1"/>
  <c r="A400" i="1"/>
  <c r="C400" i="1"/>
  <c r="S400" i="1"/>
  <c r="T400" i="1"/>
  <c r="U400" i="1"/>
  <c r="BB400" i="1"/>
  <c r="BW400" i="1"/>
  <c r="A401" i="1"/>
  <c r="C401" i="1"/>
  <c r="S401" i="1"/>
  <c r="T401" i="1"/>
  <c r="U401" i="1"/>
  <c r="BB401" i="1"/>
  <c r="BW401" i="1"/>
  <c r="A402" i="1"/>
  <c r="C402" i="1"/>
  <c r="S402" i="1"/>
  <c r="T402" i="1"/>
  <c r="U402" i="1"/>
  <c r="BB402" i="1"/>
  <c r="BW402" i="1"/>
  <c r="A403" i="1"/>
  <c r="C403" i="1"/>
  <c r="S403" i="1"/>
  <c r="T403" i="1"/>
  <c r="U403" i="1"/>
  <c r="BB403" i="1"/>
  <c r="BW403" i="1"/>
  <c r="A404" i="1"/>
  <c r="C404" i="1"/>
  <c r="S404" i="1"/>
  <c r="T404" i="1"/>
  <c r="U404" i="1"/>
  <c r="BB404" i="1"/>
  <c r="BW404" i="1"/>
  <c r="A405" i="1"/>
  <c r="C405" i="1"/>
  <c r="S405" i="1"/>
  <c r="T405" i="1"/>
  <c r="U405" i="1"/>
  <c r="BB405" i="1"/>
  <c r="BW405" i="1"/>
  <c r="A406" i="1"/>
  <c r="C406" i="1"/>
  <c r="S406" i="1"/>
  <c r="T406" i="1"/>
  <c r="U406" i="1"/>
  <c r="BB406" i="1"/>
  <c r="BW406" i="1"/>
  <c r="A407" i="1"/>
  <c r="C407" i="1"/>
  <c r="S407" i="1"/>
  <c r="T407" i="1"/>
  <c r="U407" i="1"/>
  <c r="BB407" i="1"/>
  <c r="BW407" i="1"/>
  <c r="A408" i="1"/>
  <c r="C408" i="1"/>
  <c r="S408" i="1"/>
  <c r="T408" i="1"/>
  <c r="U408" i="1"/>
  <c r="BB408" i="1"/>
  <c r="BW408" i="1"/>
  <c r="A409" i="1"/>
  <c r="C409" i="1"/>
  <c r="S409" i="1"/>
  <c r="T409" i="1"/>
  <c r="U409" i="1"/>
  <c r="BB409" i="1"/>
  <c r="BW409" i="1"/>
  <c r="A410" i="1"/>
  <c r="C410" i="1"/>
  <c r="S410" i="1"/>
  <c r="T410" i="1"/>
  <c r="U410" i="1"/>
  <c r="BB410" i="1"/>
  <c r="BW410" i="1"/>
  <c r="A411" i="1"/>
  <c r="C411" i="1"/>
  <c r="S411" i="1"/>
  <c r="T411" i="1"/>
  <c r="U411" i="1"/>
  <c r="BB411" i="1"/>
  <c r="BW411" i="1"/>
  <c r="A412" i="1"/>
  <c r="C412" i="1"/>
  <c r="S412" i="1"/>
  <c r="T412" i="1"/>
  <c r="U412" i="1"/>
  <c r="BB412" i="1"/>
  <c r="BW412" i="1"/>
  <c r="A413" i="1"/>
  <c r="C413" i="1"/>
  <c r="S413" i="1"/>
  <c r="T413" i="1"/>
  <c r="U413" i="1"/>
  <c r="BB413" i="1"/>
  <c r="BW413" i="1"/>
  <c r="A414" i="1"/>
  <c r="C414" i="1"/>
  <c r="S414" i="1"/>
  <c r="T414" i="1"/>
  <c r="U414" i="1"/>
  <c r="BB414" i="1"/>
  <c r="BW414" i="1"/>
  <c r="A415" i="1"/>
  <c r="C415" i="1"/>
  <c r="S415" i="1"/>
  <c r="T415" i="1"/>
  <c r="U415" i="1"/>
  <c r="BB415" i="1"/>
  <c r="BW415" i="1"/>
  <c r="A416" i="1"/>
  <c r="C416" i="1"/>
  <c r="S416" i="1"/>
  <c r="T416" i="1"/>
  <c r="U416" i="1"/>
  <c r="BB416" i="1"/>
  <c r="BW416" i="1"/>
  <c r="A417" i="1"/>
  <c r="C417" i="1"/>
  <c r="S417" i="1"/>
  <c r="T417" i="1"/>
  <c r="U417" i="1"/>
  <c r="BB417" i="1"/>
  <c r="BW417" i="1"/>
  <c r="A418" i="1"/>
  <c r="C418" i="1"/>
  <c r="S418" i="1"/>
  <c r="T418" i="1"/>
  <c r="U418" i="1"/>
  <c r="BB418" i="1"/>
  <c r="BW418" i="1"/>
  <c r="A419" i="1"/>
  <c r="C419" i="1"/>
  <c r="S419" i="1"/>
  <c r="T419" i="1"/>
  <c r="U419" i="1"/>
  <c r="BB419" i="1"/>
  <c r="BW419" i="1"/>
  <c r="A420" i="1"/>
  <c r="C420" i="1"/>
  <c r="S420" i="1"/>
  <c r="T420" i="1"/>
  <c r="U420" i="1"/>
  <c r="BB420" i="1"/>
  <c r="BW420" i="1"/>
  <c r="A421" i="1"/>
  <c r="C421" i="1"/>
  <c r="S421" i="1"/>
  <c r="T421" i="1"/>
  <c r="U421" i="1"/>
  <c r="BB421" i="1"/>
  <c r="BW421" i="1"/>
  <c r="A422" i="1"/>
  <c r="C422" i="1"/>
  <c r="S422" i="1"/>
  <c r="T422" i="1"/>
  <c r="U422" i="1"/>
  <c r="BB422" i="1"/>
  <c r="BW422" i="1"/>
  <c r="A423" i="1"/>
  <c r="C423" i="1"/>
  <c r="S423" i="1"/>
  <c r="T423" i="1"/>
  <c r="U423" i="1"/>
  <c r="BB423" i="1"/>
  <c r="BW423" i="1"/>
  <c r="A424" i="1"/>
  <c r="C424" i="1"/>
  <c r="S424" i="1"/>
  <c r="T424" i="1"/>
  <c r="U424" i="1"/>
  <c r="BB424" i="1"/>
  <c r="BW424" i="1"/>
  <c r="A425" i="1"/>
  <c r="C425" i="1"/>
  <c r="S425" i="1"/>
  <c r="T425" i="1"/>
  <c r="U425" i="1"/>
  <c r="BB425" i="1"/>
  <c r="BW425" i="1"/>
  <c r="A426" i="1"/>
  <c r="C426" i="1"/>
  <c r="S426" i="1"/>
  <c r="T426" i="1"/>
  <c r="U426" i="1"/>
  <c r="BB426" i="1"/>
  <c r="BW426" i="1"/>
  <c r="A427" i="1"/>
  <c r="C427" i="1"/>
  <c r="S427" i="1"/>
  <c r="T427" i="1"/>
  <c r="U427" i="1"/>
  <c r="BB427" i="1"/>
  <c r="BW427" i="1"/>
  <c r="A428" i="1"/>
  <c r="C428" i="1"/>
  <c r="S428" i="1"/>
  <c r="T428" i="1"/>
  <c r="U428" i="1"/>
  <c r="BB428" i="1"/>
  <c r="BW428" i="1"/>
  <c r="A429" i="1"/>
  <c r="C429" i="1"/>
  <c r="S429" i="1"/>
  <c r="T429" i="1"/>
  <c r="U429" i="1"/>
  <c r="BB429" i="1"/>
  <c r="BW429" i="1"/>
  <c r="A430" i="1"/>
  <c r="C430" i="1"/>
  <c r="S430" i="1"/>
  <c r="T430" i="1"/>
  <c r="U430" i="1"/>
  <c r="BB430" i="1"/>
  <c r="BW430" i="1"/>
  <c r="A431" i="1"/>
  <c r="C431" i="1"/>
  <c r="S431" i="1"/>
  <c r="T431" i="1"/>
  <c r="U431" i="1"/>
  <c r="BB431" i="1"/>
  <c r="BW431" i="1"/>
  <c r="A432" i="1"/>
  <c r="C432" i="1"/>
  <c r="S432" i="1"/>
  <c r="T432" i="1"/>
  <c r="U432" i="1"/>
  <c r="BB432" i="1"/>
  <c r="BW432" i="1"/>
  <c r="A433" i="1"/>
  <c r="C433" i="1"/>
  <c r="S433" i="1"/>
  <c r="T433" i="1"/>
  <c r="U433" i="1"/>
  <c r="BB433" i="1"/>
  <c r="BW433" i="1"/>
  <c r="A434" i="1"/>
  <c r="C434" i="1"/>
  <c r="S434" i="1"/>
  <c r="T434" i="1"/>
  <c r="U434" i="1"/>
  <c r="BB434" i="1"/>
  <c r="BW434" i="1"/>
  <c r="A435" i="1"/>
  <c r="C435" i="1"/>
  <c r="S435" i="1"/>
  <c r="T435" i="1"/>
  <c r="U435" i="1"/>
  <c r="BB435" i="1"/>
  <c r="BW435" i="1"/>
  <c r="A436" i="1"/>
  <c r="C436" i="1"/>
  <c r="S436" i="1"/>
  <c r="T436" i="1"/>
  <c r="U436" i="1"/>
  <c r="BB436" i="1"/>
  <c r="BW436" i="1"/>
  <c r="A437" i="1"/>
  <c r="C437" i="1"/>
  <c r="S437" i="1"/>
  <c r="T437" i="1"/>
  <c r="U437" i="1"/>
  <c r="BB437" i="1"/>
  <c r="BW437" i="1"/>
  <c r="A438" i="1"/>
  <c r="C438" i="1"/>
  <c r="S438" i="1"/>
  <c r="T438" i="1"/>
  <c r="U438" i="1"/>
  <c r="BB438" i="1"/>
  <c r="BW438" i="1"/>
  <c r="A439" i="1"/>
  <c r="C439" i="1"/>
  <c r="S439" i="1"/>
  <c r="T439" i="1"/>
  <c r="U439" i="1"/>
  <c r="BB439" i="1"/>
  <c r="BW439" i="1"/>
  <c r="A440" i="1"/>
  <c r="C440" i="1"/>
  <c r="S440" i="1"/>
  <c r="T440" i="1"/>
  <c r="U440" i="1"/>
  <c r="BB440" i="1"/>
  <c r="BW440" i="1"/>
  <c r="A441" i="1"/>
  <c r="C441" i="1"/>
  <c r="S441" i="1"/>
  <c r="T441" i="1"/>
  <c r="U441" i="1"/>
  <c r="BB441" i="1"/>
  <c r="BW441" i="1"/>
  <c r="A442" i="1"/>
  <c r="C442" i="1"/>
  <c r="S442" i="1"/>
  <c r="T442" i="1"/>
  <c r="U442" i="1"/>
  <c r="BB442" i="1"/>
  <c r="BW442" i="1"/>
  <c r="A443" i="1"/>
  <c r="C443" i="1"/>
  <c r="S443" i="1"/>
  <c r="T443" i="1"/>
  <c r="U443" i="1"/>
  <c r="BB443" i="1"/>
  <c r="BW443" i="1"/>
  <c r="A444" i="1"/>
  <c r="C444" i="1"/>
  <c r="S444" i="1"/>
  <c r="T444" i="1"/>
  <c r="U444" i="1"/>
  <c r="BB444" i="1"/>
  <c r="BW444" i="1"/>
  <c r="A445" i="1"/>
  <c r="C445" i="1"/>
  <c r="S445" i="1"/>
  <c r="T445" i="1"/>
  <c r="U445" i="1"/>
  <c r="BB445" i="1"/>
  <c r="BW445" i="1"/>
  <c r="A446" i="1"/>
  <c r="C446" i="1"/>
  <c r="S446" i="1"/>
  <c r="T446" i="1"/>
  <c r="U446" i="1"/>
  <c r="BB446" i="1"/>
  <c r="BW446" i="1"/>
  <c r="A447" i="1"/>
  <c r="C447" i="1"/>
  <c r="S447" i="1"/>
  <c r="T447" i="1"/>
  <c r="U447" i="1"/>
  <c r="BB447" i="1"/>
  <c r="BW447" i="1"/>
  <c r="A448" i="1"/>
  <c r="C448" i="1"/>
  <c r="S448" i="1"/>
  <c r="T448" i="1"/>
  <c r="U448" i="1"/>
  <c r="BB448" i="1"/>
  <c r="BW448" i="1"/>
  <c r="A449" i="1"/>
  <c r="C449" i="1"/>
  <c r="S449" i="1"/>
  <c r="T449" i="1"/>
  <c r="U449" i="1"/>
  <c r="BB449" i="1"/>
  <c r="BW449" i="1"/>
  <c r="A450" i="1"/>
  <c r="C450" i="1"/>
  <c r="S450" i="1"/>
  <c r="T450" i="1"/>
  <c r="U450" i="1"/>
  <c r="BB450" i="1"/>
  <c r="BW450" i="1"/>
  <c r="A451" i="1"/>
  <c r="C451" i="1"/>
  <c r="S451" i="1"/>
  <c r="T451" i="1"/>
  <c r="U451" i="1"/>
  <c r="BB451" i="1"/>
  <c r="BW451" i="1"/>
  <c r="A452" i="1"/>
  <c r="C452" i="1"/>
  <c r="S452" i="1"/>
  <c r="T452" i="1"/>
  <c r="U452" i="1"/>
  <c r="BB452" i="1"/>
  <c r="BW452" i="1"/>
  <c r="A453" i="1"/>
  <c r="C453" i="1"/>
  <c r="S453" i="1"/>
  <c r="T453" i="1"/>
  <c r="U453" i="1"/>
  <c r="BB453" i="1"/>
  <c r="BW453" i="1"/>
  <c r="A454" i="1"/>
  <c r="C454" i="1"/>
  <c r="S454" i="1"/>
  <c r="T454" i="1"/>
  <c r="U454" i="1"/>
  <c r="BB454" i="1"/>
  <c r="BW454" i="1"/>
  <c r="A455" i="1"/>
  <c r="C455" i="1"/>
  <c r="S455" i="1"/>
  <c r="T455" i="1"/>
  <c r="U455" i="1"/>
  <c r="BB455" i="1"/>
  <c r="BW455" i="1"/>
  <c r="A456" i="1"/>
  <c r="C456" i="1"/>
  <c r="S456" i="1"/>
  <c r="T456" i="1"/>
  <c r="U456" i="1"/>
  <c r="BB456" i="1"/>
  <c r="BW456" i="1"/>
  <c r="A457" i="1"/>
  <c r="C457" i="1"/>
  <c r="S457" i="1"/>
  <c r="T457" i="1"/>
  <c r="U457" i="1"/>
  <c r="BB457" i="1"/>
  <c r="BW457" i="1"/>
  <c r="A458" i="1"/>
  <c r="C458" i="1"/>
  <c r="S458" i="1"/>
  <c r="T458" i="1"/>
  <c r="U458" i="1"/>
  <c r="BB458" i="1"/>
  <c r="BW458" i="1"/>
  <c r="A459" i="1"/>
  <c r="C459" i="1"/>
  <c r="S459" i="1"/>
  <c r="T459" i="1"/>
  <c r="U459" i="1"/>
  <c r="BB459" i="1"/>
  <c r="BW459" i="1"/>
  <c r="A460" i="1"/>
  <c r="C460" i="1"/>
  <c r="S460" i="1"/>
  <c r="T460" i="1"/>
  <c r="U460" i="1"/>
  <c r="BB460" i="1"/>
  <c r="BW460" i="1"/>
  <c r="A461" i="1"/>
  <c r="C461" i="1"/>
  <c r="S461" i="1"/>
  <c r="T461" i="1"/>
  <c r="U461" i="1"/>
  <c r="BB461" i="1"/>
  <c r="BW461" i="1"/>
  <c r="A462" i="1"/>
  <c r="C462" i="1"/>
  <c r="S462" i="1"/>
  <c r="T462" i="1"/>
  <c r="U462" i="1"/>
  <c r="BB462" i="1"/>
  <c r="BW462" i="1"/>
  <c r="A463" i="1"/>
  <c r="C463" i="1"/>
  <c r="S463" i="1"/>
  <c r="T463" i="1"/>
  <c r="U463" i="1"/>
  <c r="BB463" i="1"/>
  <c r="BW463" i="1"/>
  <c r="A464" i="1"/>
  <c r="C464" i="1"/>
  <c r="S464" i="1"/>
  <c r="T464" i="1"/>
  <c r="U464" i="1"/>
  <c r="BB464" i="1"/>
  <c r="BW464" i="1"/>
  <c r="A465" i="1"/>
  <c r="C465" i="1"/>
  <c r="S465" i="1"/>
  <c r="T465" i="1"/>
  <c r="U465" i="1"/>
  <c r="BB465" i="1"/>
  <c r="BW465" i="1"/>
  <c r="A466" i="1"/>
  <c r="C466" i="1"/>
  <c r="S466" i="1"/>
  <c r="T466" i="1"/>
  <c r="U466" i="1"/>
  <c r="BB466" i="1"/>
  <c r="BW466" i="1"/>
  <c r="A467" i="1"/>
  <c r="C467" i="1"/>
  <c r="S467" i="1"/>
  <c r="T467" i="1"/>
  <c r="U467" i="1"/>
  <c r="BB467" i="1"/>
  <c r="BW467" i="1"/>
  <c r="A468" i="1"/>
  <c r="C468" i="1"/>
  <c r="S468" i="1"/>
  <c r="T468" i="1"/>
  <c r="U468" i="1"/>
  <c r="BB468" i="1"/>
  <c r="BW468" i="1"/>
  <c r="A469" i="1"/>
  <c r="C469" i="1"/>
  <c r="S469" i="1"/>
  <c r="T469" i="1"/>
  <c r="U469" i="1"/>
  <c r="BB469" i="1"/>
  <c r="BW469" i="1"/>
  <c r="A470" i="1"/>
  <c r="C470" i="1"/>
  <c r="S470" i="1"/>
  <c r="T470" i="1"/>
  <c r="U470" i="1"/>
  <c r="BB470" i="1"/>
  <c r="BW470" i="1"/>
  <c r="A471" i="1"/>
  <c r="C471" i="1"/>
  <c r="S471" i="1"/>
  <c r="T471" i="1"/>
  <c r="U471" i="1"/>
  <c r="BB471" i="1"/>
  <c r="BW471" i="1"/>
  <c r="A472" i="1"/>
  <c r="C472" i="1"/>
  <c r="S472" i="1"/>
  <c r="T472" i="1"/>
  <c r="U472" i="1"/>
  <c r="BB472" i="1"/>
  <c r="BW472" i="1"/>
  <c r="A473" i="1"/>
  <c r="C473" i="1"/>
  <c r="S473" i="1"/>
  <c r="T473" i="1"/>
  <c r="U473" i="1"/>
  <c r="BB473" i="1"/>
  <c r="BW473" i="1"/>
  <c r="A474" i="1"/>
  <c r="C474" i="1"/>
  <c r="S474" i="1"/>
  <c r="T474" i="1"/>
  <c r="U474" i="1"/>
  <c r="BB474" i="1"/>
  <c r="BW474" i="1"/>
  <c r="A475" i="1"/>
  <c r="C475" i="1"/>
  <c r="S475" i="1"/>
  <c r="T475" i="1"/>
  <c r="U475" i="1"/>
  <c r="BB475" i="1"/>
  <c r="BW475" i="1"/>
  <c r="A476" i="1"/>
  <c r="C476" i="1"/>
  <c r="S476" i="1"/>
  <c r="T476" i="1"/>
  <c r="U476" i="1"/>
  <c r="BB476" i="1"/>
  <c r="BW476" i="1"/>
  <c r="A477" i="1"/>
  <c r="C477" i="1"/>
  <c r="S477" i="1"/>
  <c r="T477" i="1"/>
  <c r="U477" i="1"/>
  <c r="BB477" i="1"/>
  <c r="BW477" i="1"/>
  <c r="A478" i="1"/>
  <c r="C478" i="1"/>
  <c r="S478" i="1"/>
  <c r="T478" i="1"/>
  <c r="U478" i="1"/>
  <c r="BB478" i="1"/>
  <c r="BW478" i="1"/>
  <c r="A479" i="1"/>
  <c r="C479" i="1"/>
  <c r="S479" i="1"/>
  <c r="T479" i="1"/>
  <c r="U479" i="1"/>
  <c r="BB479" i="1"/>
  <c r="BW479" i="1"/>
  <c r="A480" i="1"/>
  <c r="C480" i="1"/>
  <c r="S480" i="1"/>
  <c r="T480" i="1"/>
  <c r="U480" i="1"/>
  <c r="BB480" i="1"/>
  <c r="BW480" i="1"/>
  <c r="A481" i="1"/>
  <c r="C481" i="1"/>
  <c r="S481" i="1"/>
  <c r="T481" i="1"/>
  <c r="U481" i="1"/>
  <c r="BB481" i="1"/>
  <c r="BW481" i="1"/>
  <c r="A482" i="1"/>
  <c r="C482" i="1"/>
  <c r="S482" i="1"/>
  <c r="T482" i="1"/>
  <c r="U482" i="1"/>
  <c r="BB482" i="1"/>
  <c r="BW482" i="1"/>
  <c r="A483" i="1"/>
  <c r="C483" i="1"/>
  <c r="S483" i="1"/>
  <c r="T483" i="1"/>
  <c r="U483" i="1"/>
  <c r="BB483" i="1"/>
  <c r="BW483" i="1"/>
  <c r="A484" i="1"/>
  <c r="C484" i="1"/>
  <c r="S484" i="1"/>
  <c r="T484" i="1"/>
  <c r="U484" i="1"/>
  <c r="BB484" i="1"/>
  <c r="BW484" i="1"/>
  <c r="A485" i="1"/>
  <c r="C485" i="1"/>
  <c r="S485" i="1"/>
  <c r="T485" i="1"/>
  <c r="U485" i="1"/>
  <c r="BB485" i="1"/>
  <c r="BW485" i="1"/>
  <c r="A486" i="1"/>
  <c r="C486" i="1"/>
  <c r="S486" i="1"/>
  <c r="T486" i="1"/>
  <c r="U486" i="1"/>
  <c r="BB486" i="1"/>
  <c r="BW486" i="1"/>
  <c r="A487" i="1"/>
  <c r="C487" i="1"/>
  <c r="S487" i="1"/>
  <c r="T487" i="1"/>
  <c r="U487" i="1"/>
  <c r="BB487" i="1"/>
  <c r="BW487" i="1"/>
  <c r="A488" i="1"/>
  <c r="C488" i="1"/>
  <c r="S488" i="1"/>
  <c r="T488" i="1"/>
  <c r="U488" i="1"/>
  <c r="BB488" i="1"/>
  <c r="BW488" i="1"/>
  <c r="A489" i="1"/>
  <c r="C489" i="1"/>
  <c r="S489" i="1"/>
  <c r="T489" i="1"/>
  <c r="U489" i="1"/>
  <c r="BB489" i="1"/>
  <c r="BW489" i="1"/>
  <c r="A490" i="1"/>
  <c r="C490" i="1"/>
  <c r="S490" i="1"/>
  <c r="T490" i="1"/>
  <c r="U490" i="1"/>
  <c r="BB490" i="1"/>
  <c r="BW490" i="1"/>
  <c r="A491" i="1"/>
  <c r="C491" i="1"/>
  <c r="S491" i="1"/>
  <c r="T491" i="1"/>
  <c r="U491" i="1"/>
  <c r="BB491" i="1"/>
  <c r="BW491" i="1"/>
  <c r="A492" i="1"/>
  <c r="C492" i="1"/>
  <c r="S492" i="1"/>
  <c r="T492" i="1"/>
  <c r="U492" i="1"/>
  <c r="BB492" i="1"/>
  <c r="BW492" i="1"/>
  <c r="A493" i="1"/>
  <c r="C493" i="1"/>
  <c r="S493" i="1"/>
  <c r="T493" i="1"/>
  <c r="U493" i="1"/>
  <c r="BB493" i="1"/>
  <c r="BW493" i="1"/>
  <c r="A494" i="1"/>
  <c r="C494" i="1"/>
  <c r="S494" i="1"/>
  <c r="T494" i="1"/>
  <c r="U494" i="1"/>
  <c r="BB494" i="1"/>
  <c r="BW494" i="1"/>
  <c r="A495" i="1"/>
  <c r="C495" i="1"/>
  <c r="S495" i="1"/>
  <c r="T495" i="1"/>
  <c r="U495" i="1"/>
  <c r="BB495" i="1"/>
  <c r="BW495" i="1"/>
  <c r="A496" i="1"/>
  <c r="C496" i="1"/>
  <c r="S496" i="1"/>
  <c r="T496" i="1"/>
  <c r="U496" i="1"/>
  <c r="BB496" i="1"/>
  <c r="BW496" i="1"/>
  <c r="A497" i="1"/>
  <c r="C497" i="1"/>
  <c r="S497" i="1"/>
  <c r="T497" i="1"/>
  <c r="U497" i="1"/>
  <c r="BB497" i="1"/>
  <c r="BW497" i="1"/>
  <c r="A498" i="1"/>
  <c r="C498" i="1"/>
  <c r="S498" i="1"/>
  <c r="T498" i="1"/>
  <c r="U498" i="1"/>
  <c r="BB498" i="1"/>
  <c r="BW498" i="1"/>
  <c r="A499" i="1"/>
  <c r="C499" i="1"/>
  <c r="S499" i="1"/>
  <c r="T499" i="1"/>
  <c r="U499" i="1"/>
  <c r="BB499" i="1"/>
  <c r="BW499" i="1"/>
  <c r="A500" i="1"/>
  <c r="C500" i="1"/>
  <c r="S500" i="1"/>
  <c r="T500" i="1"/>
  <c r="U500" i="1"/>
  <c r="BB500" i="1"/>
  <c r="BW500" i="1"/>
  <c r="A501" i="1"/>
  <c r="C501" i="1"/>
  <c r="S501" i="1"/>
  <c r="T501" i="1"/>
  <c r="U501" i="1"/>
  <c r="BB501" i="1"/>
  <c r="BW501" i="1"/>
  <c r="A502" i="1"/>
  <c r="C502" i="1"/>
  <c r="S502" i="1"/>
  <c r="T502" i="1"/>
  <c r="U502" i="1"/>
  <c r="BB502" i="1"/>
  <c r="BW502" i="1"/>
  <c r="A503" i="1"/>
  <c r="C503" i="1"/>
  <c r="S503" i="1"/>
  <c r="T503" i="1"/>
  <c r="U503" i="1"/>
  <c r="BB503" i="1"/>
  <c r="BW503" i="1"/>
  <c r="A504" i="1"/>
  <c r="C504" i="1"/>
  <c r="S504" i="1"/>
  <c r="T504" i="1"/>
  <c r="U504" i="1"/>
  <c r="BB504" i="1"/>
  <c r="BW504" i="1"/>
  <c r="A505" i="1"/>
  <c r="C505" i="1"/>
  <c r="S505" i="1"/>
  <c r="T505" i="1"/>
  <c r="U505" i="1"/>
  <c r="BB505" i="1"/>
  <c r="BW505" i="1"/>
  <c r="A506" i="1"/>
  <c r="C506" i="1"/>
  <c r="S506" i="1"/>
  <c r="T506" i="1"/>
  <c r="U506" i="1"/>
  <c r="BB506" i="1"/>
  <c r="BW506" i="1"/>
  <c r="A507" i="1"/>
  <c r="C507" i="1"/>
  <c r="S507" i="1"/>
  <c r="T507" i="1"/>
  <c r="U507" i="1"/>
  <c r="BB507" i="1"/>
  <c r="BW507" i="1"/>
  <c r="A508" i="1"/>
  <c r="C508" i="1"/>
  <c r="S508" i="1"/>
  <c r="T508" i="1"/>
  <c r="U508" i="1"/>
  <c r="BB508" i="1"/>
  <c r="BW508" i="1"/>
  <c r="A509" i="1"/>
  <c r="C509" i="1"/>
  <c r="S509" i="1"/>
  <c r="T509" i="1"/>
  <c r="U509" i="1"/>
  <c r="BB509" i="1"/>
  <c r="BW509" i="1"/>
  <c r="A510" i="1"/>
  <c r="C510" i="1"/>
  <c r="S510" i="1"/>
  <c r="T510" i="1"/>
  <c r="U510" i="1"/>
  <c r="BB510" i="1"/>
  <c r="BW510" i="1"/>
  <c r="A511" i="1"/>
  <c r="C511" i="1"/>
  <c r="S511" i="1"/>
  <c r="T511" i="1"/>
  <c r="U511" i="1"/>
  <c r="BB511" i="1"/>
  <c r="BW511" i="1"/>
  <c r="A512" i="1"/>
  <c r="C512" i="1"/>
  <c r="S512" i="1"/>
  <c r="T512" i="1"/>
  <c r="U512" i="1"/>
  <c r="BB512" i="1"/>
  <c r="BW512" i="1"/>
  <c r="A513" i="1"/>
  <c r="C513" i="1"/>
  <c r="S513" i="1"/>
  <c r="T513" i="1"/>
  <c r="U513" i="1"/>
  <c r="BB513" i="1"/>
  <c r="BW513" i="1"/>
  <c r="A514" i="1"/>
  <c r="C514" i="1"/>
  <c r="S514" i="1"/>
  <c r="T514" i="1"/>
  <c r="U514" i="1"/>
  <c r="BB514" i="1"/>
  <c r="BW514" i="1"/>
  <c r="A515" i="1"/>
  <c r="C515" i="1"/>
  <c r="S515" i="1"/>
  <c r="T515" i="1"/>
  <c r="U515" i="1"/>
  <c r="BB515" i="1"/>
  <c r="BW515" i="1"/>
  <c r="A516" i="1"/>
  <c r="C516" i="1"/>
  <c r="S516" i="1"/>
  <c r="T516" i="1"/>
  <c r="U516" i="1"/>
  <c r="BB516" i="1"/>
  <c r="BW516" i="1"/>
  <c r="A517" i="1"/>
  <c r="C517" i="1"/>
  <c r="S517" i="1"/>
  <c r="T517" i="1"/>
  <c r="U517" i="1"/>
  <c r="BB517" i="1"/>
  <c r="BW517" i="1"/>
  <c r="A518" i="1"/>
  <c r="C518" i="1"/>
  <c r="S518" i="1"/>
  <c r="T518" i="1"/>
  <c r="U518" i="1"/>
  <c r="BB518" i="1"/>
  <c r="BW518" i="1"/>
  <c r="A519" i="1"/>
  <c r="C519" i="1"/>
  <c r="S519" i="1"/>
  <c r="T519" i="1"/>
  <c r="U519" i="1"/>
  <c r="BB519" i="1"/>
  <c r="BW519" i="1"/>
  <c r="A520" i="1"/>
  <c r="C520" i="1"/>
  <c r="S520" i="1"/>
  <c r="T520" i="1"/>
  <c r="U520" i="1"/>
  <c r="BB520" i="1"/>
  <c r="BW520" i="1"/>
  <c r="A521" i="1"/>
  <c r="C521" i="1"/>
  <c r="S521" i="1"/>
  <c r="T521" i="1"/>
  <c r="U521" i="1"/>
  <c r="BB521" i="1"/>
  <c r="BW521" i="1"/>
  <c r="A522" i="1"/>
  <c r="C522" i="1"/>
  <c r="S522" i="1"/>
  <c r="T522" i="1"/>
  <c r="U522" i="1"/>
  <c r="BB522" i="1"/>
  <c r="BW522" i="1"/>
  <c r="A523" i="1"/>
  <c r="C523" i="1"/>
  <c r="S523" i="1"/>
  <c r="T523" i="1"/>
  <c r="U523" i="1"/>
  <c r="BB523" i="1"/>
  <c r="BW523" i="1"/>
  <c r="A524" i="1"/>
  <c r="C524" i="1"/>
  <c r="S524" i="1"/>
  <c r="T524" i="1"/>
  <c r="U524" i="1"/>
  <c r="BB524" i="1"/>
  <c r="BW524" i="1"/>
  <c r="A525" i="1"/>
  <c r="C525" i="1"/>
  <c r="S525" i="1"/>
  <c r="T525" i="1"/>
  <c r="U525" i="1"/>
  <c r="BB525" i="1"/>
  <c r="BW525" i="1"/>
  <c r="A526" i="1"/>
  <c r="C526" i="1"/>
  <c r="S526" i="1"/>
  <c r="T526" i="1"/>
  <c r="U526" i="1"/>
  <c r="BB526" i="1"/>
  <c r="BW526" i="1"/>
  <c r="A527" i="1"/>
  <c r="C527" i="1"/>
  <c r="S527" i="1"/>
  <c r="T527" i="1"/>
  <c r="U527" i="1"/>
  <c r="BB527" i="1"/>
  <c r="BW527" i="1"/>
  <c r="A528" i="1"/>
  <c r="C528" i="1"/>
  <c r="S528" i="1"/>
  <c r="T528" i="1"/>
  <c r="U528" i="1"/>
  <c r="BB528" i="1"/>
  <c r="BW528" i="1"/>
  <c r="A529" i="1"/>
  <c r="C529" i="1"/>
  <c r="S529" i="1"/>
  <c r="T529" i="1"/>
  <c r="U529" i="1"/>
  <c r="BB529" i="1"/>
  <c r="BW529" i="1"/>
  <c r="A530" i="1"/>
  <c r="C530" i="1"/>
  <c r="S530" i="1"/>
  <c r="T530" i="1"/>
  <c r="U530" i="1"/>
  <c r="BB530" i="1"/>
  <c r="BW530" i="1"/>
  <c r="A531" i="1"/>
  <c r="C531" i="1"/>
  <c r="S531" i="1"/>
  <c r="T531" i="1"/>
  <c r="U531" i="1"/>
  <c r="BB531" i="1"/>
  <c r="BW531" i="1"/>
  <c r="A532" i="1"/>
  <c r="C532" i="1"/>
  <c r="S532" i="1"/>
  <c r="T532" i="1"/>
  <c r="U532" i="1"/>
  <c r="BB532" i="1"/>
  <c r="BW532" i="1"/>
  <c r="A533" i="1"/>
  <c r="C533" i="1"/>
  <c r="S533" i="1"/>
  <c r="T533" i="1"/>
  <c r="U533" i="1"/>
  <c r="BB533" i="1"/>
  <c r="BW533" i="1"/>
  <c r="A534" i="1"/>
  <c r="C534" i="1"/>
  <c r="S534" i="1"/>
  <c r="T534" i="1"/>
  <c r="U534" i="1"/>
  <c r="BB534" i="1"/>
  <c r="BW534" i="1"/>
  <c r="A535" i="1"/>
  <c r="C535" i="1"/>
  <c r="S535" i="1"/>
  <c r="T535" i="1"/>
  <c r="U535" i="1"/>
  <c r="BB535" i="1"/>
  <c r="BW535" i="1"/>
  <c r="A536" i="1"/>
  <c r="C536" i="1"/>
  <c r="S536" i="1"/>
  <c r="T536" i="1"/>
  <c r="U536" i="1"/>
  <c r="BB536" i="1"/>
  <c r="BW536" i="1"/>
  <c r="A537" i="1"/>
  <c r="C537" i="1"/>
  <c r="S537" i="1"/>
  <c r="T537" i="1"/>
  <c r="U537" i="1"/>
  <c r="BB537" i="1"/>
  <c r="BW537" i="1"/>
  <c r="A538" i="1"/>
  <c r="C538" i="1"/>
  <c r="S538" i="1"/>
  <c r="T538" i="1"/>
  <c r="U538" i="1"/>
  <c r="BB538" i="1"/>
  <c r="BW538" i="1"/>
  <c r="A539" i="1"/>
  <c r="C539" i="1"/>
  <c r="S539" i="1"/>
  <c r="T539" i="1"/>
  <c r="U539" i="1"/>
  <c r="BB539" i="1"/>
  <c r="BW539" i="1"/>
  <c r="A540" i="1"/>
  <c r="C540" i="1"/>
  <c r="S540" i="1"/>
  <c r="T540" i="1"/>
  <c r="U540" i="1"/>
  <c r="BB540" i="1"/>
  <c r="BW540" i="1"/>
  <c r="A541" i="1"/>
  <c r="C541" i="1"/>
  <c r="S541" i="1"/>
  <c r="T541" i="1"/>
  <c r="U541" i="1"/>
  <c r="BB541" i="1"/>
  <c r="BW541" i="1"/>
  <c r="A542" i="1"/>
  <c r="C542" i="1"/>
  <c r="S542" i="1"/>
  <c r="T542" i="1"/>
  <c r="U542" i="1"/>
  <c r="BB542" i="1"/>
  <c r="BW542" i="1"/>
  <c r="A543" i="1"/>
  <c r="C543" i="1"/>
  <c r="S543" i="1"/>
  <c r="T543" i="1"/>
  <c r="U543" i="1"/>
  <c r="BB543" i="1"/>
  <c r="BW543" i="1"/>
  <c r="A544" i="1"/>
  <c r="C544" i="1"/>
  <c r="S544" i="1"/>
  <c r="T544" i="1"/>
  <c r="U544" i="1"/>
  <c r="BB544" i="1"/>
  <c r="BW544" i="1"/>
  <c r="A545" i="1"/>
  <c r="C545" i="1"/>
  <c r="S545" i="1"/>
  <c r="T545" i="1"/>
  <c r="U545" i="1"/>
  <c r="BB545" i="1"/>
  <c r="BW545" i="1"/>
  <c r="A546" i="1"/>
  <c r="C546" i="1"/>
  <c r="S546" i="1"/>
  <c r="T546" i="1"/>
  <c r="U546" i="1"/>
  <c r="BB546" i="1"/>
  <c r="BW546" i="1"/>
  <c r="A547" i="1"/>
  <c r="C547" i="1"/>
  <c r="S547" i="1"/>
  <c r="T547" i="1"/>
  <c r="U547" i="1"/>
  <c r="BB547" i="1"/>
  <c r="BW547" i="1"/>
  <c r="A548" i="1"/>
  <c r="C548" i="1"/>
  <c r="S548" i="1"/>
  <c r="T548" i="1"/>
  <c r="U548" i="1"/>
  <c r="BB548" i="1"/>
  <c r="BW548" i="1"/>
  <c r="A549" i="1"/>
  <c r="C549" i="1"/>
  <c r="S549" i="1"/>
  <c r="T549" i="1"/>
  <c r="U549" i="1"/>
  <c r="BB549" i="1"/>
  <c r="BW549" i="1"/>
  <c r="A550" i="1"/>
  <c r="C550" i="1"/>
  <c r="S550" i="1"/>
  <c r="T550" i="1"/>
  <c r="U550" i="1"/>
  <c r="BB550" i="1"/>
  <c r="BW550" i="1"/>
  <c r="A551" i="1"/>
  <c r="C551" i="1"/>
  <c r="S551" i="1"/>
  <c r="T551" i="1"/>
  <c r="U551" i="1"/>
  <c r="BB551" i="1"/>
  <c r="BW551" i="1"/>
  <c r="A552" i="1"/>
  <c r="C552" i="1"/>
  <c r="S552" i="1"/>
  <c r="T552" i="1"/>
  <c r="U552" i="1"/>
  <c r="BB552" i="1"/>
  <c r="BW552" i="1"/>
  <c r="A553" i="1"/>
  <c r="C553" i="1"/>
  <c r="S553" i="1"/>
  <c r="T553" i="1"/>
  <c r="U553" i="1"/>
  <c r="BB553" i="1"/>
  <c r="BW553" i="1"/>
  <c r="A554" i="1"/>
  <c r="C554" i="1"/>
  <c r="S554" i="1"/>
  <c r="T554" i="1"/>
  <c r="U554" i="1"/>
  <c r="BB554" i="1"/>
  <c r="BW554" i="1"/>
  <c r="A555" i="1"/>
  <c r="C555" i="1"/>
  <c r="S555" i="1"/>
  <c r="T555" i="1"/>
  <c r="U555" i="1"/>
  <c r="BB555" i="1"/>
  <c r="BW555" i="1"/>
  <c r="A556" i="1"/>
  <c r="C556" i="1"/>
  <c r="S556" i="1"/>
  <c r="T556" i="1"/>
  <c r="U556" i="1"/>
  <c r="BB556" i="1"/>
  <c r="BW556" i="1"/>
  <c r="A557" i="1"/>
  <c r="C557" i="1"/>
  <c r="S557" i="1"/>
  <c r="T557" i="1"/>
  <c r="U557" i="1"/>
  <c r="BB557" i="1"/>
  <c r="BW557" i="1"/>
  <c r="A558" i="1"/>
  <c r="C558" i="1"/>
  <c r="S558" i="1"/>
  <c r="T558" i="1"/>
  <c r="U558" i="1"/>
  <c r="BB558" i="1"/>
  <c r="BW558" i="1"/>
  <c r="A559" i="1"/>
  <c r="C559" i="1"/>
  <c r="S559" i="1"/>
  <c r="T559" i="1"/>
  <c r="U559" i="1"/>
  <c r="BB559" i="1"/>
  <c r="BW559" i="1"/>
  <c r="A560" i="1"/>
  <c r="C560" i="1"/>
  <c r="S560" i="1"/>
  <c r="T560" i="1"/>
  <c r="U560" i="1"/>
  <c r="BB560" i="1"/>
  <c r="BW560" i="1"/>
  <c r="A561" i="1"/>
  <c r="C561" i="1"/>
  <c r="S561" i="1"/>
  <c r="T561" i="1"/>
  <c r="U561" i="1"/>
  <c r="BB561" i="1"/>
  <c r="BW561" i="1"/>
  <c r="A562" i="1"/>
  <c r="C562" i="1"/>
  <c r="S562" i="1"/>
  <c r="T562" i="1"/>
  <c r="U562" i="1"/>
  <c r="BB562" i="1"/>
  <c r="BW562" i="1"/>
  <c r="A563" i="1"/>
  <c r="C563" i="1"/>
  <c r="S563" i="1"/>
  <c r="T563" i="1"/>
  <c r="U563" i="1"/>
  <c r="BB563" i="1"/>
  <c r="BW563" i="1"/>
  <c r="A564" i="1"/>
  <c r="C564" i="1"/>
  <c r="S564" i="1"/>
  <c r="T564" i="1"/>
  <c r="U564" i="1"/>
  <c r="BB564" i="1"/>
  <c r="BW564" i="1"/>
  <c r="A565" i="1"/>
  <c r="C565" i="1"/>
  <c r="S565" i="1"/>
  <c r="T565" i="1"/>
  <c r="U565" i="1"/>
  <c r="BB565" i="1"/>
  <c r="BW565" i="1"/>
  <c r="A566" i="1"/>
  <c r="C566" i="1"/>
  <c r="S566" i="1"/>
  <c r="T566" i="1"/>
  <c r="U566" i="1"/>
  <c r="BB566" i="1"/>
  <c r="BW566" i="1"/>
  <c r="A567" i="1"/>
  <c r="C567" i="1"/>
  <c r="S567" i="1"/>
  <c r="T567" i="1"/>
  <c r="U567" i="1"/>
  <c r="BB567" i="1"/>
  <c r="BW567" i="1"/>
  <c r="A568" i="1"/>
  <c r="C568" i="1"/>
  <c r="S568" i="1"/>
  <c r="T568" i="1"/>
  <c r="U568" i="1"/>
  <c r="BB568" i="1"/>
  <c r="BW568" i="1"/>
  <c r="A569" i="1"/>
  <c r="C569" i="1"/>
  <c r="S569" i="1"/>
  <c r="T569" i="1"/>
  <c r="U569" i="1"/>
  <c r="BB569" i="1"/>
  <c r="BW569" i="1"/>
  <c r="A570" i="1"/>
  <c r="C570" i="1"/>
  <c r="S570" i="1"/>
  <c r="T570" i="1"/>
  <c r="U570" i="1"/>
  <c r="BB570" i="1"/>
  <c r="BW570" i="1"/>
  <c r="A571" i="1"/>
  <c r="C571" i="1"/>
  <c r="S571" i="1"/>
  <c r="T571" i="1"/>
  <c r="U571" i="1"/>
  <c r="BB571" i="1"/>
  <c r="BW571" i="1"/>
  <c r="A572" i="1"/>
  <c r="C572" i="1"/>
  <c r="S572" i="1"/>
  <c r="T572" i="1"/>
  <c r="U572" i="1"/>
  <c r="BB572" i="1"/>
  <c r="BW572" i="1"/>
  <c r="A573" i="1"/>
  <c r="C573" i="1"/>
  <c r="S573" i="1"/>
  <c r="T573" i="1"/>
  <c r="U573" i="1"/>
  <c r="BB573" i="1"/>
  <c r="BW573" i="1"/>
  <c r="A574" i="1"/>
  <c r="C574" i="1"/>
  <c r="S574" i="1"/>
  <c r="T574" i="1"/>
  <c r="U574" i="1"/>
  <c r="BB574" i="1"/>
  <c r="BW574" i="1"/>
  <c r="A575" i="1"/>
  <c r="C575" i="1"/>
  <c r="S575" i="1"/>
  <c r="T575" i="1"/>
  <c r="U575" i="1"/>
  <c r="BB575" i="1"/>
  <c r="BW575" i="1"/>
  <c r="A576" i="1"/>
  <c r="C576" i="1"/>
  <c r="S576" i="1"/>
  <c r="T576" i="1"/>
  <c r="U576" i="1"/>
  <c r="BB576" i="1"/>
  <c r="BW576" i="1"/>
  <c r="A577" i="1"/>
  <c r="C577" i="1"/>
  <c r="S577" i="1"/>
  <c r="T577" i="1"/>
  <c r="U577" i="1"/>
  <c r="BB577" i="1"/>
  <c r="BW577" i="1"/>
  <c r="A578" i="1"/>
  <c r="C578" i="1"/>
  <c r="S578" i="1"/>
  <c r="T578" i="1"/>
  <c r="U578" i="1"/>
  <c r="BB578" i="1"/>
  <c r="BW578" i="1"/>
  <c r="A579" i="1"/>
  <c r="C579" i="1"/>
  <c r="S579" i="1"/>
  <c r="T579" i="1"/>
  <c r="U579" i="1"/>
  <c r="BB579" i="1"/>
  <c r="BW579" i="1"/>
  <c r="A580" i="1"/>
  <c r="C580" i="1"/>
  <c r="S580" i="1"/>
  <c r="T580" i="1"/>
  <c r="U580" i="1"/>
  <c r="BB580" i="1"/>
  <c r="BW580" i="1"/>
  <c r="A581" i="1"/>
  <c r="C581" i="1"/>
  <c r="S581" i="1"/>
  <c r="T581" i="1"/>
  <c r="U581" i="1"/>
  <c r="BB581" i="1"/>
  <c r="BW581" i="1"/>
  <c r="A582" i="1"/>
  <c r="C582" i="1"/>
  <c r="S582" i="1"/>
  <c r="T582" i="1"/>
  <c r="U582" i="1"/>
  <c r="BB582" i="1"/>
  <c r="BW582" i="1"/>
  <c r="A583" i="1"/>
  <c r="C583" i="1"/>
  <c r="S583" i="1"/>
  <c r="T583" i="1"/>
  <c r="U583" i="1"/>
  <c r="BB583" i="1"/>
  <c r="BW583" i="1"/>
  <c r="A584" i="1"/>
  <c r="C584" i="1"/>
  <c r="S584" i="1"/>
  <c r="T584" i="1"/>
  <c r="U584" i="1"/>
  <c r="BB584" i="1"/>
  <c r="BW584" i="1"/>
  <c r="A585" i="1"/>
  <c r="C585" i="1"/>
  <c r="S585" i="1"/>
  <c r="T585" i="1"/>
  <c r="U585" i="1"/>
  <c r="BB585" i="1"/>
  <c r="BW585" i="1"/>
  <c r="A586" i="1"/>
  <c r="C586" i="1"/>
  <c r="S586" i="1"/>
  <c r="T586" i="1"/>
  <c r="U586" i="1"/>
  <c r="BB586" i="1"/>
  <c r="BW586" i="1"/>
  <c r="A587" i="1"/>
  <c r="C587" i="1"/>
  <c r="S587" i="1"/>
  <c r="T587" i="1"/>
  <c r="U587" i="1"/>
  <c r="BB587" i="1"/>
  <c r="BW587" i="1"/>
  <c r="A588" i="1"/>
  <c r="C588" i="1"/>
  <c r="S588" i="1"/>
  <c r="T588" i="1"/>
  <c r="U588" i="1"/>
  <c r="BB588" i="1"/>
  <c r="BW588" i="1"/>
  <c r="A589" i="1"/>
  <c r="C589" i="1"/>
  <c r="S589" i="1"/>
  <c r="T589" i="1"/>
  <c r="U589" i="1"/>
  <c r="BB589" i="1"/>
  <c r="BW589" i="1"/>
  <c r="A590" i="1"/>
  <c r="C590" i="1"/>
  <c r="S590" i="1"/>
  <c r="T590" i="1"/>
  <c r="U590" i="1"/>
  <c r="BB590" i="1"/>
  <c r="BW590" i="1"/>
  <c r="A591" i="1"/>
  <c r="C591" i="1"/>
  <c r="S591" i="1"/>
  <c r="T591" i="1"/>
  <c r="U591" i="1"/>
  <c r="BB591" i="1"/>
  <c r="BW591" i="1"/>
  <c r="A592" i="1"/>
  <c r="C592" i="1"/>
  <c r="S592" i="1"/>
  <c r="T592" i="1"/>
  <c r="U592" i="1"/>
  <c r="BB592" i="1"/>
  <c r="BW592" i="1"/>
  <c r="A593" i="1"/>
  <c r="C593" i="1"/>
  <c r="S593" i="1"/>
  <c r="T593" i="1"/>
  <c r="U593" i="1"/>
  <c r="BB593" i="1"/>
  <c r="BW593" i="1"/>
  <c r="A594" i="1"/>
  <c r="C594" i="1"/>
  <c r="S594" i="1"/>
  <c r="T594" i="1"/>
  <c r="U594" i="1"/>
  <c r="BB594" i="1"/>
  <c r="BW594" i="1"/>
  <c r="A595" i="1"/>
  <c r="C595" i="1"/>
  <c r="S595" i="1"/>
  <c r="T595" i="1"/>
  <c r="U595" i="1"/>
  <c r="BB595" i="1"/>
  <c r="BW595" i="1"/>
  <c r="A596" i="1"/>
  <c r="C596" i="1"/>
  <c r="S596" i="1"/>
  <c r="T596" i="1"/>
  <c r="U596" i="1"/>
  <c r="BB596" i="1"/>
  <c r="BW596" i="1"/>
  <c r="A597" i="1"/>
  <c r="C597" i="1"/>
  <c r="S597" i="1"/>
  <c r="T597" i="1"/>
  <c r="U597" i="1"/>
  <c r="BB597" i="1"/>
  <c r="BW597" i="1"/>
  <c r="A598" i="1"/>
  <c r="C598" i="1"/>
  <c r="S598" i="1"/>
  <c r="T598" i="1"/>
  <c r="U598" i="1"/>
  <c r="BB598" i="1"/>
  <c r="BW598" i="1"/>
  <c r="A599" i="1"/>
  <c r="C599" i="1"/>
  <c r="S599" i="1"/>
  <c r="T599" i="1"/>
  <c r="U599" i="1"/>
  <c r="BB599" i="1"/>
  <c r="BW599" i="1"/>
  <c r="A600" i="1"/>
  <c r="C600" i="1"/>
  <c r="S600" i="1"/>
  <c r="T600" i="1"/>
  <c r="U600" i="1"/>
  <c r="BB600" i="1"/>
  <c r="BW600" i="1"/>
  <c r="A601" i="1"/>
  <c r="C601" i="1"/>
  <c r="S601" i="1"/>
  <c r="T601" i="1"/>
  <c r="U601" i="1"/>
  <c r="BB601" i="1"/>
  <c r="BW601" i="1"/>
  <c r="A602" i="1"/>
  <c r="C602" i="1"/>
  <c r="S602" i="1"/>
  <c r="T602" i="1"/>
  <c r="U602" i="1"/>
  <c r="BB602" i="1"/>
  <c r="BW602" i="1"/>
  <c r="A603" i="1"/>
  <c r="C603" i="1"/>
  <c r="S603" i="1"/>
  <c r="T603" i="1"/>
  <c r="U603" i="1"/>
  <c r="BB603" i="1"/>
  <c r="BW603" i="1"/>
  <c r="A604" i="1"/>
  <c r="C604" i="1"/>
  <c r="S604" i="1"/>
  <c r="T604" i="1"/>
  <c r="U604" i="1"/>
  <c r="BB604" i="1"/>
  <c r="BW604" i="1"/>
  <c r="A605" i="1"/>
  <c r="C605" i="1"/>
  <c r="S605" i="1"/>
  <c r="T605" i="1"/>
  <c r="U605" i="1"/>
  <c r="BB605" i="1"/>
  <c r="BW605" i="1"/>
  <c r="A606" i="1"/>
  <c r="C606" i="1"/>
  <c r="S606" i="1"/>
  <c r="T606" i="1"/>
  <c r="U606" i="1"/>
  <c r="BB606" i="1"/>
  <c r="BW606" i="1"/>
  <c r="A607" i="1"/>
  <c r="C607" i="1"/>
  <c r="S607" i="1"/>
  <c r="T607" i="1"/>
  <c r="U607" i="1"/>
  <c r="BB607" i="1"/>
  <c r="BW607" i="1"/>
  <c r="A608" i="1"/>
  <c r="C608" i="1"/>
  <c r="S608" i="1"/>
  <c r="T608" i="1"/>
  <c r="U608" i="1"/>
  <c r="BB608" i="1"/>
  <c r="BW608" i="1"/>
  <c r="A609" i="1"/>
  <c r="C609" i="1"/>
  <c r="S609" i="1"/>
  <c r="T609" i="1"/>
  <c r="U609" i="1"/>
  <c r="BB609" i="1"/>
  <c r="BW609" i="1"/>
  <c r="A610" i="1"/>
  <c r="C610" i="1"/>
  <c r="S610" i="1"/>
  <c r="T610" i="1"/>
  <c r="U610" i="1"/>
  <c r="BB610" i="1"/>
  <c r="BW610" i="1"/>
  <c r="A611" i="1"/>
  <c r="C611" i="1"/>
  <c r="S611" i="1"/>
  <c r="T611" i="1"/>
  <c r="U611" i="1"/>
  <c r="BB611" i="1"/>
  <c r="BW611" i="1"/>
  <c r="A612" i="1"/>
  <c r="C612" i="1"/>
  <c r="S612" i="1"/>
  <c r="T612" i="1"/>
  <c r="U612" i="1"/>
  <c r="BB612" i="1"/>
  <c r="BW612" i="1"/>
  <c r="A613" i="1"/>
  <c r="C613" i="1"/>
  <c r="S613" i="1"/>
  <c r="T613" i="1"/>
  <c r="U613" i="1"/>
  <c r="BB613" i="1"/>
  <c r="BW613" i="1"/>
  <c r="A614" i="1"/>
  <c r="C614" i="1"/>
  <c r="S614" i="1"/>
  <c r="T614" i="1"/>
  <c r="U614" i="1"/>
  <c r="BB614" i="1"/>
  <c r="BW614" i="1"/>
  <c r="A615" i="1"/>
  <c r="C615" i="1"/>
  <c r="S615" i="1"/>
  <c r="T615" i="1"/>
  <c r="U615" i="1"/>
  <c r="BB615" i="1"/>
  <c r="BW615" i="1"/>
  <c r="A616" i="1"/>
  <c r="C616" i="1"/>
  <c r="S616" i="1"/>
  <c r="T616" i="1"/>
  <c r="U616" i="1"/>
  <c r="BB616" i="1"/>
  <c r="BW616" i="1"/>
  <c r="A617" i="1"/>
  <c r="C617" i="1"/>
  <c r="S617" i="1"/>
  <c r="T617" i="1"/>
  <c r="U617" i="1"/>
  <c r="BB617" i="1"/>
  <c r="BW617" i="1"/>
  <c r="A618" i="1"/>
  <c r="C618" i="1"/>
  <c r="S618" i="1"/>
  <c r="T618" i="1"/>
  <c r="U618" i="1"/>
  <c r="BB618" i="1"/>
  <c r="BW618" i="1"/>
  <c r="A619" i="1"/>
  <c r="C619" i="1"/>
  <c r="S619" i="1"/>
  <c r="T619" i="1"/>
  <c r="U619" i="1"/>
  <c r="BB619" i="1"/>
  <c r="BW619" i="1"/>
  <c r="A620" i="1"/>
  <c r="C620" i="1"/>
  <c r="S620" i="1"/>
  <c r="T620" i="1"/>
  <c r="U620" i="1"/>
  <c r="BB620" i="1"/>
  <c r="BW620" i="1"/>
  <c r="A621" i="1"/>
  <c r="C621" i="1"/>
  <c r="S621" i="1"/>
  <c r="T621" i="1"/>
  <c r="U621" i="1"/>
  <c r="BB621" i="1"/>
  <c r="BW621" i="1"/>
  <c r="A622" i="1"/>
  <c r="C622" i="1"/>
  <c r="S622" i="1"/>
  <c r="T622" i="1"/>
  <c r="U622" i="1"/>
  <c r="BB622" i="1"/>
  <c r="BW622" i="1"/>
  <c r="A623" i="1"/>
  <c r="C623" i="1"/>
  <c r="S623" i="1"/>
  <c r="T623" i="1"/>
  <c r="U623" i="1"/>
  <c r="BB623" i="1"/>
  <c r="BW623" i="1"/>
  <c r="A624" i="1"/>
  <c r="C624" i="1"/>
  <c r="S624" i="1"/>
  <c r="T624" i="1"/>
  <c r="U624" i="1"/>
  <c r="BB624" i="1"/>
  <c r="BW624" i="1"/>
  <c r="A625" i="1"/>
  <c r="C625" i="1"/>
  <c r="S625" i="1"/>
  <c r="T625" i="1"/>
  <c r="U625" i="1"/>
  <c r="BB625" i="1"/>
  <c r="BW625" i="1"/>
  <c r="A626" i="1"/>
  <c r="C626" i="1"/>
  <c r="S626" i="1"/>
  <c r="T626" i="1"/>
  <c r="U626" i="1"/>
  <c r="BB626" i="1"/>
  <c r="BW626" i="1"/>
  <c r="A627" i="1"/>
  <c r="C627" i="1"/>
  <c r="S627" i="1"/>
  <c r="T627" i="1"/>
  <c r="U627" i="1"/>
  <c r="BB627" i="1"/>
  <c r="BW627" i="1"/>
  <c r="A628" i="1"/>
  <c r="C628" i="1"/>
  <c r="S628" i="1"/>
  <c r="T628" i="1"/>
  <c r="U628" i="1"/>
  <c r="BB628" i="1"/>
  <c r="BW628" i="1"/>
  <c r="A629" i="1"/>
  <c r="C629" i="1"/>
  <c r="S629" i="1"/>
  <c r="T629" i="1"/>
  <c r="U629" i="1"/>
  <c r="BB629" i="1"/>
  <c r="BW629" i="1"/>
  <c r="A630" i="1"/>
  <c r="C630" i="1"/>
  <c r="S630" i="1"/>
  <c r="T630" i="1"/>
  <c r="U630" i="1"/>
  <c r="BB630" i="1"/>
  <c r="BW630" i="1"/>
  <c r="A631" i="1"/>
  <c r="C631" i="1"/>
  <c r="S631" i="1"/>
  <c r="T631" i="1"/>
  <c r="U631" i="1"/>
  <c r="BB631" i="1"/>
  <c r="BW631" i="1"/>
  <c r="A632" i="1"/>
  <c r="C632" i="1"/>
  <c r="S632" i="1"/>
  <c r="T632" i="1"/>
  <c r="U632" i="1"/>
  <c r="BB632" i="1"/>
  <c r="BW632" i="1"/>
  <c r="A633" i="1"/>
  <c r="C633" i="1"/>
  <c r="S633" i="1"/>
  <c r="T633" i="1"/>
  <c r="U633" i="1"/>
  <c r="BB633" i="1"/>
  <c r="BW633" i="1"/>
  <c r="A634" i="1"/>
  <c r="C634" i="1"/>
  <c r="S634" i="1"/>
  <c r="T634" i="1"/>
  <c r="U634" i="1"/>
  <c r="BB634" i="1"/>
  <c r="BW634" i="1"/>
  <c r="A635" i="1"/>
  <c r="C635" i="1"/>
  <c r="S635" i="1"/>
  <c r="T635" i="1"/>
  <c r="U635" i="1"/>
  <c r="BB635" i="1"/>
  <c r="BW635" i="1"/>
  <c r="A636" i="1"/>
  <c r="C636" i="1"/>
  <c r="S636" i="1"/>
  <c r="T636" i="1"/>
  <c r="U636" i="1"/>
  <c r="BB636" i="1"/>
  <c r="BW636" i="1"/>
  <c r="A637" i="1"/>
  <c r="C637" i="1"/>
  <c r="S637" i="1"/>
  <c r="T637" i="1"/>
  <c r="U637" i="1"/>
  <c r="BB637" i="1"/>
  <c r="BW637" i="1"/>
  <c r="A638" i="1"/>
  <c r="C638" i="1"/>
  <c r="S638" i="1"/>
  <c r="T638" i="1"/>
  <c r="U638" i="1"/>
  <c r="BB638" i="1"/>
  <c r="BW638" i="1"/>
  <c r="A639" i="1"/>
  <c r="C639" i="1"/>
  <c r="S639" i="1"/>
  <c r="T639" i="1"/>
  <c r="U639" i="1"/>
  <c r="BB639" i="1"/>
  <c r="BW639" i="1"/>
  <c r="A640" i="1"/>
  <c r="C640" i="1"/>
  <c r="S640" i="1"/>
  <c r="T640" i="1"/>
  <c r="U640" i="1"/>
  <c r="BB640" i="1"/>
  <c r="BW640" i="1"/>
  <c r="A641" i="1"/>
  <c r="C641" i="1"/>
  <c r="S641" i="1"/>
  <c r="T641" i="1"/>
  <c r="U641" i="1"/>
  <c r="BB641" i="1"/>
  <c r="BW641" i="1"/>
  <c r="A642" i="1"/>
  <c r="C642" i="1"/>
  <c r="S642" i="1"/>
  <c r="T642" i="1"/>
  <c r="U642" i="1"/>
  <c r="BB642" i="1"/>
  <c r="BW642" i="1"/>
  <c r="A643" i="1"/>
  <c r="C643" i="1"/>
  <c r="S643" i="1"/>
  <c r="T643" i="1"/>
  <c r="U643" i="1"/>
  <c r="BB643" i="1"/>
  <c r="BW643" i="1"/>
  <c r="A644" i="1"/>
  <c r="C644" i="1"/>
  <c r="S644" i="1"/>
  <c r="T644" i="1"/>
  <c r="U644" i="1"/>
  <c r="BB644" i="1"/>
  <c r="BW644" i="1"/>
  <c r="A645" i="1"/>
  <c r="C645" i="1"/>
  <c r="S645" i="1"/>
  <c r="T645" i="1"/>
  <c r="U645" i="1"/>
  <c r="BB645" i="1"/>
  <c r="BW645" i="1"/>
  <c r="A646" i="1"/>
  <c r="C646" i="1"/>
  <c r="S646" i="1"/>
  <c r="T646" i="1"/>
  <c r="U646" i="1"/>
  <c r="BB646" i="1"/>
  <c r="BW646" i="1"/>
  <c r="A647" i="1"/>
  <c r="C647" i="1"/>
  <c r="S647" i="1"/>
  <c r="T647" i="1"/>
  <c r="U647" i="1"/>
  <c r="BB647" i="1"/>
  <c r="BW647" i="1"/>
  <c r="A648" i="1"/>
  <c r="C648" i="1"/>
  <c r="S648" i="1"/>
  <c r="T648" i="1"/>
  <c r="U648" i="1"/>
  <c r="BB648" i="1"/>
  <c r="BW648" i="1"/>
  <c r="A649" i="1"/>
  <c r="C649" i="1"/>
  <c r="S649" i="1"/>
  <c r="T649" i="1"/>
  <c r="U649" i="1"/>
  <c r="BB649" i="1"/>
  <c r="BW649" i="1"/>
  <c r="A650" i="1"/>
  <c r="C650" i="1"/>
  <c r="S650" i="1"/>
  <c r="T650" i="1"/>
  <c r="U650" i="1"/>
  <c r="BB650" i="1"/>
  <c r="BW650" i="1"/>
  <c r="A651" i="1"/>
  <c r="C651" i="1"/>
  <c r="S651" i="1"/>
  <c r="T651" i="1"/>
  <c r="U651" i="1"/>
  <c r="BB651" i="1"/>
  <c r="BW651" i="1"/>
  <c r="A652" i="1"/>
  <c r="C652" i="1"/>
  <c r="S652" i="1"/>
  <c r="T652" i="1"/>
  <c r="U652" i="1"/>
  <c r="BB652" i="1"/>
  <c r="BW652" i="1"/>
  <c r="A653" i="1"/>
  <c r="C653" i="1"/>
  <c r="S653" i="1"/>
  <c r="T653" i="1"/>
  <c r="U653" i="1"/>
  <c r="BB653" i="1"/>
  <c r="BW653" i="1"/>
  <c r="A654" i="1"/>
  <c r="C654" i="1"/>
  <c r="S654" i="1"/>
  <c r="T654" i="1"/>
  <c r="U654" i="1"/>
  <c r="BB654" i="1"/>
  <c r="BW654" i="1"/>
  <c r="A655" i="1"/>
  <c r="C655" i="1"/>
  <c r="S655" i="1"/>
  <c r="T655" i="1"/>
  <c r="U655" i="1"/>
  <c r="BB655" i="1"/>
  <c r="BW655" i="1"/>
  <c r="A656" i="1"/>
  <c r="C656" i="1"/>
  <c r="S656" i="1"/>
  <c r="T656" i="1"/>
  <c r="U656" i="1"/>
  <c r="BB656" i="1"/>
  <c r="BW656" i="1"/>
  <c r="A657" i="1"/>
  <c r="C657" i="1"/>
  <c r="S657" i="1"/>
  <c r="T657" i="1"/>
  <c r="U657" i="1"/>
  <c r="BB657" i="1"/>
  <c r="BW657" i="1"/>
  <c r="A658" i="1"/>
  <c r="C658" i="1"/>
  <c r="S658" i="1"/>
  <c r="T658" i="1"/>
  <c r="U658" i="1"/>
  <c r="BB658" i="1"/>
  <c r="BW658" i="1"/>
  <c r="A659" i="1"/>
  <c r="C659" i="1"/>
  <c r="S659" i="1"/>
  <c r="T659" i="1"/>
  <c r="U659" i="1"/>
  <c r="BB659" i="1"/>
  <c r="BW659" i="1"/>
  <c r="A660" i="1"/>
  <c r="C660" i="1"/>
  <c r="S660" i="1"/>
  <c r="T660" i="1"/>
  <c r="U660" i="1"/>
  <c r="BB660" i="1"/>
  <c r="BW660" i="1"/>
  <c r="A661" i="1"/>
  <c r="C661" i="1"/>
  <c r="S661" i="1"/>
  <c r="T661" i="1"/>
  <c r="U661" i="1"/>
  <c r="BB661" i="1"/>
  <c r="BW661" i="1"/>
  <c r="A662" i="1"/>
  <c r="C662" i="1"/>
  <c r="S662" i="1"/>
  <c r="T662" i="1"/>
  <c r="U662" i="1"/>
  <c r="BB662" i="1"/>
  <c r="BW662" i="1"/>
  <c r="A663" i="1"/>
  <c r="C663" i="1"/>
  <c r="S663" i="1"/>
  <c r="T663" i="1"/>
  <c r="U663" i="1"/>
  <c r="BB663" i="1"/>
  <c r="BW663" i="1"/>
  <c r="A664" i="1"/>
  <c r="C664" i="1"/>
  <c r="S664" i="1"/>
  <c r="T664" i="1"/>
  <c r="U664" i="1"/>
  <c r="BB664" i="1"/>
  <c r="BW664" i="1"/>
  <c r="A665" i="1"/>
  <c r="C665" i="1"/>
  <c r="S665" i="1"/>
  <c r="T665" i="1"/>
  <c r="U665" i="1"/>
  <c r="BB665" i="1"/>
  <c r="BW665" i="1"/>
  <c r="A666" i="1"/>
  <c r="C666" i="1"/>
  <c r="S666" i="1"/>
  <c r="T666" i="1"/>
  <c r="U666" i="1"/>
  <c r="BB666" i="1"/>
  <c r="BW666" i="1"/>
  <c r="A667" i="1"/>
  <c r="C667" i="1"/>
  <c r="S667" i="1"/>
  <c r="T667" i="1"/>
  <c r="U667" i="1"/>
  <c r="BB667" i="1"/>
  <c r="BW667" i="1"/>
  <c r="A668" i="1"/>
  <c r="C668" i="1"/>
  <c r="S668" i="1"/>
  <c r="T668" i="1"/>
  <c r="U668" i="1"/>
  <c r="BB668" i="1"/>
  <c r="BW668" i="1"/>
  <c r="A669" i="1"/>
  <c r="C669" i="1"/>
  <c r="S669" i="1"/>
  <c r="T669" i="1"/>
  <c r="U669" i="1"/>
  <c r="BB669" i="1"/>
  <c r="BW669" i="1"/>
  <c r="A670" i="1"/>
  <c r="C670" i="1"/>
  <c r="S670" i="1"/>
  <c r="T670" i="1"/>
  <c r="U670" i="1"/>
  <c r="BB670" i="1"/>
  <c r="BW670" i="1"/>
  <c r="A671" i="1"/>
  <c r="C671" i="1"/>
  <c r="S671" i="1"/>
  <c r="T671" i="1"/>
  <c r="U671" i="1"/>
  <c r="BB671" i="1"/>
  <c r="BW671" i="1"/>
  <c r="A672" i="1"/>
  <c r="C672" i="1"/>
  <c r="S672" i="1"/>
  <c r="T672" i="1"/>
  <c r="U672" i="1"/>
  <c r="BB672" i="1"/>
  <c r="BW672" i="1"/>
  <c r="A673" i="1"/>
  <c r="C673" i="1"/>
  <c r="S673" i="1"/>
  <c r="T673" i="1"/>
  <c r="U673" i="1"/>
  <c r="BB673" i="1"/>
  <c r="BW673" i="1"/>
  <c r="A674" i="1"/>
  <c r="C674" i="1"/>
  <c r="S674" i="1"/>
  <c r="T674" i="1"/>
  <c r="U674" i="1"/>
  <c r="BB674" i="1"/>
  <c r="BW674" i="1"/>
  <c r="A675" i="1"/>
  <c r="C675" i="1"/>
  <c r="S675" i="1"/>
  <c r="T675" i="1"/>
  <c r="U675" i="1"/>
  <c r="BB675" i="1"/>
  <c r="BW675" i="1"/>
  <c r="A676" i="1"/>
  <c r="C676" i="1"/>
  <c r="S676" i="1"/>
  <c r="T676" i="1"/>
  <c r="U676" i="1"/>
  <c r="BB676" i="1"/>
  <c r="BW676" i="1"/>
  <c r="A677" i="1"/>
  <c r="C677" i="1"/>
  <c r="S677" i="1"/>
  <c r="T677" i="1"/>
  <c r="U677" i="1"/>
  <c r="BB677" i="1"/>
  <c r="BW677" i="1"/>
  <c r="A678" i="1"/>
  <c r="C678" i="1"/>
  <c r="S678" i="1"/>
  <c r="T678" i="1"/>
  <c r="U678" i="1"/>
  <c r="BB678" i="1"/>
  <c r="BW678" i="1"/>
  <c r="A679" i="1"/>
  <c r="C679" i="1"/>
  <c r="S679" i="1"/>
  <c r="T679" i="1"/>
  <c r="U679" i="1"/>
  <c r="BB679" i="1"/>
  <c r="BW679" i="1"/>
  <c r="A680" i="1"/>
  <c r="C680" i="1"/>
  <c r="S680" i="1"/>
  <c r="T680" i="1"/>
  <c r="U680" i="1"/>
  <c r="BB680" i="1"/>
  <c r="BW680" i="1"/>
  <c r="A681" i="1"/>
  <c r="C681" i="1"/>
  <c r="S681" i="1"/>
  <c r="T681" i="1"/>
  <c r="U681" i="1"/>
  <c r="BB681" i="1"/>
  <c r="BW681" i="1"/>
  <c r="A682" i="1"/>
  <c r="C682" i="1"/>
  <c r="S682" i="1"/>
  <c r="T682" i="1"/>
  <c r="U682" i="1"/>
  <c r="BB682" i="1"/>
  <c r="BW682" i="1"/>
  <c r="A683" i="1"/>
  <c r="C683" i="1"/>
  <c r="S683" i="1"/>
  <c r="T683" i="1"/>
  <c r="U683" i="1"/>
  <c r="BB683" i="1"/>
  <c r="BW683" i="1"/>
  <c r="A684" i="1"/>
  <c r="C684" i="1"/>
  <c r="S684" i="1"/>
  <c r="T684" i="1"/>
  <c r="U684" i="1"/>
  <c r="BB684" i="1"/>
  <c r="BW684" i="1"/>
  <c r="A685" i="1"/>
  <c r="C685" i="1"/>
  <c r="S685" i="1"/>
  <c r="T685" i="1"/>
  <c r="U685" i="1"/>
  <c r="BB685" i="1"/>
  <c r="BW685" i="1"/>
  <c r="A686" i="1"/>
  <c r="C686" i="1"/>
  <c r="S686" i="1"/>
  <c r="T686" i="1"/>
  <c r="U686" i="1"/>
  <c r="BB686" i="1"/>
  <c r="BW686" i="1"/>
  <c r="A687" i="1"/>
  <c r="C687" i="1"/>
  <c r="S687" i="1"/>
  <c r="T687" i="1"/>
  <c r="U687" i="1"/>
  <c r="BB687" i="1"/>
  <c r="BW687" i="1"/>
  <c r="A688" i="1"/>
  <c r="C688" i="1"/>
  <c r="S688" i="1"/>
  <c r="T688" i="1"/>
  <c r="U688" i="1"/>
  <c r="BB688" i="1"/>
  <c r="BW688" i="1"/>
  <c r="A689" i="1"/>
  <c r="C689" i="1"/>
  <c r="S689" i="1"/>
  <c r="T689" i="1"/>
  <c r="U689" i="1"/>
  <c r="BB689" i="1"/>
  <c r="BW689" i="1"/>
  <c r="A690" i="1"/>
  <c r="C690" i="1"/>
  <c r="S690" i="1"/>
  <c r="T690" i="1"/>
  <c r="U690" i="1"/>
  <c r="BB690" i="1"/>
  <c r="BW690" i="1"/>
  <c r="A691" i="1"/>
  <c r="C691" i="1"/>
  <c r="S691" i="1"/>
  <c r="T691" i="1"/>
  <c r="U691" i="1"/>
  <c r="BB691" i="1"/>
  <c r="BW691" i="1"/>
  <c r="A692" i="1"/>
  <c r="C692" i="1"/>
  <c r="S692" i="1"/>
  <c r="T692" i="1"/>
  <c r="U692" i="1"/>
  <c r="BB692" i="1"/>
  <c r="BW692" i="1"/>
  <c r="A693" i="1"/>
  <c r="C693" i="1"/>
  <c r="S693" i="1"/>
  <c r="T693" i="1"/>
  <c r="U693" i="1"/>
  <c r="BB693" i="1"/>
  <c r="BW693" i="1"/>
  <c r="A694" i="1"/>
  <c r="C694" i="1"/>
  <c r="S694" i="1"/>
  <c r="T694" i="1"/>
  <c r="U694" i="1"/>
  <c r="BB694" i="1"/>
  <c r="BW694" i="1"/>
  <c r="A695" i="1"/>
  <c r="C695" i="1"/>
  <c r="S695" i="1"/>
  <c r="T695" i="1"/>
  <c r="U695" i="1"/>
  <c r="BB695" i="1"/>
  <c r="BW695" i="1"/>
  <c r="A696" i="1"/>
  <c r="C696" i="1"/>
  <c r="S696" i="1"/>
  <c r="T696" i="1"/>
  <c r="U696" i="1"/>
  <c r="BB696" i="1"/>
  <c r="BW696" i="1"/>
  <c r="A697" i="1"/>
  <c r="C697" i="1"/>
  <c r="S697" i="1"/>
  <c r="T697" i="1"/>
  <c r="U697" i="1"/>
  <c r="BB697" i="1"/>
  <c r="BW697" i="1"/>
  <c r="A698" i="1"/>
  <c r="C698" i="1"/>
  <c r="S698" i="1"/>
  <c r="T698" i="1"/>
  <c r="U698" i="1"/>
  <c r="BB698" i="1"/>
  <c r="BW698" i="1"/>
  <c r="A699" i="1"/>
  <c r="C699" i="1"/>
  <c r="S699" i="1"/>
  <c r="T699" i="1"/>
  <c r="U699" i="1"/>
  <c r="BB699" i="1"/>
  <c r="BW699" i="1"/>
  <c r="A700" i="1"/>
  <c r="C700" i="1"/>
  <c r="S700" i="1"/>
  <c r="T700" i="1"/>
  <c r="U700" i="1"/>
  <c r="BB700" i="1"/>
  <c r="BW700" i="1"/>
  <c r="A701" i="1"/>
  <c r="C701" i="1"/>
  <c r="S701" i="1"/>
  <c r="T701" i="1"/>
  <c r="U701" i="1"/>
  <c r="BB701" i="1"/>
  <c r="BW701" i="1"/>
  <c r="A702" i="1"/>
  <c r="C702" i="1"/>
  <c r="S702" i="1"/>
  <c r="T702" i="1"/>
  <c r="U702" i="1"/>
  <c r="BB702" i="1"/>
  <c r="BW702" i="1"/>
  <c r="A703" i="1"/>
  <c r="C703" i="1"/>
  <c r="S703" i="1"/>
  <c r="T703" i="1"/>
  <c r="U703" i="1"/>
  <c r="BB703" i="1"/>
  <c r="BW703" i="1"/>
  <c r="A704" i="1"/>
  <c r="C704" i="1"/>
  <c r="S704" i="1"/>
  <c r="T704" i="1"/>
  <c r="U704" i="1"/>
  <c r="BB704" i="1"/>
  <c r="BW704" i="1"/>
  <c r="A705" i="1"/>
  <c r="C705" i="1"/>
  <c r="S705" i="1"/>
  <c r="T705" i="1"/>
  <c r="U705" i="1"/>
  <c r="BB705" i="1"/>
  <c r="BW705" i="1"/>
  <c r="A706" i="1"/>
  <c r="C706" i="1"/>
  <c r="S706" i="1"/>
  <c r="T706" i="1"/>
  <c r="U706" i="1"/>
  <c r="BB706" i="1"/>
  <c r="BW706" i="1"/>
  <c r="A707" i="1"/>
  <c r="C707" i="1"/>
  <c r="S707" i="1"/>
  <c r="T707" i="1"/>
  <c r="U707" i="1"/>
  <c r="BB707" i="1"/>
  <c r="BW707" i="1"/>
  <c r="A708" i="1"/>
  <c r="C708" i="1"/>
  <c r="S708" i="1"/>
  <c r="T708" i="1"/>
  <c r="U708" i="1"/>
  <c r="BB708" i="1"/>
  <c r="BW708" i="1"/>
  <c r="A709" i="1"/>
  <c r="C709" i="1"/>
  <c r="S709" i="1"/>
  <c r="T709" i="1"/>
  <c r="U709" i="1"/>
  <c r="BB709" i="1"/>
  <c r="BW709" i="1"/>
  <c r="A710" i="1"/>
  <c r="C710" i="1"/>
  <c r="S710" i="1"/>
  <c r="T710" i="1"/>
  <c r="U710" i="1"/>
  <c r="BB710" i="1"/>
  <c r="BW710" i="1"/>
  <c r="A711" i="1"/>
  <c r="C711" i="1"/>
  <c r="S711" i="1"/>
  <c r="T711" i="1"/>
  <c r="U711" i="1"/>
  <c r="BB711" i="1"/>
  <c r="BW711" i="1"/>
  <c r="A712" i="1"/>
  <c r="C712" i="1"/>
  <c r="S712" i="1"/>
  <c r="T712" i="1"/>
  <c r="U712" i="1"/>
  <c r="BB712" i="1"/>
  <c r="BW712" i="1"/>
  <c r="A713" i="1"/>
  <c r="C713" i="1"/>
  <c r="S713" i="1"/>
  <c r="T713" i="1"/>
  <c r="U713" i="1"/>
  <c r="BB713" i="1"/>
  <c r="BW713" i="1"/>
  <c r="A714" i="1"/>
  <c r="C714" i="1"/>
  <c r="S714" i="1"/>
  <c r="T714" i="1"/>
  <c r="U714" i="1"/>
  <c r="BB714" i="1"/>
  <c r="BW714" i="1"/>
  <c r="A715" i="1"/>
  <c r="C715" i="1"/>
  <c r="S715" i="1"/>
  <c r="T715" i="1"/>
  <c r="U715" i="1"/>
  <c r="BB715" i="1"/>
  <c r="BW715" i="1"/>
  <c r="A716" i="1"/>
  <c r="C716" i="1"/>
  <c r="S716" i="1"/>
  <c r="T716" i="1"/>
  <c r="U716" i="1"/>
  <c r="BB716" i="1"/>
  <c r="BW716" i="1"/>
  <c r="A717" i="1"/>
  <c r="C717" i="1"/>
  <c r="S717" i="1"/>
  <c r="T717" i="1"/>
  <c r="U717" i="1"/>
  <c r="BB717" i="1"/>
  <c r="BW717" i="1"/>
  <c r="A718" i="1"/>
  <c r="C718" i="1"/>
  <c r="S718" i="1"/>
  <c r="T718" i="1"/>
  <c r="U718" i="1"/>
  <c r="BB718" i="1"/>
  <c r="BW718" i="1"/>
  <c r="A719" i="1"/>
  <c r="C719" i="1"/>
  <c r="S719" i="1"/>
  <c r="T719" i="1"/>
  <c r="U719" i="1"/>
  <c r="BB719" i="1"/>
  <c r="BW719" i="1"/>
  <c r="A720" i="1"/>
  <c r="C720" i="1"/>
  <c r="S720" i="1"/>
  <c r="T720" i="1"/>
  <c r="U720" i="1"/>
  <c r="BB720" i="1"/>
  <c r="BW720" i="1"/>
  <c r="A721" i="1"/>
  <c r="C721" i="1"/>
  <c r="S721" i="1"/>
  <c r="T721" i="1"/>
  <c r="U721" i="1"/>
  <c r="BB721" i="1"/>
  <c r="BW721" i="1"/>
  <c r="A722" i="1"/>
  <c r="C722" i="1"/>
  <c r="S722" i="1"/>
  <c r="T722" i="1"/>
  <c r="U722" i="1"/>
  <c r="BB722" i="1"/>
  <c r="BW722" i="1"/>
  <c r="A723" i="1"/>
  <c r="C723" i="1"/>
  <c r="S723" i="1"/>
  <c r="T723" i="1"/>
  <c r="U723" i="1"/>
  <c r="BB723" i="1"/>
  <c r="BW723" i="1"/>
  <c r="A724" i="1"/>
  <c r="C724" i="1"/>
  <c r="S724" i="1"/>
  <c r="T724" i="1"/>
  <c r="U724" i="1"/>
  <c r="BB724" i="1"/>
  <c r="BW724" i="1"/>
  <c r="A725" i="1"/>
  <c r="C725" i="1"/>
  <c r="S725" i="1"/>
  <c r="T725" i="1"/>
  <c r="U725" i="1"/>
  <c r="BB725" i="1"/>
  <c r="BW725" i="1"/>
  <c r="A726" i="1"/>
  <c r="C726" i="1"/>
  <c r="S726" i="1"/>
  <c r="T726" i="1"/>
  <c r="U726" i="1"/>
  <c r="BB726" i="1"/>
  <c r="BW726" i="1"/>
  <c r="A727" i="1"/>
  <c r="C727" i="1"/>
  <c r="S727" i="1"/>
  <c r="T727" i="1"/>
  <c r="U727" i="1"/>
  <c r="BB727" i="1"/>
  <c r="BW727" i="1"/>
  <c r="A728" i="1"/>
  <c r="C728" i="1"/>
  <c r="S728" i="1"/>
  <c r="T728" i="1"/>
  <c r="U728" i="1"/>
  <c r="BB728" i="1"/>
  <c r="BW728" i="1"/>
  <c r="A729" i="1"/>
  <c r="C729" i="1"/>
  <c r="S729" i="1"/>
  <c r="T729" i="1"/>
  <c r="U729" i="1"/>
  <c r="BB729" i="1"/>
  <c r="BW729" i="1"/>
  <c r="A730" i="1"/>
  <c r="C730" i="1"/>
  <c r="S730" i="1"/>
  <c r="T730" i="1"/>
  <c r="U730" i="1"/>
  <c r="BB730" i="1"/>
  <c r="BW730" i="1"/>
  <c r="A731" i="1"/>
  <c r="C731" i="1"/>
  <c r="S731" i="1"/>
  <c r="T731" i="1"/>
  <c r="U731" i="1"/>
  <c r="BB731" i="1"/>
  <c r="BW731" i="1"/>
  <c r="A732" i="1"/>
  <c r="C732" i="1"/>
  <c r="S732" i="1"/>
  <c r="T732" i="1"/>
  <c r="U732" i="1"/>
  <c r="BB732" i="1"/>
  <c r="BW732" i="1"/>
  <c r="A733" i="1"/>
  <c r="C733" i="1"/>
  <c r="S733" i="1"/>
  <c r="T733" i="1"/>
  <c r="U733" i="1"/>
  <c r="BB733" i="1"/>
  <c r="BW733" i="1"/>
  <c r="A734" i="1"/>
  <c r="C734" i="1"/>
  <c r="S734" i="1"/>
  <c r="T734" i="1"/>
  <c r="U734" i="1"/>
  <c r="BB734" i="1"/>
  <c r="BW734" i="1"/>
  <c r="A735" i="1"/>
  <c r="C735" i="1"/>
  <c r="S735" i="1"/>
  <c r="T735" i="1"/>
  <c r="U735" i="1"/>
  <c r="BB735" i="1"/>
  <c r="BW735" i="1"/>
  <c r="A736" i="1"/>
  <c r="C736" i="1"/>
  <c r="S736" i="1"/>
  <c r="T736" i="1"/>
  <c r="U736" i="1"/>
  <c r="BB736" i="1"/>
  <c r="BW736" i="1"/>
  <c r="A737" i="1"/>
  <c r="C737" i="1"/>
  <c r="S737" i="1"/>
  <c r="T737" i="1"/>
  <c r="U737" i="1"/>
  <c r="BB737" i="1"/>
  <c r="BW737" i="1"/>
  <c r="A738" i="1"/>
  <c r="C738" i="1"/>
  <c r="S738" i="1"/>
  <c r="T738" i="1"/>
  <c r="U738" i="1"/>
  <c r="BB738" i="1"/>
  <c r="BW738" i="1"/>
  <c r="A739" i="1"/>
  <c r="C739" i="1"/>
  <c r="S739" i="1"/>
  <c r="T739" i="1"/>
  <c r="U739" i="1"/>
  <c r="BB739" i="1"/>
  <c r="BW739" i="1"/>
  <c r="A740" i="1"/>
  <c r="C740" i="1"/>
  <c r="S740" i="1"/>
  <c r="T740" i="1"/>
  <c r="U740" i="1"/>
  <c r="BB740" i="1"/>
  <c r="BW740" i="1"/>
  <c r="A741" i="1"/>
  <c r="C741" i="1"/>
  <c r="S741" i="1"/>
  <c r="T741" i="1"/>
  <c r="U741" i="1"/>
  <c r="BB741" i="1"/>
  <c r="BW741" i="1"/>
  <c r="A742" i="1"/>
  <c r="C742" i="1"/>
  <c r="S742" i="1"/>
  <c r="T742" i="1"/>
  <c r="U742" i="1"/>
  <c r="BB742" i="1"/>
  <c r="BW742" i="1"/>
  <c r="A743" i="1"/>
  <c r="C743" i="1"/>
  <c r="S743" i="1"/>
  <c r="T743" i="1"/>
  <c r="U743" i="1"/>
  <c r="BB743" i="1"/>
  <c r="BW743" i="1"/>
  <c r="A744" i="1"/>
  <c r="C744" i="1"/>
  <c r="S744" i="1"/>
  <c r="T744" i="1"/>
  <c r="U744" i="1"/>
  <c r="BB744" i="1"/>
  <c r="BW744" i="1"/>
  <c r="A745" i="1"/>
  <c r="C745" i="1"/>
  <c r="S745" i="1"/>
  <c r="T745" i="1"/>
  <c r="U745" i="1"/>
  <c r="BB745" i="1"/>
  <c r="BW745" i="1"/>
  <c r="A746" i="1"/>
  <c r="C746" i="1"/>
  <c r="S746" i="1"/>
  <c r="T746" i="1"/>
  <c r="U746" i="1"/>
  <c r="BB746" i="1"/>
  <c r="BW746" i="1"/>
  <c r="A747" i="1"/>
  <c r="C747" i="1"/>
  <c r="S747" i="1"/>
  <c r="T747" i="1"/>
  <c r="U747" i="1"/>
  <c r="BB747" i="1"/>
  <c r="BW747" i="1"/>
  <c r="A748" i="1"/>
  <c r="C748" i="1"/>
  <c r="S748" i="1"/>
  <c r="T748" i="1"/>
  <c r="U748" i="1"/>
  <c r="BB748" i="1"/>
  <c r="BW748" i="1"/>
  <c r="A749" i="1"/>
  <c r="C749" i="1"/>
  <c r="S749" i="1"/>
  <c r="T749" i="1"/>
  <c r="U749" i="1"/>
  <c r="BB749" i="1"/>
  <c r="BW749" i="1"/>
  <c r="A750" i="1"/>
  <c r="C750" i="1"/>
  <c r="S750" i="1"/>
  <c r="T750" i="1"/>
  <c r="U750" i="1"/>
  <c r="BB750" i="1"/>
  <c r="BW750" i="1"/>
  <c r="A751" i="1"/>
  <c r="C751" i="1"/>
  <c r="S751" i="1"/>
  <c r="T751" i="1"/>
  <c r="U751" i="1"/>
  <c r="BB751" i="1"/>
  <c r="BW751" i="1"/>
  <c r="A752" i="1"/>
  <c r="C752" i="1"/>
  <c r="S752" i="1"/>
  <c r="T752" i="1"/>
  <c r="U752" i="1"/>
  <c r="BB752" i="1"/>
  <c r="BW752" i="1"/>
  <c r="A753" i="1"/>
  <c r="C753" i="1"/>
  <c r="S753" i="1"/>
  <c r="T753" i="1"/>
  <c r="U753" i="1"/>
  <c r="BB753" i="1"/>
  <c r="BW753" i="1"/>
  <c r="A754" i="1"/>
  <c r="C754" i="1"/>
  <c r="S754" i="1"/>
  <c r="T754" i="1"/>
  <c r="U754" i="1"/>
  <c r="BB754" i="1"/>
  <c r="BW754" i="1"/>
  <c r="A755" i="1"/>
  <c r="C755" i="1"/>
  <c r="S755" i="1"/>
  <c r="T755" i="1"/>
  <c r="U755" i="1"/>
  <c r="BB755" i="1"/>
  <c r="BW755" i="1"/>
  <c r="A756" i="1"/>
  <c r="C756" i="1"/>
  <c r="S756" i="1"/>
  <c r="T756" i="1"/>
  <c r="U756" i="1"/>
  <c r="BB756" i="1"/>
  <c r="BW756" i="1"/>
  <c r="A757" i="1"/>
  <c r="C757" i="1"/>
  <c r="S757" i="1"/>
  <c r="T757" i="1"/>
  <c r="U757" i="1"/>
  <c r="BB757" i="1"/>
  <c r="BW757" i="1"/>
  <c r="A758" i="1"/>
  <c r="C758" i="1"/>
  <c r="S758" i="1"/>
  <c r="T758" i="1"/>
  <c r="U758" i="1"/>
  <c r="BB758" i="1"/>
  <c r="BW758" i="1"/>
  <c r="A759" i="1"/>
  <c r="C759" i="1"/>
  <c r="S759" i="1"/>
  <c r="T759" i="1"/>
  <c r="U759" i="1"/>
  <c r="BB759" i="1"/>
  <c r="BW759" i="1"/>
  <c r="A760" i="1"/>
  <c r="C760" i="1"/>
  <c r="S760" i="1"/>
  <c r="T760" i="1"/>
  <c r="U760" i="1"/>
  <c r="BB760" i="1"/>
  <c r="BW760" i="1"/>
  <c r="A761" i="1"/>
  <c r="C761" i="1"/>
  <c r="S761" i="1"/>
  <c r="T761" i="1"/>
  <c r="U761" i="1"/>
  <c r="BB761" i="1"/>
  <c r="BW761" i="1"/>
  <c r="A762" i="1"/>
  <c r="C762" i="1"/>
  <c r="S762" i="1"/>
  <c r="T762" i="1"/>
  <c r="U762" i="1"/>
  <c r="BB762" i="1"/>
  <c r="BW762" i="1"/>
  <c r="A763" i="1"/>
  <c r="C763" i="1"/>
  <c r="S763" i="1"/>
  <c r="T763" i="1"/>
  <c r="U763" i="1"/>
  <c r="BB763" i="1"/>
  <c r="BW763" i="1"/>
  <c r="A764" i="1"/>
  <c r="C764" i="1"/>
  <c r="S764" i="1"/>
  <c r="T764" i="1"/>
  <c r="U764" i="1"/>
  <c r="BB764" i="1"/>
  <c r="BW764" i="1"/>
  <c r="A765" i="1"/>
  <c r="C765" i="1"/>
  <c r="S765" i="1"/>
  <c r="T765" i="1"/>
  <c r="U765" i="1"/>
  <c r="BB765" i="1"/>
  <c r="BW765" i="1"/>
  <c r="A766" i="1"/>
  <c r="C766" i="1"/>
  <c r="S766" i="1"/>
  <c r="T766" i="1"/>
  <c r="U766" i="1"/>
  <c r="BB766" i="1"/>
  <c r="BW766" i="1"/>
  <c r="A767" i="1"/>
  <c r="C767" i="1"/>
  <c r="S767" i="1"/>
  <c r="T767" i="1"/>
  <c r="U767" i="1"/>
  <c r="BB767" i="1"/>
  <c r="BW767" i="1"/>
  <c r="A768" i="1"/>
  <c r="C768" i="1"/>
  <c r="S768" i="1"/>
  <c r="T768" i="1"/>
  <c r="U768" i="1"/>
  <c r="BB768" i="1"/>
  <c r="BW768" i="1"/>
  <c r="A769" i="1"/>
  <c r="C769" i="1"/>
  <c r="S769" i="1"/>
  <c r="T769" i="1"/>
  <c r="U769" i="1"/>
  <c r="BB769" i="1"/>
  <c r="BW769" i="1"/>
  <c r="A770" i="1"/>
  <c r="C770" i="1"/>
  <c r="S770" i="1"/>
  <c r="T770" i="1"/>
  <c r="U770" i="1"/>
  <c r="BB770" i="1"/>
  <c r="BW770" i="1"/>
  <c r="A771" i="1"/>
  <c r="C771" i="1"/>
  <c r="S771" i="1"/>
  <c r="T771" i="1"/>
  <c r="U771" i="1"/>
  <c r="BB771" i="1"/>
  <c r="BW771" i="1"/>
  <c r="A772" i="1"/>
  <c r="C772" i="1"/>
  <c r="S772" i="1"/>
  <c r="T772" i="1"/>
  <c r="U772" i="1"/>
  <c r="BB772" i="1"/>
  <c r="BW772" i="1"/>
  <c r="A773" i="1"/>
  <c r="C773" i="1"/>
  <c r="S773" i="1"/>
  <c r="T773" i="1"/>
  <c r="U773" i="1"/>
  <c r="BB773" i="1"/>
  <c r="BW773" i="1"/>
  <c r="A774" i="1"/>
  <c r="C774" i="1"/>
  <c r="S774" i="1"/>
  <c r="T774" i="1"/>
  <c r="U774" i="1"/>
  <c r="BB774" i="1"/>
  <c r="BW774" i="1"/>
  <c r="A775" i="1"/>
  <c r="C775" i="1"/>
  <c r="S775" i="1"/>
  <c r="T775" i="1"/>
  <c r="U775" i="1"/>
  <c r="BB775" i="1"/>
  <c r="BW775" i="1"/>
  <c r="A776" i="1"/>
  <c r="C776" i="1"/>
  <c r="S776" i="1"/>
  <c r="T776" i="1"/>
  <c r="U776" i="1"/>
  <c r="BB776" i="1"/>
  <c r="BW776" i="1"/>
  <c r="A777" i="1"/>
  <c r="C777" i="1"/>
  <c r="S777" i="1"/>
  <c r="T777" i="1"/>
  <c r="U777" i="1"/>
  <c r="BB777" i="1"/>
  <c r="BW777" i="1"/>
  <c r="A778" i="1"/>
  <c r="C778" i="1"/>
  <c r="S778" i="1"/>
  <c r="T778" i="1"/>
  <c r="U778" i="1"/>
  <c r="BB778" i="1"/>
  <c r="BW778" i="1"/>
  <c r="A779" i="1"/>
  <c r="C779" i="1"/>
  <c r="S779" i="1"/>
  <c r="T779" i="1"/>
  <c r="U779" i="1"/>
  <c r="BB779" i="1"/>
  <c r="BW779" i="1"/>
  <c r="A780" i="1"/>
  <c r="C780" i="1"/>
  <c r="S780" i="1"/>
  <c r="T780" i="1"/>
  <c r="U780" i="1"/>
  <c r="BB780" i="1"/>
  <c r="BW780" i="1"/>
  <c r="A781" i="1"/>
  <c r="C781" i="1"/>
  <c r="S781" i="1"/>
  <c r="T781" i="1"/>
  <c r="U781" i="1"/>
  <c r="BB781" i="1"/>
  <c r="BW781" i="1"/>
  <c r="A782" i="1"/>
  <c r="C782" i="1"/>
  <c r="S782" i="1"/>
  <c r="T782" i="1"/>
  <c r="U782" i="1"/>
  <c r="BB782" i="1"/>
  <c r="BW782" i="1"/>
  <c r="A783" i="1"/>
  <c r="C783" i="1"/>
  <c r="S783" i="1"/>
  <c r="T783" i="1"/>
  <c r="U783" i="1"/>
  <c r="BB783" i="1"/>
  <c r="BW783" i="1"/>
  <c r="A784" i="1"/>
  <c r="C784" i="1"/>
  <c r="S784" i="1"/>
  <c r="T784" i="1"/>
  <c r="U784" i="1"/>
  <c r="BB784" i="1"/>
  <c r="BW784" i="1"/>
  <c r="A785" i="1"/>
  <c r="C785" i="1"/>
  <c r="S785" i="1"/>
  <c r="T785" i="1"/>
  <c r="U785" i="1"/>
  <c r="BB785" i="1"/>
  <c r="BW785" i="1"/>
  <c r="A786" i="1"/>
  <c r="C786" i="1"/>
  <c r="S786" i="1"/>
  <c r="T786" i="1"/>
  <c r="U786" i="1"/>
  <c r="BB786" i="1"/>
  <c r="BW786" i="1"/>
  <c r="A787" i="1"/>
  <c r="C787" i="1"/>
  <c r="S787" i="1"/>
  <c r="T787" i="1"/>
  <c r="U787" i="1"/>
  <c r="BB787" i="1"/>
  <c r="BW787" i="1"/>
  <c r="A788" i="1"/>
  <c r="C788" i="1"/>
  <c r="S788" i="1"/>
  <c r="T788" i="1"/>
  <c r="U788" i="1"/>
  <c r="BB788" i="1"/>
  <c r="BW788" i="1"/>
  <c r="A789" i="1"/>
  <c r="C789" i="1"/>
  <c r="S789" i="1"/>
  <c r="T789" i="1"/>
  <c r="U789" i="1"/>
  <c r="BB789" i="1"/>
  <c r="BW789" i="1"/>
  <c r="A790" i="1"/>
  <c r="C790" i="1"/>
  <c r="S790" i="1"/>
  <c r="T790" i="1"/>
  <c r="U790" i="1"/>
  <c r="BB790" i="1"/>
  <c r="BW790" i="1"/>
  <c r="A791" i="1"/>
  <c r="C791" i="1"/>
  <c r="S791" i="1"/>
  <c r="T791" i="1"/>
  <c r="U791" i="1"/>
  <c r="BB791" i="1"/>
  <c r="BW791" i="1"/>
  <c r="A792" i="1"/>
  <c r="C792" i="1"/>
  <c r="S792" i="1"/>
  <c r="T792" i="1"/>
  <c r="U792" i="1"/>
  <c r="BB792" i="1"/>
  <c r="BW792" i="1"/>
  <c r="A793" i="1"/>
  <c r="C793" i="1"/>
  <c r="S793" i="1"/>
  <c r="T793" i="1"/>
  <c r="U793" i="1"/>
  <c r="BB793" i="1"/>
  <c r="BW793" i="1"/>
  <c r="A794" i="1"/>
  <c r="C794" i="1"/>
  <c r="S794" i="1"/>
  <c r="T794" i="1"/>
  <c r="U794" i="1"/>
  <c r="BB794" i="1"/>
  <c r="BW794" i="1"/>
  <c r="A795" i="1"/>
  <c r="C795" i="1"/>
  <c r="S795" i="1"/>
  <c r="T795" i="1"/>
  <c r="U795" i="1"/>
  <c r="BB795" i="1"/>
  <c r="BW795" i="1"/>
  <c r="A796" i="1"/>
  <c r="C796" i="1"/>
  <c r="S796" i="1"/>
  <c r="T796" i="1"/>
  <c r="U796" i="1"/>
  <c r="BB796" i="1"/>
  <c r="BW796" i="1"/>
  <c r="A797" i="1"/>
  <c r="C797" i="1"/>
  <c r="S797" i="1"/>
  <c r="T797" i="1"/>
  <c r="U797" i="1"/>
  <c r="BB797" i="1"/>
  <c r="BW797" i="1"/>
  <c r="A798" i="1"/>
  <c r="C798" i="1"/>
  <c r="S798" i="1"/>
  <c r="T798" i="1"/>
  <c r="U798" i="1"/>
  <c r="BB798" i="1"/>
  <c r="BW798" i="1"/>
  <c r="A799" i="1"/>
  <c r="C799" i="1"/>
  <c r="S799" i="1"/>
  <c r="T799" i="1"/>
  <c r="U799" i="1"/>
  <c r="BB799" i="1"/>
  <c r="BW799" i="1"/>
  <c r="A800" i="1"/>
  <c r="C800" i="1"/>
  <c r="S800" i="1"/>
  <c r="T800" i="1"/>
  <c r="U800" i="1"/>
  <c r="BB800" i="1"/>
  <c r="BW800" i="1"/>
  <c r="A801" i="1"/>
  <c r="C801" i="1"/>
  <c r="S801" i="1"/>
  <c r="T801" i="1"/>
  <c r="U801" i="1"/>
  <c r="BB801" i="1"/>
  <c r="BW801" i="1"/>
  <c r="A802" i="1"/>
  <c r="C802" i="1"/>
  <c r="S802" i="1"/>
  <c r="T802" i="1"/>
  <c r="U802" i="1"/>
  <c r="BB802" i="1"/>
  <c r="BW802" i="1"/>
  <c r="A803" i="1"/>
  <c r="C803" i="1"/>
  <c r="S803" i="1"/>
  <c r="T803" i="1"/>
  <c r="U803" i="1"/>
  <c r="BB803" i="1"/>
  <c r="BW803" i="1"/>
  <c r="A804" i="1"/>
  <c r="C804" i="1"/>
  <c r="S804" i="1"/>
  <c r="T804" i="1"/>
  <c r="U804" i="1"/>
  <c r="BB804" i="1"/>
  <c r="BW804" i="1"/>
  <c r="A805" i="1"/>
  <c r="C805" i="1"/>
  <c r="S805" i="1"/>
  <c r="T805" i="1"/>
  <c r="U805" i="1"/>
  <c r="BB805" i="1"/>
  <c r="BW805" i="1"/>
  <c r="A806" i="1"/>
  <c r="C806" i="1"/>
  <c r="S806" i="1"/>
  <c r="T806" i="1"/>
  <c r="U806" i="1"/>
  <c r="BB806" i="1"/>
  <c r="BW806" i="1"/>
  <c r="A807" i="1"/>
  <c r="C807" i="1"/>
  <c r="S807" i="1"/>
  <c r="T807" i="1"/>
  <c r="U807" i="1"/>
  <c r="BB807" i="1"/>
  <c r="BW807" i="1"/>
  <c r="A808" i="1"/>
  <c r="C808" i="1"/>
  <c r="S808" i="1"/>
  <c r="T808" i="1"/>
  <c r="U808" i="1"/>
  <c r="BB808" i="1"/>
  <c r="BW808" i="1"/>
  <c r="A809" i="1"/>
  <c r="C809" i="1"/>
  <c r="S809" i="1"/>
  <c r="T809" i="1"/>
  <c r="U809" i="1"/>
  <c r="BB809" i="1"/>
  <c r="BW809" i="1"/>
  <c r="A810" i="1"/>
  <c r="C810" i="1"/>
  <c r="S810" i="1"/>
  <c r="T810" i="1"/>
  <c r="U810" i="1"/>
  <c r="BB810" i="1"/>
  <c r="BW810" i="1"/>
  <c r="A811" i="1"/>
  <c r="C811" i="1"/>
  <c r="S811" i="1"/>
  <c r="T811" i="1"/>
  <c r="U811" i="1"/>
  <c r="BB811" i="1"/>
  <c r="BW811" i="1"/>
  <c r="A812" i="1"/>
  <c r="C812" i="1"/>
  <c r="S812" i="1"/>
  <c r="T812" i="1"/>
  <c r="U812" i="1"/>
  <c r="BB812" i="1"/>
  <c r="BW812" i="1"/>
  <c r="A813" i="1"/>
  <c r="C813" i="1"/>
  <c r="S813" i="1"/>
  <c r="T813" i="1"/>
  <c r="U813" i="1"/>
  <c r="BB813" i="1"/>
  <c r="BW813" i="1"/>
  <c r="A814" i="1"/>
  <c r="C814" i="1"/>
  <c r="S814" i="1"/>
  <c r="T814" i="1"/>
  <c r="U814" i="1"/>
  <c r="BB814" i="1"/>
  <c r="BW814" i="1"/>
  <c r="A815" i="1"/>
  <c r="C815" i="1"/>
  <c r="S815" i="1"/>
  <c r="T815" i="1"/>
  <c r="U815" i="1"/>
  <c r="BB815" i="1"/>
  <c r="BW815" i="1"/>
  <c r="A816" i="1"/>
  <c r="C816" i="1"/>
  <c r="S816" i="1"/>
  <c r="T816" i="1"/>
  <c r="U816" i="1"/>
  <c r="BB816" i="1"/>
  <c r="BW816" i="1"/>
  <c r="A817" i="1"/>
  <c r="C817" i="1"/>
  <c r="S817" i="1"/>
  <c r="T817" i="1"/>
  <c r="U817" i="1"/>
  <c r="BB817" i="1"/>
  <c r="BW817" i="1"/>
  <c r="A818" i="1"/>
  <c r="C818" i="1"/>
  <c r="S818" i="1"/>
  <c r="T818" i="1"/>
  <c r="U818" i="1"/>
  <c r="BB818" i="1"/>
  <c r="BW818" i="1"/>
  <c r="A819" i="1"/>
  <c r="C819" i="1"/>
  <c r="S819" i="1"/>
  <c r="T819" i="1"/>
  <c r="U819" i="1"/>
  <c r="BB819" i="1"/>
  <c r="BW819" i="1"/>
  <c r="A820" i="1"/>
  <c r="C820" i="1"/>
  <c r="S820" i="1"/>
  <c r="T820" i="1"/>
  <c r="U820" i="1"/>
  <c r="BB820" i="1"/>
  <c r="BW820" i="1"/>
  <c r="A821" i="1"/>
  <c r="C821" i="1"/>
  <c r="S821" i="1"/>
  <c r="T821" i="1"/>
  <c r="U821" i="1"/>
  <c r="BB821" i="1"/>
  <c r="BW821" i="1"/>
  <c r="A822" i="1"/>
  <c r="C822" i="1"/>
  <c r="S822" i="1"/>
  <c r="T822" i="1"/>
  <c r="U822" i="1"/>
  <c r="BB822" i="1"/>
  <c r="BW822" i="1"/>
  <c r="A823" i="1"/>
  <c r="C823" i="1"/>
  <c r="S823" i="1"/>
  <c r="T823" i="1"/>
  <c r="U823" i="1"/>
  <c r="BB823" i="1"/>
  <c r="BW823" i="1"/>
  <c r="A824" i="1"/>
  <c r="C824" i="1"/>
  <c r="S824" i="1"/>
  <c r="T824" i="1"/>
  <c r="U824" i="1"/>
  <c r="BB824" i="1"/>
  <c r="BW824" i="1"/>
  <c r="A825" i="1"/>
  <c r="C825" i="1"/>
  <c r="S825" i="1"/>
  <c r="T825" i="1"/>
  <c r="U825" i="1"/>
  <c r="BB825" i="1"/>
  <c r="BW825" i="1"/>
  <c r="A826" i="1"/>
  <c r="C826" i="1"/>
  <c r="S826" i="1"/>
  <c r="T826" i="1"/>
  <c r="U826" i="1"/>
  <c r="BB826" i="1"/>
  <c r="BW826" i="1"/>
  <c r="A827" i="1"/>
  <c r="C827" i="1"/>
  <c r="S827" i="1"/>
  <c r="T827" i="1"/>
  <c r="U827" i="1"/>
  <c r="BB827" i="1"/>
  <c r="BW827" i="1"/>
  <c r="A828" i="1"/>
  <c r="C828" i="1"/>
  <c r="S828" i="1"/>
  <c r="T828" i="1"/>
  <c r="U828" i="1"/>
  <c r="BB828" i="1"/>
  <c r="BW828" i="1"/>
  <c r="A829" i="1"/>
  <c r="C829" i="1"/>
  <c r="S829" i="1"/>
  <c r="T829" i="1"/>
  <c r="U829" i="1"/>
  <c r="BB829" i="1"/>
  <c r="BW829" i="1"/>
  <c r="A830" i="1"/>
  <c r="C830" i="1"/>
  <c r="S830" i="1"/>
  <c r="T830" i="1"/>
  <c r="U830" i="1"/>
  <c r="BB830" i="1"/>
  <c r="BW830" i="1"/>
  <c r="A831" i="1"/>
  <c r="C831" i="1"/>
  <c r="S831" i="1"/>
  <c r="T831" i="1"/>
  <c r="U831" i="1"/>
  <c r="BB831" i="1"/>
  <c r="BW831" i="1"/>
  <c r="A832" i="1"/>
  <c r="C832" i="1"/>
  <c r="S832" i="1"/>
  <c r="T832" i="1"/>
  <c r="U832" i="1"/>
  <c r="BB832" i="1"/>
  <c r="BW832" i="1"/>
  <c r="A833" i="1"/>
  <c r="C833" i="1"/>
  <c r="S833" i="1"/>
  <c r="T833" i="1"/>
  <c r="U833" i="1"/>
  <c r="BB833" i="1"/>
  <c r="BW833" i="1"/>
  <c r="A834" i="1"/>
  <c r="C834" i="1"/>
  <c r="S834" i="1"/>
  <c r="T834" i="1"/>
  <c r="U834" i="1"/>
  <c r="BB834" i="1"/>
  <c r="BW834" i="1"/>
  <c r="A835" i="1"/>
  <c r="C835" i="1"/>
  <c r="S835" i="1"/>
  <c r="T835" i="1"/>
  <c r="U835" i="1"/>
  <c r="BB835" i="1"/>
  <c r="BW835" i="1"/>
  <c r="A836" i="1"/>
  <c r="C836" i="1"/>
  <c r="S836" i="1"/>
  <c r="T836" i="1"/>
  <c r="U836" i="1"/>
  <c r="BB836" i="1"/>
  <c r="BW836" i="1"/>
  <c r="A837" i="1"/>
  <c r="C837" i="1"/>
  <c r="S837" i="1"/>
  <c r="T837" i="1"/>
  <c r="U837" i="1"/>
  <c r="BB837" i="1"/>
  <c r="BW837" i="1"/>
  <c r="A838" i="1"/>
  <c r="C838" i="1"/>
  <c r="S838" i="1"/>
  <c r="T838" i="1"/>
  <c r="U838" i="1"/>
  <c r="BB838" i="1"/>
  <c r="BW838" i="1"/>
  <c r="A839" i="1"/>
  <c r="C839" i="1"/>
  <c r="S839" i="1"/>
  <c r="T839" i="1"/>
  <c r="U839" i="1"/>
  <c r="BB839" i="1"/>
  <c r="BW839" i="1"/>
  <c r="A840" i="1"/>
  <c r="C840" i="1"/>
  <c r="S840" i="1"/>
  <c r="T840" i="1"/>
  <c r="U840" i="1"/>
  <c r="BB840" i="1"/>
  <c r="BW840" i="1"/>
  <c r="A841" i="1"/>
  <c r="C841" i="1"/>
  <c r="S841" i="1"/>
  <c r="T841" i="1"/>
  <c r="U841" i="1"/>
  <c r="BB841" i="1"/>
  <c r="BW841" i="1"/>
  <c r="A842" i="1"/>
  <c r="C842" i="1"/>
  <c r="S842" i="1"/>
  <c r="T842" i="1"/>
  <c r="U842" i="1"/>
  <c r="BB842" i="1"/>
  <c r="BW842" i="1"/>
  <c r="A843" i="1"/>
  <c r="C843" i="1"/>
  <c r="S843" i="1"/>
  <c r="T843" i="1"/>
  <c r="U843" i="1"/>
  <c r="BB843" i="1"/>
  <c r="BW843" i="1"/>
  <c r="A844" i="1"/>
  <c r="C844" i="1"/>
  <c r="S844" i="1"/>
  <c r="T844" i="1"/>
  <c r="U844" i="1"/>
  <c r="BB844" i="1"/>
  <c r="BW844" i="1"/>
  <c r="A845" i="1"/>
  <c r="C845" i="1"/>
  <c r="S845" i="1"/>
  <c r="T845" i="1"/>
  <c r="U845" i="1"/>
  <c r="BB845" i="1"/>
  <c r="BW845" i="1"/>
  <c r="A846" i="1"/>
  <c r="C846" i="1"/>
  <c r="S846" i="1"/>
  <c r="T846" i="1"/>
  <c r="U846" i="1"/>
  <c r="BB846" i="1"/>
  <c r="BW846" i="1"/>
  <c r="A847" i="1"/>
  <c r="C847" i="1"/>
  <c r="S847" i="1"/>
  <c r="T847" i="1"/>
  <c r="U847" i="1"/>
  <c r="BB847" i="1"/>
  <c r="BW847" i="1"/>
  <c r="A848" i="1"/>
  <c r="C848" i="1"/>
  <c r="S848" i="1"/>
  <c r="T848" i="1"/>
  <c r="U848" i="1"/>
  <c r="BB848" i="1"/>
  <c r="BW848" i="1"/>
  <c r="A849" i="1"/>
  <c r="C849" i="1"/>
  <c r="S849" i="1"/>
  <c r="T849" i="1"/>
  <c r="U849" i="1"/>
  <c r="BB849" i="1"/>
  <c r="BW849" i="1"/>
  <c r="A850" i="1"/>
  <c r="C850" i="1"/>
  <c r="S850" i="1"/>
  <c r="T850" i="1"/>
  <c r="U850" i="1"/>
  <c r="BB850" i="1"/>
  <c r="BW850" i="1"/>
  <c r="A851" i="1"/>
  <c r="C851" i="1"/>
  <c r="S851" i="1"/>
  <c r="T851" i="1"/>
  <c r="U851" i="1"/>
  <c r="BB851" i="1"/>
  <c r="BW851" i="1"/>
  <c r="A852" i="1"/>
  <c r="C852" i="1"/>
  <c r="S852" i="1"/>
  <c r="T852" i="1"/>
  <c r="U852" i="1"/>
  <c r="BB852" i="1"/>
  <c r="BW852" i="1"/>
  <c r="A853" i="1"/>
  <c r="C853" i="1"/>
  <c r="S853" i="1"/>
  <c r="T853" i="1"/>
  <c r="U853" i="1"/>
  <c r="BB853" i="1"/>
  <c r="BW853" i="1"/>
  <c r="A854" i="1"/>
  <c r="C854" i="1"/>
  <c r="S854" i="1"/>
  <c r="T854" i="1"/>
  <c r="U854" i="1"/>
  <c r="BB854" i="1"/>
  <c r="BW854" i="1"/>
  <c r="A855" i="1"/>
  <c r="C855" i="1"/>
  <c r="S855" i="1"/>
  <c r="T855" i="1"/>
  <c r="U855" i="1"/>
  <c r="BB855" i="1"/>
  <c r="BW855" i="1"/>
  <c r="A856" i="1"/>
  <c r="C856" i="1"/>
  <c r="S856" i="1"/>
  <c r="T856" i="1"/>
  <c r="U856" i="1"/>
  <c r="BB856" i="1"/>
  <c r="BW856" i="1"/>
  <c r="A857" i="1"/>
  <c r="C857" i="1"/>
  <c r="S857" i="1"/>
  <c r="T857" i="1"/>
  <c r="U857" i="1"/>
  <c r="BB857" i="1"/>
  <c r="BW857" i="1"/>
  <c r="A858" i="1"/>
  <c r="C858" i="1"/>
  <c r="S858" i="1"/>
  <c r="T858" i="1"/>
  <c r="U858" i="1"/>
  <c r="BB858" i="1"/>
  <c r="BW858" i="1"/>
  <c r="A859" i="1"/>
  <c r="C859" i="1"/>
  <c r="S859" i="1"/>
  <c r="T859" i="1"/>
  <c r="U859" i="1"/>
  <c r="BB859" i="1"/>
  <c r="BW859" i="1"/>
  <c r="A860" i="1"/>
  <c r="C860" i="1"/>
  <c r="S860" i="1"/>
  <c r="T860" i="1"/>
  <c r="U860" i="1"/>
  <c r="BB860" i="1"/>
  <c r="BW860" i="1"/>
  <c r="A861" i="1"/>
  <c r="C861" i="1"/>
  <c r="S861" i="1"/>
  <c r="T861" i="1"/>
  <c r="U861" i="1"/>
  <c r="BB861" i="1"/>
  <c r="BW861" i="1"/>
  <c r="A862" i="1"/>
  <c r="C862" i="1"/>
  <c r="S862" i="1"/>
  <c r="T862" i="1"/>
  <c r="U862" i="1"/>
  <c r="BB862" i="1"/>
  <c r="BW862" i="1"/>
  <c r="A863" i="1"/>
  <c r="C863" i="1"/>
  <c r="S863" i="1"/>
  <c r="T863" i="1"/>
  <c r="U863" i="1"/>
  <c r="BB863" i="1"/>
  <c r="BW863" i="1"/>
  <c r="A864" i="1"/>
  <c r="C864" i="1"/>
  <c r="S864" i="1"/>
  <c r="T864" i="1"/>
  <c r="U864" i="1"/>
  <c r="BB864" i="1"/>
  <c r="BW864" i="1"/>
  <c r="A865" i="1"/>
  <c r="C865" i="1"/>
  <c r="S865" i="1"/>
  <c r="T865" i="1"/>
  <c r="U865" i="1"/>
  <c r="BB865" i="1"/>
  <c r="BW865" i="1"/>
  <c r="A866" i="1"/>
  <c r="C866" i="1"/>
  <c r="S866" i="1"/>
  <c r="T866" i="1"/>
  <c r="U866" i="1"/>
  <c r="BB866" i="1"/>
  <c r="BW866" i="1"/>
  <c r="A867" i="1"/>
  <c r="C867" i="1"/>
  <c r="S867" i="1"/>
  <c r="T867" i="1"/>
  <c r="U867" i="1"/>
  <c r="BB867" i="1"/>
  <c r="BW867" i="1"/>
  <c r="A868" i="1"/>
  <c r="C868" i="1"/>
  <c r="S868" i="1"/>
  <c r="T868" i="1"/>
  <c r="U868" i="1"/>
  <c r="BB868" i="1"/>
  <c r="BW868" i="1"/>
  <c r="A869" i="1"/>
  <c r="C869" i="1"/>
  <c r="S869" i="1"/>
  <c r="T869" i="1"/>
  <c r="U869" i="1"/>
  <c r="BB869" i="1"/>
  <c r="BW869" i="1"/>
  <c r="A870" i="1"/>
  <c r="C870" i="1"/>
  <c r="S870" i="1"/>
  <c r="T870" i="1"/>
  <c r="U870" i="1"/>
  <c r="BB870" i="1"/>
  <c r="BW870" i="1"/>
  <c r="A871" i="1"/>
  <c r="C871" i="1"/>
  <c r="S871" i="1"/>
  <c r="T871" i="1"/>
  <c r="U871" i="1"/>
  <c r="BB871" i="1"/>
  <c r="BW871" i="1"/>
  <c r="A872" i="1"/>
  <c r="C872" i="1"/>
  <c r="S872" i="1"/>
  <c r="T872" i="1"/>
  <c r="U872" i="1"/>
  <c r="BB872" i="1"/>
  <c r="BW872" i="1"/>
  <c r="A873" i="1"/>
  <c r="C873" i="1"/>
  <c r="S873" i="1"/>
  <c r="T873" i="1"/>
  <c r="U873" i="1"/>
  <c r="BB873" i="1"/>
  <c r="BW873" i="1"/>
  <c r="A874" i="1"/>
  <c r="C874" i="1"/>
  <c r="S874" i="1"/>
  <c r="T874" i="1"/>
  <c r="U874" i="1"/>
  <c r="BB874" i="1"/>
  <c r="BW874" i="1"/>
  <c r="A875" i="1"/>
  <c r="C875" i="1"/>
  <c r="S875" i="1"/>
  <c r="T875" i="1"/>
  <c r="U875" i="1"/>
  <c r="BB875" i="1"/>
  <c r="BW875" i="1"/>
  <c r="A876" i="1"/>
  <c r="C876" i="1"/>
  <c r="S876" i="1"/>
  <c r="T876" i="1"/>
  <c r="U876" i="1"/>
  <c r="BB876" i="1"/>
  <c r="BW876" i="1"/>
  <c r="A877" i="1"/>
  <c r="C877" i="1"/>
  <c r="S877" i="1"/>
  <c r="T877" i="1"/>
  <c r="U877" i="1"/>
  <c r="BB877" i="1"/>
  <c r="BW877" i="1"/>
  <c r="A878" i="1"/>
  <c r="C878" i="1"/>
  <c r="S878" i="1"/>
  <c r="T878" i="1"/>
  <c r="U878" i="1"/>
  <c r="BB878" i="1"/>
  <c r="BW878" i="1"/>
  <c r="A879" i="1"/>
  <c r="C879" i="1"/>
  <c r="S879" i="1"/>
  <c r="T879" i="1"/>
  <c r="U879" i="1"/>
  <c r="BB879" i="1"/>
  <c r="BW879" i="1"/>
  <c r="A880" i="1"/>
  <c r="C880" i="1"/>
  <c r="S880" i="1"/>
  <c r="T880" i="1"/>
  <c r="U880" i="1"/>
  <c r="BB880" i="1"/>
  <c r="BW880" i="1"/>
  <c r="A881" i="1"/>
  <c r="C881" i="1"/>
  <c r="S881" i="1"/>
  <c r="T881" i="1"/>
  <c r="U881" i="1"/>
  <c r="BB881" i="1"/>
  <c r="BW881" i="1"/>
  <c r="A882" i="1"/>
  <c r="C882" i="1"/>
  <c r="S882" i="1"/>
  <c r="T882" i="1"/>
  <c r="U882" i="1"/>
  <c r="BB882" i="1"/>
  <c r="BW882" i="1"/>
  <c r="A883" i="1"/>
  <c r="C883" i="1"/>
  <c r="S883" i="1"/>
  <c r="T883" i="1"/>
  <c r="U883" i="1"/>
  <c r="BB883" i="1"/>
  <c r="BW883" i="1"/>
  <c r="A884" i="1"/>
  <c r="C884" i="1"/>
  <c r="S884" i="1"/>
  <c r="T884" i="1"/>
  <c r="U884" i="1"/>
  <c r="BB884" i="1"/>
  <c r="BW884" i="1"/>
  <c r="A885" i="1"/>
  <c r="C885" i="1"/>
  <c r="S885" i="1"/>
  <c r="T885" i="1"/>
  <c r="U885" i="1"/>
  <c r="BB885" i="1"/>
  <c r="BW885" i="1"/>
  <c r="A886" i="1"/>
  <c r="C886" i="1"/>
  <c r="S886" i="1"/>
  <c r="T886" i="1"/>
  <c r="U886" i="1"/>
  <c r="BB886" i="1"/>
  <c r="BW886" i="1"/>
  <c r="A887" i="1"/>
  <c r="C887" i="1"/>
  <c r="S887" i="1"/>
  <c r="T887" i="1"/>
  <c r="U887" i="1"/>
  <c r="BB887" i="1"/>
  <c r="BW887" i="1"/>
  <c r="A888" i="1"/>
  <c r="C888" i="1"/>
  <c r="S888" i="1"/>
  <c r="T888" i="1"/>
  <c r="U888" i="1"/>
  <c r="BB888" i="1"/>
  <c r="BW888" i="1"/>
  <c r="A889" i="1"/>
  <c r="C889" i="1"/>
  <c r="S889" i="1"/>
  <c r="T889" i="1"/>
  <c r="U889" i="1"/>
  <c r="BB889" i="1"/>
  <c r="BW889" i="1"/>
  <c r="A890" i="1"/>
  <c r="C890" i="1"/>
  <c r="S890" i="1"/>
  <c r="T890" i="1"/>
  <c r="U890" i="1"/>
  <c r="BB890" i="1"/>
  <c r="BW890" i="1"/>
  <c r="A891" i="1"/>
  <c r="C891" i="1"/>
  <c r="S891" i="1"/>
  <c r="T891" i="1"/>
  <c r="U891" i="1"/>
  <c r="BB891" i="1"/>
  <c r="BW891" i="1"/>
  <c r="A892" i="1"/>
  <c r="C892" i="1"/>
  <c r="S892" i="1"/>
  <c r="T892" i="1"/>
  <c r="U892" i="1"/>
  <c r="BB892" i="1"/>
  <c r="BW892" i="1"/>
  <c r="A893" i="1"/>
  <c r="C893" i="1"/>
  <c r="S893" i="1"/>
  <c r="T893" i="1"/>
  <c r="U893" i="1"/>
  <c r="BB893" i="1"/>
  <c r="BW893" i="1"/>
  <c r="A894" i="1"/>
  <c r="C894" i="1"/>
  <c r="S894" i="1"/>
  <c r="T894" i="1"/>
  <c r="U894" i="1"/>
  <c r="BB894" i="1"/>
  <c r="BW894" i="1"/>
  <c r="A895" i="1"/>
  <c r="C895" i="1"/>
  <c r="S895" i="1"/>
  <c r="T895" i="1"/>
  <c r="U895" i="1"/>
  <c r="BB895" i="1"/>
  <c r="BW895" i="1"/>
  <c r="A896" i="1"/>
  <c r="C896" i="1"/>
  <c r="S896" i="1"/>
  <c r="T896" i="1"/>
  <c r="U896" i="1"/>
  <c r="BB896" i="1"/>
  <c r="BW896" i="1"/>
  <c r="A897" i="1"/>
  <c r="C897" i="1"/>
  <c r="S897" i="1"/>
  <c r="T897" i="1"/>
  <c r="U897" i="1"/>
  <c r="BB897" i="1"/>
  <c r="BW897" i="1"/>
  <c r="A898" i="1"/>
  <c r="C898" i="1"/>
  <c r="S898" i="1"/>
  <c r="T898" i="1"/>
  <c r="U898" i="1"/>
  <c r="BB898" i="1"/>
  <c r="BW898" i="1"/>
  <c r="A899" i="1"/>
  <c r="C899" i="1"/>
  <c r="S899" i="1"/>
  <c r="T899" i="1"/>
  <c r="U899" i="1"/>
  <c r="BB899" i="1"/>
  <c r="BW899" i="1"/>
  <c r="A900" i="1"/>
  <c r="C900" i="1"/>
  <c r="S900" i="1"/>
  <c r="T900" i="1"/>
  <c r="U900" i="1"/>
  <c r="BB900" i="1"/>
  <c r="BW900" i="1"/>
  <c r="A901" i="1"/>
  <c r="C901" i="1"/>
  <c r="S901" i="1"/>
  <c r="T901" i="1"/>
  <c r="U901" i="1"/>
  <c r="BB901" i="1"/>
  <c r="BW901" i="1"/>
  <c r="A902" i="1"/>
  <c r="C902" i="1"/>
  <c r="S902" i="1"/>
  <c r="T902" i="1"/>
  <c r="U902" i="1"/>
  <c r="BB902" i="1"/>
  <c r="BW902" i="1"/>
  <c r="A903" i="1"/>
  <c r="C903" i="1"/>
  <c r="S903" i="1"/>
  <c r="T903" i="1"/>
  <c r="U903" i="1"/>
  <c r="BB903" i="1"/>
  <c r="BW903" i="1"/>
  <c r="A904" i="1"/>
  <c r="C904" i="1"/>
  <c r="S904" i="1"/>
  <c r="T904" i="1"/>
  <c r="U904" i="1"/>
  <c r="BB904" i="1"/>
  <c r="BW904" i="1"/>
  <c r="A905" i="1"/>
  <c r="C905" i="1"/>
  <c r="S905" i="1"/>
  <c r="T905" i="1"/>
  <c r="U905" i="1"/>
  <c r="BB905" i="1"/>
  <c r="BW905" i="1"/>
  <c r="A906" i="1"/>
  <c r="C906" i="1"/>
  <c r="S906" i="1"/>
  <c r="T906" i="1"/>
  <c r="U906" i="1"/>
  <c r="BB906" i="1"/>
  <c r="BW906" i="1"/>
  <c r="A907" i="1"/>
  <c r="C907" i="1"/>
  <c r="S907" i="1"/>
  <c r="T907" i="1"/>
  <c r="U907" i="1"/>
  <c r="BB907" i="1"/>
  <c r="BW907" i="1"/>
  <c r="A908" i="1"/>
  <c r="C908" i="1"/>
  <c r="S908" i="1"/>
  <c r="T908" i="1"/>
  <c r="U908" i="1"/>
  <c r="BB908" i="1"/>
  <c r="BW908" i="1"/>
  <c r="A909" i="1"/>
  <c r="C909" i="1"/>
  <c r="S909" i="1"/>
  <c r="T909" i="1"/>
  <c r="U909" i="1"/>
  <c r="BB909" i="1"/>
  <c r="BW909" i="1"/>
  <c r="A910" i="1"/>
  <c r="C910" i="1"/>
  <c r="S910" i="1"/>
  <c r="T910" i="1"/>
  <c r="U910" i="1"/>
  <c r="BB910" i="1"/>
  <c r="BW910" i="1"/>
  <c r="A911" i="1"/>
  <c r="C911" i="1"/>
  <c r="S911" i="1"/>
  <c r="T911" i="1"/>
  <c r="U911" i="1"/>
  <c r="BB911" i="1"/>
  <c r="BW911" i="1"/>
  <c r="A912" i="1"/>
  <c r="C912" i="1"/>
  <c r="S912" i="1"/>
  <c r="T912" i="1"/>
  <c r="U912" i="1"/>
  <c r="BB912" i="1"/>
  <c r="BW912" i="1"/>
  <c r="A913" i="1"/>
  <c r="C913" i="1"/>
  <c r="S913" i="1"/>
  <c r="T913" i="1"/>
  <c r="U913" i="1"/>
  <c r="BB913" i="1"/>
  <c r="BW913" i="1"/>
  <c r="A914" i="1"/>
  <c r="C914" i="1"/>
  <c r="S914" i="1"/>
  <c r="T914" i="1"/>
  <c r="U914" i="1"/>
  <c r="BB914" i="1"/>
  <c r="BW914" i="1"/>
  <c r="A915" i="1"/>
  <c r="C915" i="1"/>
  <c r="S915" i="1"/>
  <c r="T915" i="1"/>
  <c r="U915" i="1"/>
  <c r="BB915" i="1"/>
  <c r="BW915" i="1"/>
  <c r="A916" i="1"/>
  <c r="C916" i="1"/>
  <c r="S916" i="1"/>
  <c r="T916" i="1"/>
  <c r="U916" i="1"/>
  <c r="BB916" i="1"/>
  <c r="BW916" i="1"/>
  <c r="A917" i="1"/>
  <c r="C917" i="1"/>
  <c r="S917" i="1"/>
  <c r="T917" i="1"/>
  <c r="U917" i="1"/>
  <c r="BB917" i="1"/>
  <c r="BW917" i="1"/>
  <c r="A918" i="1"/>
  <c r="C918" i="1"/>
  <c r="S918" i="1"/>
  <c r="T918" i="1"/>
  <c r="U918" i="1"/>
  <c r="BB918" i="1"/>
  <c r="BW918" i="1"/>
  <c r="A919" i="1"/>
  <c r="C919" i="1"/>
  <c r="S919" i="1"/>
  <c r="T919" i="1"/>
  <c r="U919" i="1"/>
  <c r="BB919" i="1"/>
  <c r="BW919" i="1"/>
  <c r="A920" i="1"/>
  <c r="C920" i="1"/>
  <c r="S920" i="1"/>
  <c r="T920" i="1"/>
  <c r="U920" i="1"/>
  <c r="BB920" i="1"/>
  <c r="BW920" i="1"/>
  <c r="A921" i="1"/>
  <c r="C921" i="1"/>
  <c r="S921" i="1"/>
  <c r="T921" i="1"/>
  <c r="U921" i="1"/>
  <c r="BB921" i="1"/>
  <c r="BW921" i="1"/>
  <c r="A922" i="1"/>
  <c r="C922" i="1"/>
  <c r="S922" i="1"/>
  <c r="T922" i="1"/>
  <c r="U922" i="1"/>
  <c r="BB922" i="1"/>
  <c r="BW922" i="1"/>
  <c r="A923" i="1"/>
  <c r="C923" i="1"/>
  <c r="S923" i="1"/>
  <c r="T923" i="1"/>
  <c r="U923" i="1"/>
  <c r="BB923" i="1"/>
  <c r="BW923" i="1"/>
  <c r="A924" i="1"/>
  <c r="C924" i="1"/>
  <c r="S924" i="1"/>
  <c r="T924" i="1"/>
  <c r="U924" i="1"/>
  <c r="BB924" i="1"/>
  <c r="BW924" i="1"/>
  <c r="A925" i="1"/>
  <c r="C925" i="1"/>
  <c r="S925" i="1"/>
  <c r="T925" i="1"/>
  <c r="U925" i="1"/>
  <c r="BB925" i="1"/>
  <c r="BW925" i="1"/>
  <c r="A926" i="1"/>
  <c r="C926" i="1"/>
  <c r="S926" i="1"/>
  <c r="T926" i="1"/>
  <c r="U926" i="1"/>
  <c r="BB926" i="1"/>
  <c r="BW926" i="1"/>
  <c r="A927" i="1"/>
  <c r="C927" i="1"/>
  <c r="S927" i="1"/>
  <c r="T927" i="1"/>
  <c r="U927" i="1"/>
  <c r="BB927" i="1"/>
  <c r="BW927" i="1"/>
  <c r="A928" i="1"/>
  <c r="C928" i="1"/>
  <c r="S928" i="1"/>
  <c r="T928" i="1"/>
  <c r="U928" i="1"/>
  <c r="BB928" i="1"/>
  <c r="BW928" i="1"/>
  <c r="A929" i="1"/>
  <c r="C929" i="1"/>
  <c r="S929" i="1"/>
  <c r="T929" i="1"/>
  <c r="U929" i="1"/>
  <c r="BB929" i="1"/>
  <c r="BW929" i="1"/>
  <c r="A930" i="1"/>
  <c r="C930" i="1"/>
  <c r="S930" i="1"/>
  <c r="T930" i="1"/>
  <c r="U930" i="1"/>
  <c r="BB930" i="1"/>
  <c r="BW930" i="1"/>
  <c r="A931" i="1"/>
  <c r="C931" i="1"/>
  <c r="S931" i="1"/>
  <c r="T931" i="1"/>
  <c r="U931" i="1"/>
  <c r="BB931" i="1"/>
  <c r="BW931" i="1"/>
  <c r="A932" i="1"/>
  <c r="C932" i="1"/>
  <c r="S932" i="1"/>
  <c r="T932" i="1"/>
  <c r="U932" i="1"/>
  <c r="BB932" i="1"/>
  <c r="BW932" i="1"/>
  <c r="A933" i="1"/>
  <c r="C933" i="1"/>
  <c r="S933" i="1"/>
  <c r="T933" i="1"/>
  <c r="U933" i="1"/>
  <c r="BB933" i="1"/>
  <c r="BW933" i="1"/>
  <c r="A934" i="1"/>
  <c r="C934" i="1"/>
  <c r="S934" i="1"/>
  <c r="T934" i="1"/>
  <c r="U934" i="1"/>
  <c r="BB934" i="1"/>
  <c r="BW934" i="1"/>
  <c r="A935" i="1"/>
  <c r="C935" i="1"/>
  <c r="S935" i="1"/>
  <c r="T935" i="1"/>
  <c r="U935" i="1"/>
  <c r="BB935" i="1"/>
  <c r="BW935" i="1"/>
  <c r="A936" i="1"/>
  <c r="C936" i="1"/>
  <c r="S936" i="1"/>
  <c r="T936" i="1"/>
  <c r="U936" i="1"/>
  <c r="BB936" i="1"/>
  <c r="BW936" i="1"/>
  <c r="A937" i="1"/>
  <c r="C937" i="1"/>
  <c r="S937" i="1"/>
  <c r="T937" i="1"/>
  <c r="U937" i="1"/>
  <c r="BB937" i="1"/>
  <c r="BW937" i="1"/>
  <c r="A938" i="1"/>
  <c r="C938" i="1"/>
  <c r="S938" i="1"/>
  <c r="T938" i="1"/>
  <c r="U938" i="1"/>
  <c r="BB938" i="1"/>
  <c r="BW938" i="1"/>
  <c r="A939" i="1"/>
  <c r="C939" i="1"/>
  <c r="S939" i="1"/>
  <c r="T939" i="1"/>
  <c r="U939" i="1"/>
  <c r="BB939" i="1"/>
  <c r="BW939" i="1"/>
  <c r="A940" i="1"/>
  <c r="C940" i="1"/>
  <c r="S940" i="1"/>
  <c r="T940" i="1"/>
  <c r="U940" i="1"/>
  <c r="BB940" i="1"/>
  <c r="BW940" i="1"/>
  <c r="A941" i="1"/>
  <c r="C941" i="1"/>
  <c r="S941" i="1"/>
  <c r="T941" i="1"/>
  <c r="U941" i="1"/>
  <c r="BB941" i="1"/>
  <c r="BW941" i="1"/>
  <c r="A942" i="1"/>
  <c r="C942" i="1"/>
  <c r="S942" i="1"/>
  <c r="T942" i="1"/>
  <c r="U942" i="1"/>
  <c r="BB942" i="1"/>
  <c r="BW942" i="1"/>
  <c r="A943" i="1"/>
  <c r="C943" i="1"/>
  <c r="S943" i="1"/>
  <c r="T943" i="1"/>
  <c r="U943" i="1"/>
  <c r="BB943" i="1"/>
  <c r="BW943" i="1"/>
  <c r="A944" i="1"/>
  <c r="C944" i="1"/>
  <c r="S944" i="1"/>
  <c r="T944" i="1"/>
  <c r="U944" i="1"/>
  <c r="BB944" i="1"/>
  <c r="BW944" i="1"/>
  <c r="A945" i="1"/>
  <c r="C945" i="1"/>
  <c r="S945" i="1"/>
  <c r="T945" i="1"/>
  <c r="U945" i="1"/>
  <c r="BB945" i="1"/>
  <c r="BW945" i="1"/>
  <c r="A946" i="1"/>
  <c r="C946" i="1"/>
  <c r="S946" i="1"/>
  <c r="T946" i="1"/>
  <c r="U946" i="1"/>
  <c r="BB946" i="1"/>
  <c r="BW946" i="1"/>
  <c r="A947" i="1"/>
  <c r="C947" i="1"/>
  <c r="S947" i="1"/>
  <c r="T947" i="1"/>
  <c r="U947" i="1"/>
  <c r="BB947" i="1"/>
  <c r="BW947" i="1"/>
  <c r="A948" i="1"/>
  <c r="C948" i="1"/>
  <c r="S948" i="1"/>
  <c r="T948" i="1"/>
  <c r="U948" i="1"/>
  <c r="BB948" i="1"/>
  <c r="BW948" i="1"/>
  <c r="A949" i="1"/>
  <c r="C949" i="1"/>
  <c r="S949" i="1"/>
  <c r="T949" i="1"/>
  <c r="U949" i="1"/>
  <c r="BB949" i="1"/>
  <c r="BW949" i="1"/>
  <c r="A950" i="1"/>
  <c r="C950" i="1"/>
  <c r="S950" i="1"/>
  <c r="T950" i="1"/>
  <c r="U950" i="1"/>
  <c r="BB950" i="1"/>
  <c r="BW950" i="1"/>
  <c r="A951" i="1"/>
  <c r="C951" i="1"/>
  <c r="S951" i="1"/>
  <c r="T951" i="1"/>
  <c r="U951" i="1"/>
  <c r="BB951" i="1"/>
  <c r="BW951" i="1"/>
  <c r="A952" i="1"/>
  <c r="C952" i="1"/>
  <c r="S952" i="1"/>
  <c r="T952" i="1"/>
  <c r="U952" i="1"/>
  <c r="BB952" i="1"/>
  <c r="BW952" i="1"/>
  <c r="A953" i="1"/>
  <c r="C953" i="1"/>
  <c r="S953" i="1"/>
  <c r="T953" i="1"/>
  <c r="U953" i="1"/>
  <c r="BB953" i="1"/>
  <c r="BW953" i="1"/>
  <c r="A954" i="1"/>
  <c r="C954" i="1"/>
  <c r="S954" i="1"/>
  <c r="T954" i="1"/>
  <c r="U954" i="1"/>
  <c r="BB954" i="1"/>
  <c r="BW954" i="1"/>
  <c r="A955" i="1"/>
  <c r="C955" i="1"/>
  <c r="S955" i="1"/>
  <c r="T955" i="1"/>
  <c r="U955" i="1"/>
  <c r="BB955" i="1"/>
  <c r="BW955" i="1"/>
  <c r="A956" i="1"/>
  <c r="C956" i="1"/>
  <c r="S956" i="1"/>
  <c r="T956" i="1"/>
  <c r="U956" i="1"/>
  <c r="BB956" i="1"/>
  <c r="BW956" i="1"/>
  <c r="A957" i="1"/>
  <c r="C957" i="1"/>
  <c r="S957" i="1"/>
  <c r="T957" i="1"/>
  <c r="U957" i="1"/>
  <c r="BB957" i="1"/>
  <c r="BW957" i="1"/>
  <c r="A958" i="1"/>
  <c r="C958" i="1"/>
  <c r="S958" i="1"/>
  <c r="T958" i="1"/>
  <c r="U958" i="1"/>
  <c r="BB958" i="1"/>
  <c r="BW958" i="1"/>
  <c r="A959" i="1"/>
  <c r="C959" i="1"/>
  <c r="S959" i="1"/>
  <c r="T959" i="1"/>
  <c r="U959" i="1"/>
  <c r="BB959" i="1"/>
  <c r="BW959" i="1"/>
  <c r="A960" i="1"/>
  <c r="C960" i="1"/>
  <c r="S960" i="1"/>
  <c r="T960" i="1"/>
  <c r="U960" i="1"/>
  <c r="BB960" i="1"/>
  <c r="BW960" i="1"/>
  <c r="A961" i="1"/>
  <c r="C961" i="1"/>
  <c r="S961" i="1"/>
  <c r="T961" i="1"/>
  <c r="U961" i="1"/>
  <c r="BB961" i="1"/>
  <c r="BW961" i="1"/>
  <c r="A962" i="1"/>
  <c r="C962" i="1"/>
  <c r="S962" i="1"/>
  <c r="T962" i="1"/>
  <c r="U962" i="1"/>
  <c r="BB962" i="1"/>
  <c r="BW962" i="1"/>
  <c r="A963" i="1"/>
  <c r="C963" i="1"/>
  <c r="S963" i="1"/>
  <c r="T963" i="1"/>
  <c r="U963" i="1"/>
  <c r="BB963" i="1"/>
  <c r="BW963" i="1"/>
  <c r="A964" i="1"/>
  <c r="C964" i="1"/>
  <c r="S964" i="1"/>
  <c r="T964" i="1"/>
  <c r="U964" i="1"/>
  <c r="BB964" i="1"/>
  <c r="BW964" i="1"/>
  <c r="A965" i="1"/>
  <c r="C965" i="1"/>
  <c r="S965" i="1"/>
  <c r="T965" i="1"/>
  <c r="U965" i="1"/>
  <c r="BB965" i="1"/>
  <c r="BW965" i="1"/>
  <c r="A966" i="1"/>
  <c r="C966" i="1"/>
  <c r="S966" i="1"/>
  <c r="T966" i="1"/>
  <c r="U966" i="1"/>
  <c r="BB966" i="1"/>
  <c r="BW966" i="1"/>
  <c r="A967" i="1"/>
  <c r="C967" i="1"/>
  <c r="S967" i="1"/>
  <c r="T967" i="1"/>
  <c r="U967" i="1"/>
  <c r="BB967" i="1"/>
  <c r="BW967" i="1"/>
  <c r="A968" i="1"/>
  <c r="C968" i="1"/>
  <c r="S968" i="1"/>
  <c r="T968" i="1"/>
  <c r="U968" i="1"/>
  <c r="BB968" i="1"/>
  <c r="BW968" i="1"/>
  <c r="A969" i="1"/>
  <c r="C969" i="1"/>
  <c r="S969" i="1"/>
  <c r="T969" i="1"/>
  <c r="U969" i="1"/>
  <c r="BB969" i="1"/>
  <c r="BW969" i="1"/>
  <c r="A970" i="1"/>
  <c r="C970" i="1"/>
  <c r="S970" i="1"/>
  <c r="T970" i="1"/>
  <c r="U970" i="1"/>
  <c r="BB970" i="1"/>
  <c r="BW970" i="1"/>
  <c r="A971" i="1"/>
  <c r="C971" i="1"/>
  <c r="S971" i="1"/>
  <c r="T971" i="1"/>
  <c r="U971" i="1"/>
  <c r="BB971" i="1"/>
  <c r="BW971" i="1"/>
  <c r="A972" i="1"/>
  <c r="C972" i="1"/>
  <c r="S972" i="1"/>
  <c r="T972" i="1"/>
  <c r="U972" i="1"/>
  <c r="BB972" i="1"/>
  <c r="BW972" i="1"/>
  <c r="A973" i="1"/>
  <c r="C973" i="1"/>
  <c r="S973" i="1"/>
  <c r="T973" i="1"/>
  <c r="U973" i="1"/>
  <c r="BB973" i="1"/>
  <c r="BW973" i="1"/>
  <c r="A974" i="1"/>
  <c r="C974" i="1"/>
  <c r="S974" i="1"/>
  <c r="T974" i="1"/>
  <c r="U974" i="1"/>
  <c r="BB974" i="1"/>
  <c r="BW974" i="1"/>
  <c r="A975" i="1"/>
  <c r="C975" i="1"/>
  <c r="S975" i="1"/>
  <c r="T975" i="1"/>
  <c r="U975" i="1"/>
  <c r="BB975" i="1"/>
  <c r="BW975" i="1"/>
  <c r="A976" i="1"/>
  <c r="C976" i="1"/>
  <c r="S976" i="1"/>
  <c r="T976" i="1"/>
  <c r="U976" i="1"/>
  <c r="BB976" i="1"/>
  <c r="BW976" i="1"/>
  <c r="A977" i="1"/>
  <c r="C977" i="1"/>
  <c r="S977" i="1"/>
  <c r="T977" i="1"/>
  <c r="U977" i="1"/>
  <c r="BB977" i="1"/>
  <c r="BW977" i="1"/>
  <c r="A978" i="1"/>
  <c r="C978" i="1"/>
  <c r="S978" i="1"/>
  <c r="T978" i="1"/>
  <c r="U978" i="1"/>
  <c r="BB978" i="1"/>
  <c r="BW978" i="1"/>
  <c r="A979" i="1"/>
  <c r="C979" i="1"/>
  <c r="S979" i="1"/>
  <c r="T979" i="1"/>
  <c r="U979" i="1"/>
  <c r="BB979" i="1"/>
  <c r="BW979" i="1"/>
  <c r="A980" i="1"/>
  <c r="C980" i="1"/>
  <c r="S980" i="1"/>
  <c r="T980" i="1"/>
  <c r="U980" i="1"/>
  <c r="BB980" i="1"/>
  <c r="BW980" i="1"/>
  <c r="A981" i="1"/>
  <c r="C981" i="1"/>
  <c r="S981" i="1"/>
  <c r="T981" i="1"/>
  <c r="U981" i="1"/>
  <c r="BB981" i="1"/>
  <c r="BW981" i="1"/>
  <c r="A982" i="1"/>
  <c r="C982" i="1"/>
  <c r="S982" i="1"/>
  <c r="T982" i="1"/>
  <c r="U982" i="1"/>
  <c r="BB982" i="1"/>
  <c r="BW982" i="1"/>
  <c r="A983" i="1"/>
  <c r="C983" i="1"/>
  <c r="S983" i="1"/>
  <c r="T983" i="1"/>
  <c r="U983" i="1"/>
  <c r="BB983" i="1"/>
  <c r="BW983" i="1"/>
  <c r="A984" i="1"/>
  <c r="C984" i="1"/>
  <c r="S984" i="1"/>
  <c r="T984" i="1"/>
  <c r="U984" i="1"/>
  <c r="BB984" i="1"/>
  <c r="BW984" i="1"/>
  <c r="A985" i="1"/>
  <c r="C985" i="1"/>
  <c r="S985" i="1"/>
  <c r="T985" i="1"/>
  <c r="U985" i="1"/>
  <c r="BB985" i="1"/>
  <c r="BW985" i="1"/>
  <c r="A986" i="1"/>
  <c r="C986" i="1"/>
  <c r="S986" i="1"/>
  <c r="T986" i="1"/>
  <c r="U986" i="1"/>
  <c r="BB986" i="1"/>
  <c r="BW986" i="1"/>
  <c r="A987" i="1"/>
  <c r="C987" i="1"/>
  <c r="S987" i="1"/>
  <c r="T987" i="1"/>
  <c r="U987" i="1"/>
  <c r="BB987" i="1"/>
  <c r="BW987" i="1"/>
  <c r="A988" i="1"/>
  <c r="C988" i="1"/>
  <c r="S988" i="1"/>
  <c r="T988" i="1"/>
  <c r="U988" i="1"/>
  <c r="BB988" i="1"/>
  <c r="BW988" i="1"/>
  <c r="A989" i="1"/>
  <c r="C989" i="1"/>
  <c r="S989" i="1"/>
  <c r="T989" i="1"/>
  <c r="U989" i="1"/>
  <c r="BB989" i="1"/>
  <c r="BW989" i="1"/>
  <c r="A990" i="1"/>
  <c r="C990" i="1"/>
  <c r="S990" i="1"/>
  <c r="T990" i="1"/>
  <c r="U990" i="1"/>
  <c r="BB990" i="1"/>
  <c r="BW990" i="1"/>
  <c r="A991" i="1"/>
  <c r="C991" i="1"/>
  <c r="S991" i="1"/>
  <c r="T991" i="1"/>
  <c r="U991" i="1"/>
  <c r="BB991" i="1"/>
  <c r="BW991" i="1"/>
  <c r="A992" i="1"/>
  <c r="C992" i="1"/>
  <c r="S992" i="1"/>
  <c r="T992" i="1"/>
  <c r="U992" i="1"/>
  <c r="BB992" i="1"/>
  <c r="BW992" i="1"/>
  <c r="A993" i="1"/>
  <c r="C993" i="1"/>
  <c r="S993" i="1"/>
  <c r="T993" i="1"/>
  <c r="U993" i="1"/>
  <c r="BB993" i="1"/>
  <c r="BW993" i="1"/>
  <c r="A994" i="1"/>
  <c r="C994" i="1"/>
  <c r="S994" i="1"/>
  <c r="T994" i="1"/>
  <c r="U994" i="1"/>
  <c r="BB994" i="1"/>
  <c r="BW994" i="1"/>
  <c r="A995" i="1"/>
  <c r="C995" i="1"/>
  <c r="S995" i="1"/>
  <c r="T995" i="1"/>
  <c r="U995" i="1"/>
  <c r="BB995" i="1"/>
  <c r="BW995" i="1"/>
  <c r="A996" i="1"/>
  <c r="C996" i="1"/>
  <c r="S996" i="1"/>
  <c r="T996" i="1"/>
  <c r="U996" i="1"/>
  <c r="BB996" i="1"/>
  <c r="BW996" i="1"/>
  <c r="A997" i="1"/>
  <c r="C997" i="1"/>
  <c r="S997" i="1"/>
  <c r="T997" i="1"/>
  <c r="U997" i="1"/>
  <c r="BB997" i="1"/>
  <c r="BW997" i="1"/>
  <c r="A998" i="1"/>
  <c r="C998" i="1"/>
  <c r="S998" i="1"/>
  <c r="T998" i="1"/>
  <c r="U998" i="1"/>
  <c r="BB998" i="1"/>
  <c r="BW998" i="1"/>
  <c r="A999" i="1"/>
  <c r="C999" i="1"/>
  <c r="S999" i="1"/>
  <c r="T999" i="1"/>
  <c r="U999" i="1"/>
  <c r="BB999" i="1"/>
  <c r="BW999" i="1"/>
  <c r="A1000" i="1"/>
  <c r="C1000" i="1"/>
  <c r="S1000" i="1"/>
  <c r="T1000" i="1"/>
  <c r="U1000" i="1"/>
  <c r="BB1000" i="1"/>
  <c r="BW1000" i="1"/>
  <c r="A1001" i="1"/>
  <c r="C1001" i="1"/>
  <c r="S1001" i="1"/>
  <c r="T1001" i="1"/>
  <c r="U1001" i="1"/>
  <c r="BB1001" i="1"/>
  <c r="BW1001" i="1"/>
  <c r="A1002" i="1"/>
  <c r="C1002" i="1"/>
  <c r="S1002" i="1"/>
  <c r="T1002" i="1"/>
  <c r="U1002" i="1"/>
  <c r="BB1002" i="1"/>
  <c r="BW1002" i="1"/>
  <c r="A1003" i="1"/>
  <c r="C1003" i="1"/>
  <c r="S1003" i="1"/>
  <c r="T1003" i="1"/>
  <c r="U1003" i="1"/>
  <c r="BB1003" i="1"/>
  <c r="BW1003" i="1"/>
  <c r="A1004" i="1"/>
  <c r="C1004" i="1"/>
  <c r="S1004" i="1"/>
  <c r="T1004" i="1"/>
  <c r="U1004" i="1"/>
  <c r="BB1004" i="1"/>
  <c r="BW1004" i="1"/>
  <c r="A1005" i="1"/>
  <c r="C1005" i="1"/>
  <c r="S1005" i="1"/>
  <c r="T1005" i="1"/>
  <c r="U1005" i="1"/>
  <c r="BB1005" i="1"/>
  <c r="BW1005" i="1"/>
  <c r="A1006" i="1"/>
  <c r="C1006" i="1"/>
  <c r="S1006" i="1"/>
  <c r="T1006" i="1"/>
  <c r="U1006" i="1"/>
  <c r="BB1006" i="1"/>
  <c r="BW1006" i="1"/>
  <c r="A1007" i="1"/>
  <c r="C1007" i="1"/>
  <c r="S1007" i="1"/>
  <c r="T1007" i="1"/>
  <c r="U1007" i="1"/>
  <c r="BB1007" i="1"/>
  <c r="BW1007" i="1"/>
  <c r="A1008" i="1"/>
  <c r="C1008" i="1"/>
  <c r="S1008" i="1"/>
  <c r="T1008" i="1"/>
  <c r="U1008" i="1"/>
  <c r="BB1008" i="1"/>
  <c r="BW1008" i="1"/>
  <c r="A1009" i="1"/>
  <c r="C1009" i="1"/>
  <c r="S1009" i="1"/>
  <c r="T1009" i="1"/>
  <c r="U1009" i="1"/>
  <c r="BB1009" i="1"/>
  <c r="BW1009" i="1"/>
  <c r="A1010" i="1"/>
  <c r="C1010" i="1"/>
  <c r="S1010" i="1"/>
  <c r="T1010" i="1"/>
  <c r="U1010" i="1"/>
  <c r="BB1010" i="1"/>
  <c r="BW1010" i="1"/>
  <c r="A1011" i="1"/>
  <c r="C1011" i="1"/>
  <c r="S1011" i="1"/>
  <c r="T1011" i="1"/>
  <c r="U1011" i="1"/>
  <c r="BB1011" i="1"/>
  <c r="BW1011" i="1"/>
  <c r="A1012" i="1"/>
  <c r="C1012" i="1"/>
  <c r="S1012" i="1"/>
  <c r="T1012" i="1"/>
  <c r="U1012" i="1"/>
  <c r="BB1012" i="1"/>
  <c r="BW1012" i="1"/>
  <c r="A1013" i="1"/>
  <c r="C1013" i="1"/>
  <c r="S1013" i="1"/>
  <c r="T1013" i="1"/>
  <c r="U1013" i="1"/>
  <c r="BB1013" i="1"/>
  <c r="BW1013" i="1"/>
  <c r="A1014" i="1"/>
  <c r="C1014" i="1"/>
  <c r="S1014" i="1"/>
  <c r="T1014" i="1"/>
  <c r="U1014" i="1"/>
  <c r="BB1014" i="1"/>
  <c r="BW1014" i="1"/>
  <c r="A1015" i="1"/>
  <c r="C1015" i="1"/>
  <c r="S1015" i="1"/>
  <c r="T1015" i="1"/>
  <c r="U1015" i="1"/>
  <c r="BB1015" i="1"/>
  <c r="BW1015" i="1"/>
  <c r="A1016" i="1"/>
  <c r="C1016" i="1"/>
  <c r="S1016" i="1"/>
  <c r="T1016" i="1"/>
  <c r="U1016" i="1"/>
  <c r="BB1016" i="1"/>
  <c r="BW1016" i="1"/>
  <c r="A1017" i="1"/>
  <c r="C1017" i="1"/>
  <c r="S1017" i="1"/>
  <c r="T1017" i="1"/>
  <c r="U1017" i="1"/>
  <c r="BB1017" i="1"/>
  <c r="BW1017" i="1"/>
  <c r="A1018" i="1"/>
  <c r="C1018" i="1"/>
  <c r="S1018" i="1"/>
  <c r="T1018" i="1"/>
  <c r="U1018" i="1"/>
  <c r="BB1018" i="1"/>
  <c r="BW1018" i="1"/>
  <c r="A1019" i="1"/>
  <c r="C1019" i="1"/>
  <c r="S1019" i="1"/>
  <c r="T1019" i="1"/>
  <c r="U1019" i="1"/>
  <c r="BB1019" i="1"/>
  <c r="BW1019" i="1"/>
  <c r="A1020" i="1"/>
  <c r="C1020" i="1"/>
  <c r="S1020" i="1"/>
  <c r="T1020" i="1"/>
  <c r="U1020" i="1"/>
  <c r="BB1020" i="1"/>
  <c r="BW1020" i="1"/>
  <c r="A1021" i="1"/>
  <c r="C1021" i="1"/>
  <c r="S1021" i="1"/>
  <c r="T1021" i="1"/>
  <c r="U1021" i="1"/>
  <c r="BB1021" i="1"/>
  <c r="BW1021" i="1"/>
  <c r="A1022" i="1"/>
  <c r="C1022" i="1"/>
  <c r="S1022" i="1"/>
  <c r="T1022" i="1"/>
  <c r="U1022" i="1"/>
  <c r="BB1022" i="1"/>
  <c r="BW1022" i="1"/>
  <c r="A1023" i="1"/>
  <c r="C1023" i="1"/>
  <c r="S1023" i="1"/>
  <c r="T1023" i="1"/>
  <c r="U1023" i="1"/>
  <c r="BB1023" i="1"/>
  <c r="BW1023" i="1"/>
  <c r="A1024" i="1"/>
  <c r="C1024" i="1"/>
  <c r="S1024" i="1"/>
  <c r="T1024" i="1"/>
  <c r="U1024" i="1"/>
  <c r="BB1024" i="1"/>
  <c r="BW1024" i="1"/>
  <c r="A1025" i="1"/>
  <c r="C1025" i="1"/>
  <c r="S1025" i="1"/>
  <c r="T1025" i="1"/>
  <c r="U1025" i="1"/>
  <c r="BB1025" i="1"/>
  <c r="BW1025" i="1"/>
  <c r="A1026" i="1"/>
  <c r="C1026" i="1"/>
  <c r="S1026" i="1"/>
  <c r="T1026" i="1"/>
  <c r="U1026" i="1"/>
  <c r="BB1026" i="1"/>
  <c r="BW1026" i="1"/>
  <c r="A1027" i="1"/>
  <c r="C1027" i="1"/>
  <c r="S1027" i="1"/>
  <c r="T1027" i="1"/>
  <c r="U1027" i="1"/>
  <c r="BB1027" i="1"/>
  <c r="BW1027" i="1"/>
  <c r="A1028" i="1"/>
  <c r="C1028" i="1"/>
  <c r="S1028" i="1"/>
  <c r="T1028" i="1"/>
  <c r="U1028" i="1"/>
  <c r="BB1028" i="1"/>
  <c r="BW1028" i="1"/>
  <c r="A1029" i="1"/>
  <c r="C1029" i="1"/>
  <c r="S1029" i="1"/>
  <c r="T1029" i="1"/>
  <c r="U1029" i="1"/>
  <c r="BB1029" i="1"/>
  <c r="BW1029" i="1"/>
  <c r="A1030" i="1"/>
  <c r="C1030" i="1"/>
  <c r="S1030" i="1"/>
  <c r="T1030" i="1"/>
  <c r="U1030" i="1"/>
  <c r="BB1030" i="1"/>
  <c r="BW1030" i="1"/>
  <c r="A1031" i="1"/>
  <c r="C1031" i="1"/>
  <c r="S1031" i="1"/>
  <c r="T1031" i="1"/>
  <c r="U1031" i="1"/>
  <c r="BB1031" i="1"/>
  <c r="BW1031" i="1"/>
  <c r="A1032" i="1"/>
  <c r="C1032" i="1"/>
  <c r="S1032" i="1"/>
  <c r="T1032" i="1"/>
  <c r="U1032" i="1"/>
  <c r="BB1032" i="1"/>
  <c r="BW1032" i="1"/>
  <c r="A1033" i="1"/>
  <c r="C1033" i="1"/>
  <c r="S1033" i="1"/>
  <c r="T1033" i="1"/>
  <c r="U1033" i="1"/>
  <c r="BB1033" i="1"/>
  <c r="BW1033" i="1"/>
  <c r="A1034" i="1"/>
  <c r="C1034" i="1"/>
  <c r="S1034" i="1"/>
  <c r="T1034" i="1"/>
  <c r="U1034" i="1"/>
  <c r="BB1034" i="1"/>
  <c r="BW1034" i="1"/>
  <c r="A1035" i="1"/>
  <c r="C1035" i="1"/>
  <c r="S1035" i="1"/>
  <c r="T1035" i="1"/>
  <c r="U1035" i="1"/>
  <c r="BB1035" i="1"/>
  <c r="BW1035" i="1"/>
  <c r="A1036" i="1"/>
  <c r="C1036" i="1"/>
  <c r="S1036" i="1"/>
  <c r="T1036" i="1"/>
  <c r="U1036" i="1"/>
  <c r="BB1036" i="1"/>
  <c r="BW1036" i="1"/>
  <c r="A1037" i="1"/>
  <c r="C1037" i="1"/>
  <c r="S1037" i="1"/>
  <c r="T1037" i="1"/>
  <c r="U1037" i="1"/>
  <c r="BB1037" i="1"/>
  <c r="BW1037" i="1"/>
  <c r="A1038" i="1"/>
  <c r="C1038" i="1"/>
  <c r="S1038" i="1"/>
  <c r="T1038" i="1"/>
  <c r="U1038" i="1"/>
  <c r="BB1038" i="1"/>
  <c r="BW1038" i="1"/>
  <c r="A1039" i="1"/>
  <c r="C1039" i="1"/>
  <c r="S1039" i="1"/>
  <c r="T1039" i="1"/>
  <c r="U1039" i="1"/>
  <c r="BB1039" i="1"/>
  <c r="BW1039" i="1"/>
  <c r="A1040" i="1"/>
  <c r="C1040" i="1"/>
  <c r="S1040" i="1"/>
  <c r="T1040" i="1"/>
  <c r="U1040" i="1"/>
  <c r="BB1040" i="1"/>
  <c r="BW1040" i="1"/>
  <c r="A1041" i="1"/>
  <c r="C1041" i="1"/>
  <c r="S1041" i="1"/>
  <c r="T1041" i="1"/>
  <c r="U1041" i="1"/>
  <c r="BB1041" i="1"/>
  <c r="BW1041" i="1"/>
  <c r="A1042" i="1"/>
  <c r="C1042" i="1"/>
  <c r="S1042" i="1"/>
  <c r="T1042" i="1"/>
  <c r="U1042" i="1"/>
  <c r="BB1042" i="1"/>
  <c r="BW1042" i="1"/>
  <c r="A1043" i="1"/>
  <c r="C1043" i="1"/>
  <c r="S1043" i="1"/>
  <c r="T1043" i="1"/>
  <c r="U1043" i="1"/>
  <c r="BB1043" i="1"/>
  <c r="BW1043" i="1"/>
  <c r="A1044" i="1"/>
  <c r="C1044" i="1"/>
  <c r="S1044" i="1"/>
  <c r="T1044" i="1"/>
  <c r="U1044" i="1"/>
  <c r="BB1044" i="1"/>
  <c r="BW1044" i="1"/>
  <c r="A1045" i="1"/>
  <c r="C1045" i="1"/>
  <c r="S1045" i="1"/>
  <c r="T1045" i="1"/>
  <c r="U1045" i="1"/>
  <c r="BB1045" i="1"/>
  <c r="BW1045" i="1"/>
  <c r="A1046" i="1"/>
  <c r="C1046" i="1"/>
  <c r="S1046" i="1"/>
  <c r="T1046" i="1"/>
  <c r="U1046" i="1"/>
  <c r="BB1046" i="1"/>
  <c r="BW1046" i="1"/>
  <c r="A1047" i="1"/>
  <c r="C1047" i="1"/>
  <c r="S1047" i="1"/>
  <c r="T1047" i="1"/>
  <c r="U1047" i="1"/>
  <c r="BB1047" i="1"/>
  <c r="BW1047" i="1"/>
  <c r="A1048" i="1"/>
  <c r="C1048" i="1"/>
  <c r="S1048" i="1"/>
  <c r="T1048" i="1"/>
  <c r="U1048" i="1"/>
  <c r="BB1048" i="1"/>
  <c r="BW1048" i="1"/>
  <c r="A1049" i="1"/>
  <c r="C1049" i="1"/>
  <c r="S1049" i="1"/>
  <c r="T1049" i="1"/>
  <c r="U1049" i="1"/>
  <c r="BB1049" i="1"/>
  <c r="BW1049" i="1"/>
  <c r="A1050" i="1"/>
  <c r="C1050" i="1"/>
  <c r="S1050" i="1"/>
  <c r="T1050" i="1"/>
  <c r="U1050" i="1"/>
  <c r="BB1050" i="1"/>
  <c r="BW1050" i="1"/>
  <c r="A1051" i="1"/>
  <c r="C1051" i="1"/>
  <c r="S1051" i="1"/>
  <c r="T1051" i="1"/>
  <c r="U1051" i="1"/>
  <c r="BB1051" i="1"/>
  <c r="BW1051" i="1"/>
  <c r="A1052" i="1"/>
  <c r="C1052" i="1"/>
  <c r="S1052" i="1"/>
  <c r="T1052" i="1"/>
  <c r="U1052" i="1"/>
  <c r="BB1052" i="1"/>
  <c r="BW1052" i="1"/>
  <c r="A1053" i="1"/>
  <c r="C1053" i="1"/>
  <c r="S1053" i="1"/>
  <c r="T1053" i="1"/>
  <c r="U1053" i="1"/>
  <c r="BB1053" i="1"/>
  <c r="BW1053" i="1"/>
  <c r="A1054" i="1"/>
  <c r="C1054" i="1"/>
  <c r="S1054" i="1"/>
  <c r="T1054" i="1"/>
  <c r="U1054" i="1"/>
  <c r="BB1054" i="1"/>
  <c r="BW1054" i="1"/>
  <c r="A1055" i="1"/>
  <c r="C1055" i="1"/>
  <c r="S1055" i="1"/>
  <c r="T1055" i="1"/>
  <c r="U1055" i="1"/>
  <c r="BB1055" i="1"/>
  <c r="BW1055" i="1"/>
  <c r="A1056" i="1"/>
  <c r="C1056" i="1"/>
  <c r="S1056" i="1"/>
  <c r="T1056" i="1"/>
  <c r="U1056" i="1"/>
  <c r="BB1056" i="1"/>
  <c r="BW1056" i="1"/>
  <c r="A1057" i="1"/>
  <c r="C1057" i="1"/>
  <c r="S1057" i="1"/>
  <c r="T1057" i="1"/>
  <c r="U1057" i="1"/>
  <c r="BB1057" i="1"/>
  <c r="BW1057" i="1"/>
  <c r="A1058" i="1"/>
  <c r="C1058" i="1"/>
  <c r="S1058" i="1"/>
  <c r="T1058" i="1"/>
  <c r="U1058" i="1"/>
  <c r="BB1058" i="1"/>
  <c r="BW1058" i="1"/>
  <c r="A1059" i="1"/>
  <c r="C1059" i="1"/>
  <c r="S1059" i="1"/>
  <c r="T1059" i="1"/>
  <c r="U1059" i="1"/>
  <c r="BB1059" i="1"/>
  <c r="BW1059" i="1"/>
  <c r="A1060" i="1"/>
  <c r="C1060" i="1"/>
  <c r="S1060" i="1"/>
  <c r="T1060" i="1"/>
  <c r="U1060" i="1"/>
  <c r="BB1060" i="1"/>
  <c r="BW1060" i="1"/>
  <c r="A1061" i="1"/>
  <c r="C1061" i="1"/>
  <c r="S1061" i="1"/>
  <c r="T1061" i="1"/>
  <c r="U1061" i="1"/>
  <c r="BB1061" i="1"/>
  <c r="BW1061" i="1"/>
  <c r="A1062" i="1"/>
  <c r="C1062" i="1"/>
  <c r="S1062" i="1"/>
  <c r="T1062" i="1"/>
  <c r="U1062" i="1"/>
  <c r="BB1062" i="1"/>
  <c r="BW1062" i="1"/>
  <c r="A1063" i="1"/>
  <c r="C1063" i="1"/>
  <c r="S1063" i="1"/>
  <c r="T1063" i="1"/>
  <c r="U1063" i="1"/>
  <c r="BB1063" i="1"/>
  <c r="BW1063" i="1"/>
  <c r="A1064" i="1"/>
  <c r="C1064" i="1"/>
  <c r="S1064" i="1"/>
  <c r="T1064" i="1"/>
  <c r="U1064" i="1"/>
  <c r="BB1064" i="1"/>
  <c r="BW1064" i="1"/>
  <c r="A1065" i="1"/>
  <c r="C1065" i="1"/>
  <c r="S1065" i="1"/>
  <c r="T1065" i="1"/>
  <c r="U1065" i="1"/>
  <c r="BB1065" i="1"/>
  <c r="BW1065" i="1"/>
  <c r="A1066" i="1"/>
  <c r="C1066" i="1"/>
  <c r="S1066" i="1"/>
  <c r="T1066" i="1"/>
  <c r="U1066" i="1"/>
  <c r="BB1066" i="1"/>
  <c r="BW1066" i="1"/>
  <c r="A1067" i="1"/>
  <c r="C1067" i="1"/>
  <c r="S1067" i="1"/>
  <c r="T1067" i="1"/>
  <c r="U1067" i="1"/>
  <c r="BB1067" i="1"/>
  <c r="BW1067" i="1"/>
  <c r="A1068" i="1"/>
  <c r="C1068" i="1"/>
  <c r="S1068" i="1"/>
  <c r="T1068" i="1"/>
  <c r="U1068" i="1"/>
  <c r="BB1068" i="1"/>
  <c r="BW1068" i="1"/>
  <c r="A1069" i="1"/>
  <c r="C1069" i="1"/>
  <c r="S1069" i="1"/>
  <c r="T1069" i="1"/>
  <c r="U1069" i="1"/>
  <c r="BB1069" i="1"/>
  <c r="BW1069" i="1"/>
  <c r="A1070" i="1"/>
  <c r="C1070" i="1"/>
  <c r="S1070" i="1"/>
  <c r="T1070" i="1"/>
  <c r="U1070" i="1"/>
  <c r="BB1070" i="1"/>
  <c r="BW1070" i="1"/>
  <c r="A1071" i="1"/>
  <c r="C1071" i="1"/>
  <c r="S1071" i="1"/>
  <c r="T1071" i="1"/>
  <c r="U1071" i="1"/>
  <c r="BB1071" i="1"/>
  <c r="BW1071" i="1"/>
  <c r="A1072" i="1"/>
  <c r="C1072" i="1"/>
  <c r="S1072" i="1"/>
  <c r="T1072" i="1"/>
  <c r="U1072" i="1"/>
  <c r="BB1072" i="1"/>
  <c r="BW1072" i="1"/>
  <c r="A1073" i="1"/>
  <c r="C1073" i="1"/>
  <c r="S1073" i="1"/>
  <c r="T1073" i="1"/>
  <c r="U1073" i="1"/>
  <c r="BB1073" i="1"/>
  <c r="BW1073" i="1"/>
  <c r="A1074" i="1"/>
  <c r="C1074" i="1"/>
  <c r="S1074" i="1"/>
  <c r="T1074" i="1"/>
  <c r="U1074" i="1"/>
  <c r="BB1074" i="1"/>
  <c r="BW1074" i="1"/>
  <c r="A1075" i="1"/>
  <c r="C1075" i="1"/>
  <c r="S1075" i="1"/>
  <c r="T1075" i="1"/>
  <c r="U1075" i="1"/>
  <c r="BB1075" i="1"/>
  <c r="BW1075" i="1"/>
  <c r="A1076" i="1"/>
  <c r="C1076" i="1"/>
  <c r="S1076" i="1"/>
  <c r="T1076" i="1"/>
  <c r="U1076" i="1"/>
  <c r="BB1076" i="1"/>
  <c r="BW1076" i="1"/>
  <c r="A1077" i="1"/>
  <c r="C1077" i="1"/>
  <c r="S1077" i="1"/>
  <c r="T1077" i="1"/>
  <c r="U1077" i="1"/>
  <c r="BB1077" i="1"/>
  <c r="BW1077" i="1"/>
  <c r="A1078" i="1"/>
  <c r="C1078" i="1"/>
  <c r="S1078" i="1"/>
  <c r="T1078" i="1"/>
  <c r="U1078" i="1"/>
  <c r="BB1078" i="1"/>
  <c r="BW1078" i="1"/>
  <c r="A1079" i="1"/>
  <c r="C1079" i="1"/>
  <c r="S1079" i="1"/>
  <c r="T1079" i="1"/>
  <c r="U1079" i="1"/>
  <c r="BB1079" i="1"/>
  <c r="BW1079" i="1"/>
  <c r="A1080" i="1"/>
  <c r="C1080" i="1"/>
  <c r="S1080" i="1"/>
  <c r="T1080" i="1"/>
  <c r="U1080" i="1"/>
  <c r="BB1080" i="1"/>
  <c r="BW1080" i="1"/>
  <c r="A1081" i="1"/>
  <c r="C1081" i="1"/>
  <c r="S1081" i="1"/>
  <c r="T1081" i="1"/>
  <c r="U1081" i="1"/>
  <c r="BB1081" i="1"/>
  <c r="BW1081" i="1"/>
  <c r="A1082" i="1"/>
  <c r="C1082" i="1"/>
  <c r="S1082" i="1"/>
  <c r="T1082" i="1"/>
  <c r="U1082" i="1"/>
  <c r="BB1082" i="1"/>
  <c r="BW1082" i="1"/>
  <c r="A1083" i="1"/>
  <c r="C1083" i="1"/>
  <c r="S1083" i="1"/>
  <c r="T1083" i="1"/>
  <c r="U1083" i="1"/>
  <c r="BB1083" i="1"/>
  <c r="BW1083" i="1"/>
  <c r="A1084" i="1"/>
  <c r="C1084" i="1"/>
  <c r="S1084" i="1"/>
  <c r="T1084" i="1"/>
  <c r="U1084" i="1"/>
  <c r="BB1084" i="1"/>
  <c r="BW1084" i="1"/>
  <c r="A1085" i="1"/>
  <c r="C1085" i="1"/>
  <c r="S1085" i="1"/>
  <c r="T1085" i="1"/>
  <c r="U1085" i="1"/>
  <c r="BB1085" i="1"/>
  <c r="BW1085" i="1"/>
  <c r="A1086" i="1"/>
  <c r="C1086" i="1"/>
  <c r="S1086" i="1"/>
  <c r="T1086" i="1"/>
  <c r="U1086" i="1"/>
  <c r="BB1086" i="1"/>
  <c r="BW1086" i="1"/>
  <c r="A1087" i="1"/>
  <c r="C1087" i="1"/>
  <c r="S1087" i="1"/>
  <c r="T1087" i="1"/>
  <c r="U1087" i="1"/>
  <c r="BB1087" i="1"/>
  <c r="BW1087" i="1"/>
  <c r="A1088" i="1"/>
  <c r="C1088" i="1"/>
  <c r="S1088" i="1"/>
  <c r="T1088" i="1"/>
  <c r="U1088" i="1"/>
  <c r="BB1088" i="1"/>
  <c r="BW1088" i="1"/>
  <c r="A1089" i="1"/>
  <c r="C1089" i="1"/>
  <c r="S1089" i="1"/>
  <c r="T1089" i="1"/>
  <c r="U1089" i="1"/>
  <c r="BB1089" i="1"/>
  <c r="BW1089" i="1"/>
  <c r="A1090" i="1"/>
  <c r="C1090" i="1"/>
  <c r="S1090" i="1"/>
  <c r="T1090" i="1"/>
  <c r="U1090" i="1"/>
  <c r="BB1090" i="1"/>
  <c r="BW1090" i="1"/>
  <c r="A1091" i="1"/>
  <c r="C1091" i="1"/>
  <c r="S1091" i="1"/>
  <c r="T1091" i="1"/>
  <c r="U1091" i="1"/>
  <c r="BB1091" i="1"/>
  <c r="BW1091" i="1"/>
  <c r="A1092" i="1"/>
  <c r="C1092" i="1"/>
  <c r="S1092" i="1"/>
  <c r="T1092" i="1"/>
  <c r="U1092" i="1"/>
  <c r="BB1092" i="1"/>
  <c r="BW1092" i="1"/>
  <c r="A1093" i="1"/>
  <c r="C1093" i="1"/>
  <c r="S1093" i="1"/>
  <c r="T1093" i="1"/>
  <c r="U1093" i="1"/>
  <c r="BB1093" i="1"/>
  <c r="BW1093" i="1"/>
  <c r="A1094" i="1"/>
  <c r="C1094" i="1"/>
  <c r="S1094" i="1"/>
  <c r="T1094" i="1"/>
  <c r="U1094" i="1"/>
  <c r="BB1094" i="1"/>
  <c r="BW1094" i="1"/>
  <c r="A1095" i="1"/>
  <c r="C1095" i="1"/>
  <c r="S1095" i="1"/>
  <c r="T1095" i="1"/>
  <c r="U1095" i="1"/>
  <c r="BB1095" i="1"/>
  <c r="BW1095" i="1"/>
  <c r="A1096" i="1"/>
  <c r="C1096" i="1"/>
  <c r="S1096" i="1"/>
  <c r="T1096" i="1"/>
  <c r="U1096" i="1"/>
  <c r="BB1096" i="1"/>
  <c r="BW1096" i="1"/>
  <c r="A1097" i="1"/>
  <c r="C1097" i="1"/>
  <c r="S1097" i="1"/>
  <c r="T1097" i="1"/>
  <c r="U1097" i="1"/>
  <c r="BB1097" i="1"/>
  <c r="BW1097" i="1"/>
  <c r="A1098" i="1"/>
  <c r="C1098" i="1"/>
  <c r="S1098" i="1"/>
  <c r="T1098" i="1"/>
  <c r="U1098" i="1"/>
  <c r="BB1098" i="1"/>
  <c r="BW1098" i="1"/>
  <c r="A1099" i="1"/>
  <c r="C1099" i="1"/>
  <c r="S1099" i="1"/>
  <c r="T1099" i="1"/>
  <c r="U1099" i="1"/>
  <c r="BB1099" i="1"/>
  <c r="BW1099" i="1"/>
  <c r="A1100" i="1"/>
  <c r="C1100" i="1"/>
  <c r="S1100" i="1"/>
  <c r="T1100" i="1"/>
  <c r="U1100" i="1"/>
  <c r="BB1100" i="1"/>
  <c r="BW1100" i="1"/>
  <c r="A1101" i="1"/>
  <c r="C1101" i="1"/>
  <c r="S1101" i="1"/>
  <c r="T1101" i="1"/>
  <c r="U1101" i="1"/>
  <c r="BB1101" i="1"/>
  <c r="BW1101" i="1"/>
  <c r="A1102" i="1"/>
  <c r="C1102" i="1"/>
  <c r="S1102" i="1"/>
  <c r="T1102" i="1"/>
  <c r="U1102" i="1"/>
  <c r="BB1102" i="1"/>
  <c r="BW1102" i="1"/>
  <c r="A1103" i="1"/>
  <c r="C1103" i="1"/>
  <c r="S1103" i="1"/>
  <c r="T1103" i="1"/>
  <c r="U1103" i="1"/>
  <c r="BB1103" i="1"/>
  <c r="BW1103" i="1"/>
  <c r="A1104" i="1"/>
  <c r="C1104" i="1"/>
  <c r="S1104" i="1"/>
  <c r="T1104" i="1"/>
  <c r="U1104" i="1"/>
  <c r="BB1104" i="1"/>
  <c r="BW1104" i="1"/>
  <c r="A1105" i="1"/>
  <c r="C1105" i="1"/>
  <c r="S1105" i="1"/>
  <c r="T1105" i="1"/>
  <c r="U1105" i="1"/>
  <c r="BB1105" i="1"/>
  <c r="BW1105" i="1"/>
  <c r="A1106" i="1"/>
  <c r="C1106" i="1"/>
  <c r="S1106" i="1"/>
  <c r="T1106" i="1"/>
  <c r="U1106" i="1"/>
  <c r="BB1106" i="1"/>
  <c r="BW1106" i="1"/>
  <c r="A1107" i="1"/>
  <c r="C1107" i="1"/>
  <c r="S1107" i="1"/>
  <c r="T1107" i="1"/>
  <c r="U1107" i="1"/>
  <c r="BB1107" i="1"/>
  <c r="BW1107" i="1"/>
  <c r="A1108" i="1"/>
  <c r="C1108" i="1"/>
  <c r="S1108" i="1"/>
  <c r="T1108" i="1"/>
  <c r="U1108" i="1"/>
  <c r="BB1108" i="1"/>
  <c r="BW1108" i="1"/>
  <c r="A1109" i="1"/>
  <c r="C1109" i="1"/>
  <c r="S1109" i="1"/>
  <c r="T1109" i="1"/>
  <c r="U1109" i="1"/>
  <c r="BB1109" i="1"/>
  <c r="BW1109" i="1"/>
  <c r="A1110" i="1"/>
  <c r="C1110" i="1"/>
  <c r="S1110" i="1"/>
  <c r="T1110" i="1"/>
  <c r="U1110" i="1"/>
  <c r="BB1110" i="1"/>
  <c r="BW1110" i="1"/>
  <c r="A1111" i="1"/>
  <c r="C1111" i="1"/>
  <c r="S1111" i="1"/>
  <c r="T1111" i="1"/>
  <c r="U1111" i="1"/>
  <c r="BB1111" i="1"/>
  <c r="BW1111" i="1"/>
  <c r="A1112" i="1"/>
  <c r="C1112" i="1"/>
  <c r="S1112" i="1"/>
  <c r="T1112" i="1"/>
  <c r="U1112" i="1"/>
  <c r="BB1112" i="1"/>
  <c r="BW1112" i="1"/>
  <c r="A1113" i="1"/>
  <c r="C1113" i="1"/>
  <c r="S1113" i="1"/>
  <c r="T1113" i="1"/>
  <c r="U1113" i="1"/>
  <c r="BB1113" i="1"/>
  <c r="BW1113" i="1"/>
  <c r="A1114" i="1"/>
  <c r="C1114" i="1"/>
  <c r="S1114" i="1"/>
  <c r="T1114" i="1"/>
  <c r="U1114" i="1"/>
  <c r="BB1114" i="1"/>
  <c r="BW1114" i="1"/>
  <c r="A1115" i="1"/>
  <c r="C1115" i="1"/>
  <c r="S1115" i="1"/>
  <c r="T1115" i="1"/>
  <c r="U1115" i="1"/>
  <c r="BB1115" i="1"/>
  <c r="BW1115" i="1"/>
  <c r="A1116" i="1"/>
  <c r="C1116" i="1"/>
  <c r="S1116" i="1"/>
  <c r="T1116" i="1"/>
  <c r="U1116" i="1"/>
  <c r="BB1116" i="1"/>
  <c r="BW1116" i="1"/>
  <c r="A1117" i="1"/>
  <c r="C1117" i="1"/>
  <c r="S1117" i="1"/>
  <c r="T1117" i="1"/>
  <c r="U1117" i="1"/>
  <c r="BB1117" i="1"/>
  <c r="BW1117" i="1"/>
  <c r="A1118" i="1"/>
  <c r="C1118" i="1"/>
  <c r="S1118" i="1"/>
  <c r="T1118" i="1"/>
  <c r="U1118" i="1"/>
  <c r="BB1118" i="1"/>
  <c r="BW1118" i="1"/>
  <c r="A1119" i="1"/>
  <c r="C1119" i="1"/>
  <c r="S1119" i="1"/>
  <c r="T1119" i="1"/>
  <c r="U1119" i="1"/>
  <c r="BB1119" i="1"/>
  <c r="BW1119" i="1"/>
  <c r="A1120" i="1"/>
  <c r="C1120" i="1"/>
  <c r="S1120" i="1"/>
  <c r="T1120" i="1"/>
  <c r="U1120" i="1"/>
  <c r="BB1120" i="1"/>
  <c r="BW1120" i="1"/>
  <c r="A1121" i="1"/>
  <c r="C1121" i="1"/>
  <c r="S1121" i="1"/>
  <c r="T1121" i="1"/>
  <c r="U1121" i="1"/>
  <c r="BB1121" i="1"/>
  <c r="BW1121" i="1"/>
  <c r="A1122" i="1"/>
  <c r="C1122" i="1"/>
  <c r="S1122" i="1"/>
  <c r="T1122" i="1"/>
  <c r="U1122" i="1"/>
  <c r="BB1122" i="1"/>
  <c r="BW1122" i="1"/>
  <c r="A1123" i="1"/>
  <c r="C1123" i="1"/>
  <c r="S1123" i="1"/>
  <c r="T1123" i="1"/>
  <c r="U1123" i="1"/>
  <c r="BB1123" i="1"/>
  <c r="BW1123" i="1"/>
  <c r="A1124" i="1"/>
  <c r="C1124" i="1"/>
  <c r="S1124" i="1"/>
  <c r="T1124" i="1"/>
  <c r="U1124" i="1"/>
  <c r="BB1124" i="1"/>
  <c r="BW1124" i="1"/>
  <c r="A1125" i="1"/>
  <c r="C1125" i="1"/>
  <c r="S1125" i="1"/>
  <c r="T1125" i="1"/>
  <c r="U1125" i="1"/>
  <c r="BB1125" i="1"/>
  <c r="BW1125" i="1"/>
  <c r="A1126" i="1"/>
  <c r="C1126" i="1"/>
  <c r="S1126" i="1"/>
  <c r="T1126" i="1"/>
  <c r="U1126" i="1"/>
  <c r="BB1126" i="1"/>
  <c r="BW1126" i="1"/>
  <c r="A1127" i="1"/>
  <c r="C1127" i="1"/>
  <c r="S1127" i="1"/>
  <c r="T1127" i="1"/>
  <c r="U1127" i="1"/>
  <c r="BB1127" i="1"/>
  <c r="BW1127" i="1"/>
  <c r="A1128" i="1"/>
  <c r="C1128" i="1"/>
  <c r="S1128" i="1"/>
  <c r="T1128" i="1"/>
  <c r="U1128" i="1"/>
  <c r="BB1128" i="1"/>
  <c r="BW1128" i="1"/>
  <c r="A1129" i="1"/>
  <c r="C1129" i="1"/>
  <c r="S1129" i="1"/>
  <c r="T1129" i="1"/>
  <c r="U1129" i="1"/>
  <c r="BB1129" i="1"/>
  <c r="BW1129" i="1"/>
  <c r="A1130" i="1"/>
  <c r="C1130" i="1"/>
  <c r="S1130" i="1"/>
  <c r="T1130" i="1"/>
  <c r="U1130" i="1"/>
  <c r="BB1130" i="1"/>
  <c r="BW1130" i="1"/>
  <c r="A1131" i="1"/>
  <c r="C1131" i="1"/>
  <c r="S1131" i="1"/>
  <c r="T1131" i="1"/>
  <c r="U1131" i="1"/>
  <c r="BB1131" i="1"/>
  <c r="BW1131" i="1"/>
  <c r="A1132" i="1"/>
  <c r="C1132" i="1"/>
  <c r="S1132" i="1"/>
  <c r="T1132" i="1"/>
  <c r="U1132" i="1"/>
  <c r="BB1132" i="1"/>
  <c r="BW1132" i="1"/>
  <c r="A1133" i="1"/>
  <c r="C1133" i="1"/>
  <c r="S1133" i="1"/>
  <c r="T1133" i="1"/>
  <c r="U1133" i="1"/>
  <c r="BB1133" i="1"/>
  <c r="BW1133" i="1"/>
  <c r="A1134" i="1"/>
  <c r="C1134" i="1"/>
  <c r="S1134" i="1"/>
  <c r="T1134" i="1"/>
  <c r="U1134" i="1"/>
  <c r="BB1134" i="1"/>
  <c r="BW1134" i="1"/>
  <c r="A1135" i="1"/>
  <c r="C1135" i="1"/>
  <c r="S1135" i="1"/>
  <c r="T1135" i="1"/>
  <c r="U1135" i="1"/>
  <c r="BB1135" i="1"/>
  <c r="BW1135" i="1"/>
  <c r="A1136" i="1"/>
  <c r="C1136" i="1"/>
  <c r="S1136" i="1"/>
  <c r="T1136" i="1"/>
  <c r="U1136" i="1"/>
  <c r="BB1136" i="1"/>
  <c r="BW1136" i="1"/>
  <c r="A1137" i="1"/>
  <c r="C1137" i="1"/>
  <c r="S1137" i="1"/>
  <c r="T1137" i="1"/>
  <c r="U1137" i="1"/>
  <c r="BB1137" i="1"/>
  <c r="BW1137" i="1"/>
  <c r="A1138" i="1"/>
  <c r="C1138" i="1"/>
  <c r="S1138" i="1"/>
  <c r="T1138" i="1"/>
  <c r="U1138" i="1"/>
  <c r="BB1138" i="1"/>
  <c r="BW1138" i="1"/>
  <c r="A1139" i="1"/>
  <c r="C1139" i="1"/>
  <c r="S1139" i="1"/>
  <c r="T1139" i="1"/>
  <c r="U1139" i="1"/>
  <c r="BB1139" i="1"/>
  <c r="BW1139" i="1"/>
  <c r="A1140" i="1"/>
  <c r="C1140" i="1"/>
  <c r="S1140" i="1"/>
  <c r="T1140" i="1"/>
  <c r="U1140" i="1"/>
  <c r="BB1140" i="1"/>
  <c r="BW1140" i="1"/>
  <c r="A1141" i="1"/>
  <c r="C1141" i="1"/>
  <c r="S1141" i="1"/>
  <c r="T1141" i="1"/>
  <c r="U1141" i="1"/>
  <c r="BB1141" i="1"/>
  <c r="BW1141" i="1"/>
  <c r="A1142" i="1"/>
  <c r="C1142" i="1"/>
  <c r="S1142" i="1"/>
  <c r="T1142" i="1"/>
  <c r="U1142" i="1"/>
  <c r="BB1142" i="1"/>
  <c r="BW1142" i="1"/>
  <c r="A1143" i="1"/>
  <c r="C1143" i="1"/>
  <c r="S1143" i="1"/>
  <c r="T1143" i="1"/>
  <c r="U1143" i="1"/>
  <c r="BB1143" i="1"/>
  <c r="BW1143" i="1"/>
  <c r="A1144" i="1"/>
  <c r="C1144" i="1"/>
  <c r="S1144" i="1"/>
  <c r="T1144" i="1"/>
  <c r="U1144" i="1"/>
  <c r="BB1144" i="1"/>
  <c r="BW1144" i="1"/>
  <c r="A1145" i="1"/>
  <c r="C1145" i="1"/>
  <c r="S1145" i="1"/>
  <c r="T1145" i="1"/>
  <c r="U1145" i="1"/>
  <c r="BB1145" i="1"/>
  <c r="BW1145" i="1"/>
  <c r="A1146" i="1"/>
  <c r="C1146" i="1"/>
  <c r="S1146" i="1"/>
  <c r="T1146" i="1"/>
  <c r="U1146" i="1"/>
  <c r="BB1146" i="1"/>
  <c r="BW1146" i="1"/>
  <c r="A1147" i="1"/>
  <c r="C1147" i="1"/>
  <c r="S1147" i="1"/>
  <c r="T1147" i="1"/>
  <c r="U1147" i="1"/>
  <c r="BB1147" i="1"/>
  <c r="BW1147" i="1"/>
  <c r="A1148" i="1"/>
  <c r="C1148" i="1"/>
  <c r="S1148" i="1"/>
  <c r="T1148" i="1"/>
  <c r="U1148" i="1"/>
  <c r="BB1148" i="1"/>
  <c r="BW1148" i="1"/>
  <c r="A1149" i="1"/>
  <c r="C1149" i="1"/>
  <c r="S1149" i="1"/>
  <c r="T1149" i="1"/>
  <c r="U1149" i="1"/>
  <c r="BB1149" i="1"/>
  <c r="BW1149" i="1"/>
  <c r="A1150" i="1"/>
  <c r="C1150" i="1"/>
  <c r="S1150" i="1"/>
  <c r="T1150" i="1"/>
  <c r="U1150" i="1"/>
  <c r="BB1150" i="1"/>
  <c r="BW1150" i="1"/>
  <c r="A1151" i="1"/>
  <c r="C1151" i="1"/>
  <c r="S1151" i="1"/>
  <c r="T1151" i="1"/>
  <c r="U1151" i="1"/>
  <c r="BB1151" i="1"/>
  <c r="BW1151" i="1"/>
  <c r="A1152" i="1"/>
  <c r="C1152" i="1"/>
  <c r="S1152" i="1"/>
  <c r="T1152" i="1"/>
  <c r="U1152" i="1"/>
  <c r="BB1152" i="1"/>
  <c r="BW1152" i="1"/>
  <c r="A1153" i="1"/>
  <c r="C1153" i="1"/>
  <c r="S1153" i="1"/>
  <c r="T1153" i="1"/>
  <c r="U1153" i="1"/>
  <c r="BB1153" i="1"/>
  <c r="BW1153" i="1"/>
  <c r="A1154" i="1"/>
  <c r="C1154" i="1"/>
  <c r="S1154" i="1"/>
  <c r="T1154" i="1"/>
  <c r="U1154" i="1"/>
  <c r="BB1154" i="1"/>
  <c r="BW1154" i="1"/>
  <c r="A1155" i="1"/>
  <c r="C1155" i="1"/>
  <c r="S1155" i="1"/>
  <c r="T1155" i="1"/>
  <c r="U1155" i="1"/>
  <c r="BB1155" i="1"/>
  <c r="BW1155" i="1"/>
  <c r="A1156" i="1"/>
  <c r="C1156" i="1"/>
  <c r="S1156" i="1"/>
  <c r="T1156" i="1"/>
  <c r="U1156" i="1"/>
  <c r="BB1156" i="1"/>
  <c r="BW1156" i="1"/>
  <c r="A1157" i="1"/>
  <c r="C1157" i="1"/>
  <c r="S1157" i="1"/>
  <c r="T1157" i="1"/>
  <c r="U1157" i="1"/>
  <c r="BB1157" i="1"/>
  <c r="BW1157" i="1"/>
  <c r="A1158" i="1"/>
  <c r="C1158" i="1"/>
  <c r="S1158" i="1"/>
  <c r="T1158" i="1"/>
  <c r="U1158" i="1"/>
  <c r="BB1158" i="1"/>
  <c r="BW1158" i="1"/>
  <c r="A1159" i="1"/>
  <c r="C1159" i="1"/>
  <c r="S1159" i="1"/>
  <c r="T1159" i="1"/>
  <c r="U1159" i="1"/>
  <c r="BB1159" i="1"/>
  <c r="BW1159" i="1"/>
  <c r="A1160" i="1"/>
  <c r="C1160" i="1"/>
  <c r="S1160" i="1"/>
  <c r="T1160" i="1"/>
  <c r="U1160" i="1"/>
  <c r="BB1160" i="1"/>
  <c r="BW1160" i="1"/>
  <c r="A1161" i="1"/>
  <c r="C1161" i="1"/>
  <c r="S1161" i="1"/>
  <c r="T1161" i="1"/>
  <c r="U1161" i="1"/>
  <c r="BB1161" i="1"/>
  <c r="BW1161" i="1"/>
  <c r="A1162" i="1"/>
  <c r="C1162" i="1"/>
  <c r="S1162" i="1"/>
  <c r="T1162" i="1"/>
  <c r="U1162" i="1"/>
  <c r="BB1162" i="1"/>
  <c r="BW1162" i="1"/>
  <c r="A1163" i="1"/>
  <c r="C1163" i="1"/>
  <c r="S1163" i="1"/>
  <c r="T1163" i="1"/>
  <c r="U1163" i="1"/>
  <c r="BB1163" i="1"/>
  <c r="BW1163" i="1"/>
  <c r="A1164" i="1"/>
  <c r="C1164" i="1"/>
  <c r="S1164" i="1"/>
  <c r="T1164" i="1"/>
  <c r="U1164" i="1"/>
  <c r="BB1164" i="1"/>
  <c r="BW1164" i="1"/>
  <c r="A1165" i="1"/>
  <c r="C1165" i="1"/>
  <c r="S1165" i="1"/>
  <c r="T1165" i="1"/>
  <c r="U1165" i="1"/>
  <c r="BB1165" i="1"/>
  <c r="BW1165" i="1"/>
  <c r="A1166" i="1"/>
  <c r="C1166" i="1"/>
  <c r="S1166" i="1"/>
  <c r="T1166" i="1"/>
  <c r="U1166" i="1"/>
  <c r="BB1166" i="1"/>
  <c r="BW1166" i="1"/>
  <c r="A1167" i="1"/>
  <c r="C1167" i="1"/>
  <c r="S1167" i="1"/>
  <c r="T1167" i="1"/>
  <c r="U1167" i="1"/>
  <c r="BB1167" i="1"/>
  <c r="BW1167" i="1"/>
  <c r="A1168" i="1"/>
  <c r="C1168" i="1"/>
  <c r="S1168" i="1"/>
  <c r="T1168" i="1"/>
  <c r="U1168" i="1"/>
  <c r="BB1168" i="1"/>
  <c r="BW1168" i="1"/>
  <c r="A1169" i="1"/>
  <c r="C1169" i="1"/>
  <c r="S1169" i="1"/>
  <c r="T1169" i="1"/>
  <c r="U1169" i="1"/>
  <c r="BB1169" i="1"/>
  <c r="BW1169" i="1"/>
  <c r="A1170" i="1"/>
  <c r="C1170" i="1"/>
  <c r="S1170" i="1"/>
  <c r="T1170" i="1"/>
  <c r="U1170" i="1"/>
  <c r="BB1170" i="1"/>
  <c r="BW1170" i="1"/>
  <c r="A1171" i="1"/>
  <c r="C1171" i="1"/>
  <c r="S1171" i="1"/>
  <c r="T1171" i="1"/>
  <c r="U1171" i="1"/>
  <c r="BB1171" i="1"/>
  <c r="BW1171" i="1"/>
</calcChain>
</file>

<file path=xl/sharedStrings.xml><?xml version="1.0" encoding="utf-8"?>
<sst xmlns="http://schemas.openxmlformats.org/spreadsheetml/2006/main" count="10639" uniqueCount="1029">
  <si>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</si>
  <si>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</si>
  <si>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</si>
  <si>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</si>
  <si>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</si>
  <si>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</si>
  <si>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</si>
  <si>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</si>
  <si>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</si>
  <si>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</si>
  <si>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</si>
  <si>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</si>
  <si>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</si>
  <si>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</si>
  <si>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</si>
  <si>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</si>
  <si>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</si>
  <si>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</si>
  <si>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</si>
  <si>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</si>
  <si>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</si>
  <si>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</si>
  <si>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</si>
  <si>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</si>
  <si>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</si>
  <si>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</si>
  <si>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</si>
  <si>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</si>
  <si>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</si>
  <si>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</si>
  <si>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</si>
  <si>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</si>
  <si>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</si>
  <si>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</si>
  <si>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</si>
  <si>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</si>
  <si>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</si>
  <si>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</si>
  <si>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</si>
  <si>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</si>
  <si>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</si>
  <si>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</si>
  <si>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</si>
  <si>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</si>
  <si>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</si>
  <si>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</si>
  <si>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</si>
  <si>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</si>
  <si>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</si>
  <si>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</si>
  <si>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</si>
  <si>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</si>
  <si>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</si>
  <si>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</si>
  <si>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</si>
  <si>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</si>
  <si>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</si>
  <si>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</si>
  <si>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</si>
  <si>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</si>
  <si>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</si>
  <si>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</si>
  <si>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</si>
  <si>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</si>
  <si>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</si>
  <si>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</si>
  <si>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</si>
  <si>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</si>
  <si>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</si>
  <si>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</si>
  <si>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</si>
  <si>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</si>
  <si>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</si>
  <si>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</si>
  <si>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</si>
  <si>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</si>
  <si>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</si>
  <si>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</si>
  <si>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</si>
  <si>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</si>
  <si>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</si>
  <si>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</si>
  <si>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</si>
  <si>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</si>
  <si>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</si>
  <si>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</si>
  <si>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</si>
  <si>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</si>
  <si>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</si>
  <si>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</si>
  <si>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</si>
  <si>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</si>
  <si>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</si>
  <si>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</si>
  <si>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</si>
  <si>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</si>
  <si>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</si>
  <si>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</si>
  <si>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</si>
  <si>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</si>
  <si>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</si>
  <si>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</si>
  <si>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</si>
  <si>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</si>
  <si>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</si>
  <si>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</si>
  <si>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</si>
  <si>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</si>
  <si>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</si>
  <si>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</si>
  <si>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</si>
  <si>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</si>
  <si>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</si>
  <si>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DF</t>
  </si>
  <si>
    <t>Chicago O'Hare Surface</t>
  </si>
  <si>
    <t>Surface</t>
  </si>
  <si>
    <t>041:59:29.34 N</t>
  </si>
  <si>
    <t>087:53:29.11 W</t>
  </si>
  <si>
    <t>Hdg</t>
  </si>
  <si>
    <t>0 Meters to the right</t>
  </si>
  <si>
    <t>4 Meters</t>
  </si>
  <si>
    <t>RS - LP 1090 Single Chl Radio</t>
  </si>
  <si>
    <t>041:59:29.42 N</t>
  </si>
  <si>
    <t>087:53:29.03 W</t>
  </si>
  <si>
    <t>087:53:41.31 W</t>
  </si>
  <si>
    <t>087:53:41.39 W</t>
  </si>
  <si>
    <t>041:59:29.27 N</t>
  </si>
  <si>
    <t>087:53:41.47 W</t>
  </si>
  <si>
    <t>041:59:29.11 N</t>
  </si>
  <si>
    <t>087:53:41.55 W</t>
  </si>
  <si>
    <t>041:59:28.96 N</t>
  </si>
  <si>
    <t>087:53:41.62 W</t>
  </si>
  <si>
    <t>041:59:28.73 N</t>
  </si>
  <si>
    <t>041:59:28.57 N</t>
  </si>
  <si>
    <t>041:59:28.42 N</t>
  </si>
  <si>
    <t>041:59:28.34 N</t>
  </si>
  <si>
    <t>087:53:41.70 W</t>
  </si>
  <si>
    <t>041:59:28.26 N</t>
  </si>
  <si>
    <t>041:59:28.11 N</t>
  </si>
  <si>
    <t>041:59:27.80 N</t>
  </si>
  <si>
    <t>041:59:27.64 N</t>
  </si>
  <si>
    <t>087:53:41.78 W</t>
  </si>
  <si>
    <t>041:59:27.49 N</t>
  </si>
  <si>
    <t>041:59:27.41 N</t>
  </si>
  <si>
    <t>041:59:27.26 N</t>
  </si>
  <si>
    <t>041:59:27.10 N</t>
  </si>
  <si>
    <t>041:59:26.95 N</t>
  </si>
  <si>
    <t>041:59:26.79 N</t>
  </si>
  <si>
    <t>041:59:26.56 N</t>
  </si>
  <si>
    <t>041:59:26.41 N</t>
  </si>
  <si>
    <t>041:59:26.25 N</t>
  </si>
  <si>
    <t>041:59:26.10 N</t>
  </si>
  <si>
    <t>041:59:25.87 N</t>
  </si>
  <si>
    <t>041:59:25.71 N</t>
  </si>
  <si>
    <t>041:59:25.64 N</t>
  </si>
  <si>
    <t>041:59:25.48 N</t>
  </si>
  <si>
    <t>041:59:25.33 N</t>
  </si>
  <si>
    <t>041:59:25.17 N</t>
  </si>
  <si>
    <t>041:59:25.09 N</t>
  </si>
  <si>
    <t>041:59:24.94 N</t>
  </si>
  <si>
    <t>041:59:24.79 N</t>
  </si>
  <si>
    <t>041:59:24.71 N</t>
  </si>
  <si>
    <t>041:59:24.55 N</t>
  </si>
  <si>
    <t>041:59:24.48 N</t>
  </si>
  <si>
    <t>041:59:24.24 N</t>
  </si>
  <si>
    <t>041:59:24.17 N</t>
  </si>
  <si>
    <t>041:59:24.01 N</t>
  </si>
  <si>
    <t>041:59:23.94 N</t>
  </si>
  <si>
    <t>041:59:23.86 N</t>
  </si>
  <si>
    <t>041:59:23.70 N</t>
  </si>
  <si>
    <t>041:59:23.63 N</t>
  </si>
  <si>
    <t>041:59:23.47 N</t>
  </si>
  <si>
    <t>041:59:23.32 N</t>
  </si>
  <si>
    <t>041:59:23.24 N</t>
  </si>
  <si>
    <t>041:59:23.09 N</t>
  </si>
  <si>
    <t>041:59:22.93 N</t>
  </si>
  <si>
    <t>041:59:22.85 N</t>
  </si>
  <si>
    <t>041:59:22.70 N</t>
  </si>
  <si>
    <t>041:59:22.55 N</t>
  </si>
  <si>
    <t>041:59:22.47 N</t>
  </si>
  <si>
    <t>041:59:22.39 N</t>
  </si>
  <si>
    <t>041:59:22.31 N</t>
  </si>
  <si>
    <t>041:59:22.24 N</t>
  </si>
  <si>
    <t>041:59:22.16 N</t>
  </si>
  <si>
    <t>041:59:22.08 N</t>
  </si>
  <si>
    <t>041:59:22.00 N</t>
  </si>
  <si>
    <t>041:59:21.93 N</t>
  </si>
  <si>
    <t>041:59:21.77 N</t>
  </si>
  <si>
    <t>041:59:21.46 N</t>
  </si>
  <si>
    <t>041:59:21.39 N</t>
  </si>
  <si>
    <t>041:59:21.15 N</t>
  </si>
  <si>
    <t>041:59:21.00 N</t>
  </si>
  <si>
    <t>041:59:20.85 N</t>
  </si>
  <si>
    <t>041:59:20.69 N</t>
  </si>
  <si>
    <t>041:59:20.46 N</t>
  </si>
  <si>
    <t>041:59:20.15 N</t>
  </si>
  <si>
    <t>041:59:19.92 N</t>
  </si>
  <si>
    <t>041:59:19.53 N</t>
  </si>
  <si>
    <t>041:59:19.22 N</t>
  </si>
  <si>
    <t>041:59:18.99 N</t>
  </si>
  <si>
    <t>041:59:18.68 N</t>
  </si>
  <si>
    <t>041:59:18.37 N</t>
  </si>
  <si>
    <t>041:59:18.06 N</t>
  </si>
  <si>
    <t>041:59:17.76 N</t>
  </si>
  <si>
    <t>041:59:17.37 N</t>
  </si>
  <si>
    <t>041:59:17.06 N</t>
  </si>
  <si>
    <t>041:59:16.67 N</t>
  </si>
  <si>
    <t>041:59:16.37 N</t>
  </si>
  <si>
    <t>041:59:15.98 N</t>
  </si>
  <si>
    <t>041:59:15.59 N</t>
  </si>
  <si>
    <t>041:59:15.36 N</t>
  </si>
  <si>
    <t>041:59:14.97 N</t>
  </si>
  <si>
    <t>041:59:14.59 N</t>
  </si>
  <si>
    <t>041:59:14.36 N</t>
  </si>
  <si>
    <t>041:59:13.97 N</t>
  </si>
  <si>
    <t>041:59:13.74 N</t>
  </si>
  <si>
    <t>041:59:13.51 N</t>
  </si>
  <si>
    <t>041:59:12.97 N</t>
  </si>
  <si>
    <t>041:59:08.87 N</t>
  </si>
  <si>
    <t>041:59:08.56 N</t>
  </si>
  <si>
    <t>041:59:08.18 N</t>
  </si>
  <si>
    <t>041:59:07.87 N</t>
  </si>
  <si>
    <t>041:59:07.56 N</t>
  </si>
  <si>
    <t>041:59:07.17 N</t>
  </si>
  <si>
    <t>041:59:06.86 N</t>
  </si>
  <si>
    <t>041:59:06.48 N</t>
  </si>
  <si>
    <t>041:59:06.17 N</t>
  </si>
  <si>
    <t>041:59:05.94 N</t>
  </si>
  <si>
    <t>041:59:05.55 N</t>
  </si>
  <si>
    <t>041:59:05.24 N</t>
  </si>
  <si>
    <t>041:59:04.93 N</t>
  </si>
  <si>
    <t>041:59:04.70 N</t>
  </si>
  <si>
    <t>041:59:04.31 N</t>
  </si>
  <si>
    <t>041:59:04.08 N</t>
  </si>
  <si>
    <t>041:59:03.70 N</t>
  </si>
  <si>
    <t>041:59:03.47 N</t>
  </si>
  <si>
    <t>041:59:03.16 N</t>
  </si>
  <si>
    <t>041:59:02.92 N</t>
  </si>
  <si>
    <t>041:59:02.62 N</t>
  </si>
  <si>
    <t>041:59:02.31 N</t>
  </si>
  <si>
    <t>041:59:02.00 N</t>
  </si>
  <si>
    <t>041:59:01.69 N</t>
  </si>
  <si>
    <t>041:59:01.38 N</t>
  </si>
  <si>
    <t>041:59:00.99 N</t>
  </si>
  <si>
    <t>041:59:00.68 N</t>
  </si>
  <si>
    <t>041:59:00.38 N</t>
  </si>
  <si>
    <t>041:59:00.14 N</t>
  </si>
  <si>
    <t>041:58:59.83 N</t>
  </si>
  <si>
    <t>041:58:59.60 N</t>
  </si>
  <si>
    <t>041:58:59.29 N</t>
  </si>
  <si>
    <t>041:58:59.06 N</t>
  </si>
  <si>
    <t>041:58:58.83 N</t>
  </si>
  <si>
    <t>041:58:58.60 N</t>
  </si>
  <si>
    <t>041:58:58.29 N</t>
  </si>
  <si>
    <t>041:58:58.06 N</t>
  </si>
  <si>
    <t>041:58:57.75 N</t>
  </si>
  <si>
    <t>041:58:57.52 N</t>
  </si>
  <si>
    <t>041:58:57.21 N</t>
  </si>
  <si>
    <t>041:58:56.98 N</t>
  </si>
  <si>
    <t>041:58:56.67 N</t>
  </si>
  <si>
    <t>041:58:56.44 N</t>
  </si>
  <si>
    <t>041:58:56.20 N</t>
  </si>
  <si>
    <t>041:58:55.89 N</t>
  </si>
  <si>
    <t>087:53:41.24 W</t>
  </si>
  <si>
    <t>041:58:55.66 N</t>
  </si>
  <si>
    <t>087:53:41.00 W</t>
  </si>
  <si>
    <t>041:58:55.43 N</t>
  </si>
  <si>
    <t>087:53:40.77 W</t>
  </si>
  <si>
    <t>041:58:55.20 N</t>
  </si>
  <si>
    <t>087:53:40.54 W</t>
  </si>
  <si>
    <t>041:58:55.05 N</t>
  </si>
  <si>
    <t>087:53:40.31 W</t>
  </si>
  <si>
    <t>041:58:54.89 N</t>
  </si>
  <si>
    <t>087:53:40.08 W</t>
  </si>
  <si>
    <t>041:58:54.74 N</t>
  </si>
  <si>
    <t>087:53:39.85 W</t>
  </si>
  <si>
    <t>041:58:54.50 N</t>
  </si>
  <si>
    <t>087:53:39.54 W</t>
  </si>
  <si>
    <t>041:58:54.35 N</t>
  </si>
  <si>
    <t>087:53:39.30 W</t>
  </si>
  <si>
    <t>041:58:54.20 N</t>
  </si>
  <si>
    <t>087:53:39.07 W</t>
  </si>
  <si>
    <t>041:58:53.96 N</t>
  </si>
  <si>
    <t>087:53:38.76 W</t>
  </si>
  <si>
    <t>041:58:53.73 N</t>
  </si>
  <si>
    <t>087:53:38.53 W</t>
  </si>
  <si>
    <t>041:58:53.58 N</t>
  </si>
  <si>
    <t>087:53:38.22 W</t>
  </si>
  <si>
    <t>041:58:53.42 N</t>
  </si>
  <si>
    <t>087:53:37.99 W</t>
  </si>
  <si>
    <t>041:58:53.27 N</t>
  </si>
  <si>
    <t>087:53:37.84 W</t>
  </si>
  <si>
    <t>041:58:53.11 N</t>
  </si>
  <si>
    <t>087:53:37.61 W</t>
  </si>
  <si>
    <t>041:58:52.80 N</t>
  </si>
  <si>
    <t>087:53:37.22 W</t>
  </si>
  <si>
    <t>041:58:52.65 N</t>
  </si>
  <si>
    <t>087:53:36.99 W</t>
  </si>
  <si>
    <t>041:58:52.50 N</t>
  </si>
  <si>
    <t>087:53:36.68 W</t>
  </si>
  <si>
    <t>041:58:52.26 N</t>
  </si>
  <si>
    <t>087:53:36.45 W</t>
  </si>
  <si>
    <t>041:58:52.11 N</t>
  </si>
  <si>
    <t>087:53:36.29 W</t>
  </si>
  <si>
    <t>041:58:51.96 N</t>
  </si>
  <si>
    <t>087:53:36.06 W</t>
  </si>
  <si>
    <t>041:58:51.72 N</t>
  </si>
  <si>
    <t>087:53:35.91 W</t>
  </si>
  <si>
    <t>041:58:51.49 N</t>
  </si>
  <si>
    <t>087:53:35.83 W</t>
  </si>
  <si>
    <t>041:58:51.26 N</t>
  </si>
  <si>
    <t>087:53:35.75 W</t>
  </si>
  <si>
    <t>041:58:51.11 N</t>
  </si>
  <si>
    <t>041:58:50.80 N</t>
  </si>
  <si>
    <t>041:58:50.64 N</t>
  </si>
  <si>
    <t>041:58:50.33 N</t>
  </si>
  <si>
    <t>041:58:50.18 N</t>
  </si>
  <si>
    <t>087:53:36.14 W</t>
  </si>
  <si>
    <t>041:58:50.02 N</t>
  </si>
  <si>
    <t>041:58:49.87 N</t>
  </si>
  <si>
    <t>087:53:36.60 W</t>
  </si>
  <si>
    <t>041:58:49.71 N</t>
  </si>
  <si>
    <t>087:53:36.76 W</t>
  </si>
  <si>
    <t>041:58:49.56 N</t>
  </si>
  <si>
    <t>087:53:37.06 W</t>
  </si>
  <si>
    <t>041:58:49.41 N</t>
  </si>
  <si>
    <t>087:53:37.30 W</t>
  </si>
  <si>
    <t>041:58:49.25 N</t>
  </si>
  <si>
    <t>087:53:37.45 W</t>
  </si>
  <si>
    <t>041:58:49.17 N</t>
  </si>
  <si>
    <t>087:53:37.68 W</t>
  </si>
  <si>
    <t>041:58:48.94 N</t>
  </si>
  <si>
    <t>087:53:37.91 W</t>
  </si>
  <si>
    <t>041:58:48.79 N</t>
  </si>
  <si>
    <t>041:58:48.63 N</t>
  </si>
  <si>
    <t>087:53:38.46 W</t>
  </si>
  <si>
    <t>041:58:48.40 N</t>
  </si>
  <si>
    <t>041:58:48.25 N</t>
  </si>
  <si>
    <t>087:53:39.15 W</t>
  </si>
  <si>
    <t>041:58:48.09 N</t>
  </si>
  <si>
    <t>087:53:39.38 W</t>
  </si>
  <si>
    <t>041:58:47.86 N</t>
  </si>
  <si>
    <t>087:53:39.77 W</t>
  </si>
  <si>
    <t>041:58:47.71 N</t>
  </si>
  <si>
    <t>087:53:40.00 W</t>
  </si>
  <si>
    <t>041:58:47.55 N</t>
  </si>
  <si>
    <t>087:53:40.23 W</t>
  </si>
  <si>
    <t>041:58:47.40 N</t>
  </si>
  <si>
    <t>087:53:40.46 W</t>
  </si>
  <si>
    <t>041:58:47.24 N</t>
  </si>
  <si>
    <t>087:53:40.70 W</t>
  </si>
  <si>
    <t>041:58:47.09 N</t>
  </si>
  <si>
    <t>041:58:46.93 N</t>
  </si>
  <si>
    <t>087:53:41.16 W</t>
  </si>
  <si>
    <t>041:58:46.70 N</t>
  </si>
  <si>
    <t>041:58:46.39 N</t>
  </si>
  <si>
    <t>087:53:41.85 W</t>
  </si>
  <si>
    <t>041:58:46.24 N</t>
  </si>
  <si>
    <t>087:53:42.01 W</t>
  </si>
  <si>
    <t>041:58:46.01 N</t>
  </si>
  <si>
    <t>087:53:42.24 W</t>
  </si>
  <si>
    <t>041:58:45.39 N</t>
  </si>
  <si>
    <t>087:53:42.63 W</t>
  </si>
  <si>
    <t>041:58:40.83 N</t>
  </si>
  <si>
    <t>087:53:42.86 W</t>
  </si>
  <si>
    <t>041:58:40.45 N</t>
  </si>
  <si>
    <t>041:58:40.06 N</t>
  </si>
  <si>
    <t>041:58:39.67 N</t>
  </si>
  <si>
    <t>041:58:39.36 N</t>
  </si>
  <si>
    <t>041:58:38.98 N</t>
  </si>
  <si>
    <t>041:58:38.67 N</t>
  </si>
  <si>
    <t>041:58:38.36 N</t>
  </si>
  <si>
    <t>041:58:37.97 N</t>
  </si>
  <si>
    <t>041:58:37.66 N</t>
  </si>
  <si>
    <t>041:58:37.28 N</t>
  </si>
  <si>
    <t>041:58:36.97 N</t>
  </si>
  <si>
    <t>041:58:36.51 N</t>
  </si>
  <si>
    <t>041:58:35.96 N</t>
  </si>
  <si>
    <t>041:58:35.58 N</t>
  </si>
  <si>
    <t>087:53:42.78 W</t>
  </si>
  <si>
    <t>041:58:35.12 N</t>
  </si>
  <si>
    <t>041:58:34.81 N</t>
  </si>
  <si>
    <t>041:58:34.57 N</t>
  </si>
  <si>
    <t>041:58:33.42 N</t>
  </si>
  <si>
    <t>041:58:33.11 N</t>
  </si>
  <si>
    <t>041:58:32.80 N</t>
  </si>
  <si>
    <t>041:58:32.33 N</t>
  </si>
  <si>
    <t>041:58:32.03 N</t>
  </si>
  <si>
    <t>041:58:31.72 N</t>
  </si>
  <si>
    <t>041:58:31.33 N</t>
  </si>
  <si>
    <t>041:58:30.94 N</t>
  </si>
  <si>
    <t>041:58:30.63 N</t>
  </si>
  <si>
    <t>041:58:30.33 N</t>
  </si>
  <si>
    <t>041:58:30.02 N</t>
  </si>
  <si>
    <t>041:58:29.71 N</t>
  </si>
  <si>
    <t>041:58:29.48 N</t>
  </si>
  <si>
    <t>041:58:29.09 N</t>
  </si>
  <si>
    <t>041:58:28.78 N</t>
  </si>
  <si>
    <t>041:58:28.47 N</t>
  </si>
  <si>
    <t>041:58:27.93 N</t>
  </si>
  <si>
    <t>087:53:42.94 W</t>
  </si>
  <si>
    <t>041:58:27.54 N</t>
  </si>
  <si>
    <t>087:53:43.01 W</t>
  </si>
  <si>
    <t>041:58:27.16 N</t>
  </si>
  <si>
    <t>087:53:43.17 W</t>
  </si>
  <si>
    <t>041:58:26.85 N</t>
  </si>
  <si>
    <t>087:53:43.24 W</t>
  </si>
  <si>
    <t>041:58:26.62 N</t>
  </si>
  <si>
    <t>087:53:43.40 W</t>
  </si>
  <si>
    <t>041:58:26.31 N</t>
  </si>
  <si>
    <t>087:53:43.55 W</t>
  </si>
  <si>
    <t>041:58:26.00 N</t>
  </si>
  <si>
    <t>087:53:43.63 W</t>
  </si>
  <si>
    <t>041:58:25.54 N</t>
  </si>
  <si>
    <t>087:53:44.09 W</t>
  </si>
  <si>
    <t>041:58:24.61 N</t>
  </si>
  <si>
    <t>087:53:44.94 W</t>
  </si>
  <si>
    <t>041:58:24.38 N</t>
  </si>
  <si>
    <t>087:53:45.18 W</t>
  </si>
  <si>
    <t>041:58:24.22 N</t>
  </si>
  <si>
    <t>087:53:45.41 W</t>
  </si>
  <si>
    <t>041:58:23.99 N</t>
  </si>
  <si>
    <t>087:53:45.64 W</t>
  </si>
  <si>
    <t>041:58:23.84 N</t>
  </si>
  <si>
    <t>087:53:45.95 W</t>
  </si>
  <si>
    <t>041:58:23.61 N</t>
  </si>
  <si>
    <t>087:53:46.26 W</t>
  </si>
  <si>
    <t>041:58:23.53 N</t>
  </si>
  <si>
    <t>087:53:46.49 W</t>
  </si>
  <si>
    <t>041:58:23.37 N</t>
  </si>
  <si>
    <t>087:53:46.72 W</t>
  </si>
  <si>
    <t>041:58:23.22 N</t>
  </si>
  <si>
    <t>087:53:46.95 W</t>
  </si>
  <si>
    <t>041:58:23.06 N</t>
  </si>
  <si>
    <t>087:53:47.18 W</t>
  </si>
  <si>
    <t>041:58:22.99 N</t>
  </si>
  <si>
    <t>087:53:47.49 W</t>
  </si>
  <si>
    <t>041:58:22.83 N</t>
  </si>
  <si>
    <t>087:53:47.72 W</t>
  </si>
  <si>
    <t>087:53:47.96 W</t>
  </si>
  <si>
    <t>041:58:22.68 N</t>
  </si>
  <si>
    <t>087:53:48.19 W</t>
  </si>
  <si>
    <t>041:58:22.60 N</t>
  </si>
  <si>
    <t>087:53:48.42 W</t>
  </si>
  <si>
    <t>041:58:22.45 N</t>
  </si>
  <si>
    <t>087:53:48.73 W</t>
  </si>
  <si>
    <t>041:58:22.37 N</t>
  </si>
  <si>
    <t>087:53:48.96 W</t>
  </si>
  <si>
    <t>041:58:22.29 N</t>
  </si>
  <si>
    <t>087:53:49.19 W</t>
  </si>
  <si>
    <t>041:58:22.14 N</t>
  </si>
  <si>
    <t>087:53:49.42 W</t>
  </si>
  <si>
    <t>041:58:22.06 N</t>
  </si>
  <si>
    <t>087:53:49.66 W</t>
  </si>
  <si>
    <t>041:58:21.98 N</t>
  </si>
  <si>
    <t>087:53:49.97 W</t>
  </si>
  <si>
    <t>041:58:21.83 N</t>
  </si>
  <si>
    <t>087:53:50.27 W</t>
  </si>
  <si>
    <t>041:58:21.75 N</t>
  </si>
  <si>
    <t>087:53:50.51 W</t>
  </si>
  <si>
    <t>041:58:21.60 N</t>
  </si>
  <si>
    <t>087:53:50.81 W</t>
  </si>
  <si>
    <t>041:58:21.52 N</t>
  </si>
  <si>
    <t>087:53:51.05 W</t>
  </si>
  <si>
    <t>041:58:21.37 N</t>
  </si>
  <si>
    <t>087:53:51.36 W</t>
  </si>
  <si>
    <t>041:58:21.29 N</t>
  </si>
  <si>
    <t>087:53:51.59 W</t>
  </si>
  <si>
    <t>041:58:21.13 N</t>
  </si>
  <si>
    <t>087:53:51.90 W</t>
  </si>
  <si>
    <t>041:58:21.06 N</t>
  </si>
  <si>
    <t>087:53:52.21 W</t>
  </si>
  <si>
    <t>041:58:20.90 N</t>
  </si>
  <si>
    <t>087:53:52.44 W</t>
  </si>
  <si>
    <t>041:58:20.75 N</t>
  </si>
  <si>
    <t>087:53:52.67 W</t>
  </si>
  <si>
    <t>041:58:20.67 N</t>
  </si>
  <si>
    <t>087:53:52.98 W</t>
  </si>
  <si>
    <t>041:58:20.52 N</t>
  </si>
  <si>
    <t>087:53:53.36 W</t>
  </si>
  <si>
    <t>041:58:20.44 N</t>
  </si>
  <si>
    <t>087:53:53.52 W</t>
  </si>
  <si>
    <t>041:58:20.28 N</t>
  </si>
  <si>
    <t>087:53:53.90 W</t>
  </si>
  <si>
    <t>041:58:20.21 N</t>
  </si>
  <si>
    <t>087:53:54.21 W</t>
  </si>
  <si>
    <t>041:58:20.05 N</t>
  </si>
  <si>
    <t>087:53:54.52 W</t>
  </si>
  <si>
    <t>041:58:19.97 N</t>
  </si>
  <si>
    <t>087:53:54.75 W</t>
  </si>
  <si>
    <t>041:58:19.90 N</t>
  </si>
  <si>
    <t>087:53:55.14 W</t>
  </si>
  <si>
    <t>041:58:19.74 N</t>
  </si>
  <si>
    <t>087:53:55.37 W</t>
  </si>
  <si>
    <t>041:58:19.67 N</t>
  </si>
  <si>
    <t>087:53:55.76 W</t>
  </si>
  <si>
    <t>087:53:56.07 W</t>
  </si>
  <si>
    <t>041:58:19.59 N</t>
  </si>
  <si>
    <t>087:53:56.38 W</t>
  </si>
  <si>
    <t>041:58:19.51 N</t>
  </si>
  <si>
    <t>087:53:56.69 W</t>
  </si>
  <si>
    <t>087:53:57.07 W</t>
  </si>
  <si>
    <t>087:53:57.38 W</t>
  </si>
  <si>
    <t>041:58:19.43 N</t>
  </si>
  <si>
    <t>087:53:57.69 W</t>
  </si>
  <si>
    <t>087:53:58.08 W</t>
  </si>
  <si>
    <t>087:53:58.39 W</t>
  </si>
  <si>
    <t>087:53:58.69 W</t>
  </si>
  <si>
    <t>087:53:59.00 W</t>
  </si>
  <si>
    <t>087:53:59.31 W</t>
  </si>
  <si>
    <t>087:53:59.62 W</t>
  </si>
  <si>
    <t>087:53:59.93 W</t>
  </si>
  <si>
    <t>087:54:00.24 W</t>
  </si>
  <si>
    <t>087:54:00.55 W</t>
  </si>
  <si>
    <t>041:58:19.36 N</t>
  </si>
  <si>
    <t>087:54:03.72 W</t>
  </si>
  <si>
    <t>087:54:03.87 W</t>
  </si>
  <si>
    <t>041:58:19.28 N</t>
  </si>
  <si>
    <t>087:54:03.95 W</t>
  </si>
  <si>
    <t>087:54:04.02 W</t>
  </si>
  <si>
    <t>041:58:19.20 N</t>
  </si>
  <si>
    <t>087:54:04.10 W</t>
  </si>
  <si>
    <t>087:54:04.18 W</t>
  </si>
  <si>
    <t>041:58:19.12 N</t>
  </si>
  <si>
    <t>087:54:04.26 W</t>
  </si>
  <si>
    <t>087:54:04.33 W</t>
  </si>
  <si>
    <t>087:54:04.41 W</t>
  </si>
  <si>
    <t>041:58:19.05 N</t>
  </si>
  <si>
    <t>087:54:04.49 W</t>
  </si>
  <si>
    <t>041:58:18.97 N</t>
  </si>
  <si>
    <t>087:54:04.56 W</t>
  </si>
  <si>
    <t>041:58:18.74 N</t>
  </si>
  <si>
    <t>087:54:04.64 W</t>
  </si>
  <si>
    <t>087:54:04.72 W</t>
  </si>
  <si>
    <t>041:58:18.66 N</t>
  </si>
  <si>
    <t>041:58:18.58 N</t>
  </si>
  <si>
    <t>087:54:04.80 W</t>
  </si>
  <si>
    <t>041:58:18.51 N</t>
  </si>
  <si>
    <t>041:58:18.43 N</t>
  </si>
  <si>
    <t>041:58:18.35 N</t>
  </si>
  <si>
    <t>041:58:18.28 N</t>
  </si>
  <si>
    <t>041:58:18.20 N</t>
  </si>
  <si>
    <t>041:58:18.12 N</t>
  </si>
  <si>
    <t>041:58:18.04 N</t>
  </si>
  <si>
    <t>041:58:17.97 N</t>
  </si>
  <si>
    <t>041:58:17.89 N</t>
  </si>
  <si>
    <t>041:58:17.81 N</t>
  </si>
  <si>
    <t>041:58:17.73 N</t>
  </si>
  <si>
    <t>041:58:17.66 N</t>
  </si>
  <si>
    <t>041:58:17.58 N</t>
  </si>
  <si>
    <t>041:58:17.43 N</t>
  </si>
  <si>
    <t>041:58:17.35 N</t>
  </si>
  <si>
    <t>041:58:17.27 N</t>
  </si>
  <si>
    <t>041:58:17.19 N</t>
  </si>
  <si>
    <t>041:58:17.04 N</t>
  </si>
  <si>
    <t>041:58:16.88 N</t>
  </si>
  <si>
    <t>041:58:16.73 N</t>
  </si>
  <si>
    <t>041:58:16.65 N</t>
  </si>
  <si>
    <t>041:58:16.50 N</t>
  </si>
  <si>
    <t>041:58:16.34 N</t>
  </si>
  <si>
    <t>041:58:16.19 N</t>
  </si>
  <si>
    <t>041:58:15.96 N</t>
  </si>
  <si>
    <t>041:58:15.73 N</t>
  </si>
  <si>
    <t>041:58:15.57 N</t>
  </si>
  <si>
    <t>041:58:15.42 N</t>
  </si>
  <si>
    <t>041:58:15.26 N</t>
  </si>
  <si>
    <t>041:58:15.11 N</t>
  </si>
  <si>
    <t>041:58:14.95 N</t>
  </si>
  <si>
    <t>041:58:14.80 N</t>
  </si>
  <si>
    <t>041:58:14.64 N</t>
  </si>
  <si>
    <t>041:58:14.57 N</t>
  </si>
  <si>
    <t>041:58:14.41 N</t>
  </si>
  <si>
    <t>041:58:14.26 N</t>
  </si>
  <si>
    <t>041:58:14.10 N</t>
  </si>
  <si>
    <t>041:58:14.03 N</t>
  </si>
  <si>
    <t>041:58:13.87 N</t>
  </si>
  <si>
    <t>041:58:13.79 N</t>
  </si>
  <si>
    <t>041:58:13.56 N</t>
  </si>
  <si>
    <t>087:54:01.24 W</t>
  </si>
  <si>
    <t>087:54:00.93 W</t>
  </si>
  <si>
    <t>087:54:00.70 W</t>
  </si>
  <si>
    <t>087:54:00.39 W</t>
  </si>
  <si>
    <t>087:54:00.16 W</t>
  </si>
  <si>
    <t>087:54:00.01 W</t>
  </si>
  <si>
    <t>087:53:59.78 W</t>
  </si>
  <si>
    <t>087:53:59.54 W</t>
  </si>
  <si>
    <t>087:53:58.77 W</t>
  </si>
  <si>
    <t>087:53:58.46 W</t>
  </si>
  <si>
    <t>087:53:58.23 W</t>
  </si>
  <si>
    <t>087:53:57.84 W</t>
  </si>
  <si>
    <t>087:53:57.15 W</t>
  </si>
  <si>
    <t>087:53:56.84 W</t>
  </si>
  <si>
    <t>087:53:56.61 W</t>
  </si>
  <si>
    <t>087:53:55.60 W</t>
  </si>
  <si>
    <t>087:53:55.22 W</t>
  </si>
  <si>
    <t>087:53:54.99 W</t>
  </si>
  <si>
    <t>087:53:54.37 W</t>
  </si>
  <si>
    <t>087:53:53.98 W</t>
  </si>
  <si>
    <t>087:53:53.75 W</t>
  </si>
  <si>
    <t>087:53:53.21 W</t>
  </si>
  <si>
    <t>087:53:52.82 W</t>
  </si>
  <si>
    <t>087:53:51.97 W</t>
  </si>
  <si>
    <t>087:53:51.66 W</t>
  </si>
  <si>
    <t>087:53:51.51 W</t>
  </si>
  <si>
    <t>087:53:51.28 W</t>
  </si>
  <si>
    <t>087:53:50.89 W</t>
  </si>
  <si>
    <t>087:53:50.66 W</t>
  </si>
  <si>
    <t>087:53:50.43 W</t>
  </si>
  <si>
    <t>087:53:50.04 W</t>
  </si>
  <si>
    <t>087:53:49.27 W</t>
  </si>
  <si>
    <t>087:53:49.04 W</t>
  </si>
  <si>
    <t>087:53:48.81 W</t>
  </si>
  <si>
    <t>087:53:48.57 W</t>
  </si>
  <si>
    <t>041:58:13.49 N</t>
  </si>
  <si>
    <t>087:53:47.80 W</t>
  </si>
  <si>
    <t>087:53:47.57 W</t>
  </si>
  <si>
    <t>041:58:13.33 N</t>
  </si>
  <si>
    <t>087:53:47.26 W</t>
  </si>
  <si>
    <t>041:58:13.25 N</t>
  </si>
  <si>
    <t>087:53:47.03 W</t>
  </si>
  <si>
    <t>041:58:13.18 N</t>
  </si>
  <si>
    <t>087:53:46.88 W</t>
  </si>
  <si>
    <t>041:58:13.10 N</t>
  </si>
  <si>
    <t>041:58:13.02 N</t>
  </si>
  <si>
    <t>087:53:46.33 W</t>
  </si>
  <si>
    <t>041:58:12.95 N</t>
  </si>
  <si>
    <t>087:53:46.03 W</t>
  </si>
  <si>
    <t>041:58:12.79 N</t>
  </si>
  <si>
    <t>087:53:45.87 W</t>
  </si>
  <si>
    <t>087:53:45.72 W</t>
  </si>
  <si>
    <t>041:58:12.71 N</t>
  </si>
  <si>
    <t>087:53:45.48 W</t>
  </si>
  <si>
    <t>041:58:12.64 N</t>
  </si>
  <si>
    <t>087:53:45.33 W</t>
  </si>
  <si>
    <t>041:58:12.48 N</t>
  </si>
  <si>
    <t>087:53:45.02 W</t>
  </si>
  <si>
    <t>087:53:44.87 W</t>
  </si>
  <si>
    <t>041:58:12.40 N</t>
  </si>
  <si>
    <t>087:53:44.71 W</t>
  </si>
  <si>
    <t>041:58:12.33 N</t>
  </si>
  <si>
    <t>087:53:44.63 W</t>
  </si>
  <si>
    <t>041:58:12.25 N</t>
  </si>
  <si>
    <t>087:53:44.56 W</t>
  </si>
  <si>
    <t>041:58:12.17 N</t>
  </si>
  <si>
    <t>087:53:44.48 W</t>
  </si>
  <si>
    <t>087:53:44.40 W</t>
  </si>
  <si>
    <t>041:58:12.10 N</t>
  </si>
  <si>
    <t>087:53:44.33 W</t>
  </si>
  <si>
    <t>041:58:12.02 N</t>
  </si>
  <si>
    <t>087:53:44.25 W</t>
  </si>
  <si>
    <t>041:58:11.94 N</t>
  </si>
  <si>
    <t>041:58:11.79 N</t>
  </si>
  <si>
    <t>087:53:44.17 W</t>
  </si>
  <si>
    <t>041:58:11.71 N</t>
  </si>
  <si>
    <t>041:58:11.63 N</t>
  </si>
  <si>
    <t>041:58:11.55 N</t>
  </si>
  <si>
    <t>041:58:11.32 N</t>
  </si>
  <si>
    <t>087:53:44.02 W</t>
  </si>
  <si>
    <t>041:58:11.25 N</t>
  </si>
  <si>
    <t>041:58:11.09 N</t>
  </si>
  <si>
    <t>041:58:10.94 N</t>
  </si>
  <si>
    <t>041:58:10.70 N</t>
  </si>
  <si>
    <t>041:58:10.55 N</t>
  </si>
  <si>
    <t>041:58:10.40 N</t>
  </si>
  <si>
    <t>041:58:10.16 N</t>
  </si>
  <si>
    <t>087:53:43.94 W</t>
  </si>
  <si>
    <t>041:58:10.01 N</t>
  </si>
  <si>
    <t>041:58:09.86 N</t>
  </si>
  <si>
    <t>041:58:09.70 N</t>
  </si>
  <si>
    <t>041:58:09.39 N</t>
  </si>
  <si>
    <t>041:58:09.24 N</t>
  </si>
  <si>
    <t>041:58:09.01 N</t>
  </si>
  <si>
    <t>041:58:08.85 N</t>
  </si>
  <si>
    <t>087:53:43.86 W</t>
  </si>
  <si>
    <t>041:58:08.70 N</t>
  </si>
  <si>
    <t>087:53:43.79 W</t>
  </si>
  <si>
    <t>041:58:08.62 N</t>
  </si>
  <si>
    <t>087:53:43.48 W</t>
  </si>
  <si>
    <t>041:58:08.77 N</t>
  </si>
  <si>
    <t>087:53:42.39 W</t>
  </si>
  <si>
    <t>041:58:08.93 N</t>
  </si>
  <si>
    <t>041:58:09.08 N</t>
  </si>
  <si>
    <t>041:58:09.16 N</t>
  </si>
  <si>
    <t>041:58:09.31 N</t>
  </si>
  <si>
    <t>087:53:41.08 W</t>
  </si>
  <si>
    <t>087:53:40.93 W</t>
  </si>
  <si>
    <t>041:58:09.47 N</t>
  </si>
  <si>
    <t>087:53:40.62 W</t>
  </si>
  <si>
    <t>041:58:09.55 N</t>
  </si>
  <si>
    <t>041:58:10.86 N</t>
  </si>
  <si>
    <t>087:53:39.69 W</t>
  </si>
  <si>
    <t>041:58:11.01 N</t>
  </si>
  <si>
    <t>041:58:11.17 N</t>
  </si>
  <si>
    <t>041:58:11.48 N</t>
  </si>
  <si>
    <t>041:58:11.86 N</t>
  </si>
  <si>
    <t>041:58:12.56 N</t>
  </si>
  <si>
    <t>041:58:13.41 N</t>
  </si>
  <si>
    <t>041:58:13.72 N</t>
  </si>
  <si>
    <t>041:58:13.95 N</t>
  </si>
  <si>
    <t>041:58:14.18 N</t>
  </si>
  <si>
    <t>041:58:14.34 N</t>
  </si>
  <si>
    <t>041:58:14.72 N</t>
  </si>
  <si>
    <t>041:58:14.88 N</t>
  </si>
  <si>
    <t>041:58:15.03 N</t>
  </si>
  <si>
    <t>041:58:15.19 N</t>
  </si>
  <si>
    <t>041:58:15.34 N</t>
  </si>
  <si>
    <t>041:58:15.49 N</t>
  </si>
  <si>
    <t>041:58:15.65 N</t>
  </si>
  <si>
    <t>041:58:15.80 N</t>
  </si>
  <si>
    <t>041:58:15.88 N</t>
  </si>
  <si>
    <t>041:58:16.04 N</t>
  </si>
  <si>
    <t>041:58:16.11 N</t>
  </si>
  <si>
    <t>041:58:16.27 N</t>
  </si>
  <si>
    <t>041:58:16.42 N</t>
  </si>
  <si>
    <t>041:58:16.58 N</t>
  </si>
  <si>
    <t>041:58:16.81 N</t>
  </si>
  <si>
    <t>041:58:16.96 N</t>
  </si>
  <si>
    <t>041:58:17.12 N</t>
  </si>
  <si>
    <t>041:58:17.50 N</t>
  </si>
  <si>
    <t>041:58:18.89 N</t>
  </si>
  <si>
    <t>087:53:39.61 W</t>
  </si>
  <si>
    <t>041:58:20.13 N</t>
  </si>
  <si>
    <t>041:58:20.36 N</t>
  </si>
  <si>
    <t>041:58:20.59 N</t>
  </si>
  <si>
    <t>041:58:20.82 N</t>
  </si>
  <si>
    <t>041:58:20.98 N</t>
  </si>
  <si>
    <t>041:58:21.21 N</t>
  </si>
  <si>
    <t>041:58:21.67 N</t>
  </si>
  <si>
    <t>087:53:39.46 W</t>
  </si>
  <si>
    <t>041:58:22.76 N</t>
  </si>
  <si>
    <t>041:58:23.14 N</t>
  </si>
  <si>
    <t>041:58:23.30 N</t>
  </si>
  <si>
    <t>041:58:23.45 N</t>
  </si>
  <si>
    <t>041:58:25.69 N</t>
  </si>
  <si>
    <t>041:58:25.92 N</t>
  </si>
  <si>
    <t>041:58:26.08 N</t>
  </si>
  <si>
    <t>041:58:26.46 N</t>
  </si>
  <si>
    <t>041:58:26.70 N</t>
  </si>
  <si>
    <t>041:58:27.08 N</t>
  </si>
  <si>
    <t>041:58:27.39 N</t>
  </si>
  <si>
    <t>041:58:27.70 N</t>
  </si>
  <si>
    <t>041:58:28.16 N</t>
  </si>
  <si>
    <t>041:58:28.70 N</t>
  </si>
  <si>
    <t>041:58:28.94 N</t>
  </si>
  <si>
    <t>041:58:29.24 N</t>
  </si>
  <si>
    <t>041:58:29.55 N</t>
  </si>
  <si>
    <t>041:58:29.79 N</t>
  </si>
  <si>
    <t>041:58:30.25 N</t>
  </si>
  <si>
    <t>041:58:30.48 N</t>
  </si>
  <si>
    <t>041:58:30.71 N</t>
  </si>
  <si>
    <t>041:58:31.25 N</t>
  </si>
  <si>
    <t>041:58:31.48 N</t>
  </si>
  <si>
    <t>041:58:31.79 N</t>
  </si>
  <si>
    <t>041:58:31.95 N</t>
  </si>
  <si>
    <t>041:58:32.26 N</t>
  </si>
  <si>
    <t>041:58:32.49 N</t>
  </si>
  <si>
    <t>041:58:32.72 N</t>
  </si>
  <si>
    <t>041:58:32.95 N</t>
  </si>
  <si>
    <t>041:58:33.34 N</t>
  </si>
  <si>
    <t>041:58:33.57 N</t>
  </si>
  <si>
    <t>041:58:33.88 N</t>
  </si>
  <si>
    <t>041:58:34.11 N</t>
  </si>
  <si>
    <t>041:58:34.42 N</t>
  </si>
  <si>
    <t>041:58:34.65 N</t>
  </si>
  <si>
    <t>041:58:34.96 N</t>
  </si>
  <si>
    <t>041:58:35.50 N</t>
  </si>
  <si>
    <t>041:58:35.81 N</t>
  </si>
  <si>
    <t>041:58:36.20 N</t>
  </si>
  <si>
    <t>041:58:36.43 N</t>
  </si>
  <si>
    <t>041:58:36.74 N</t>
  </si>
  <si>
    <t>041:58:37.05 N</t>
  </si>
  <si>
    <t>041:58:37.59 N</t>
  </si>
  <si>
    <t>041:58:37.90 N</t>
  </si>
  <si>
    <t>041:58:38.21 N</t>
  </si>
  <si>
    <t>041:58:38.44 N</t>
  </si>
  <si>
    <t>041:58:38.75 N</t>
  </si>
  <si>
    <t>041:58:39.29 N</t>
  </si>
  <si>
    <t>041:58:39.60 N</t>
  </si>
  <si>
    <t>041:58:39.90 N</t>
  </si>
  <si>
    <t>041:58:40.14 N</t>
  </si>
  <si>
    <t>041:58:41.14 N</t>
  </si>
  <si>
    <t>041:58:41.37 N</t>
  </si>
  <si>
    <t>041:58:41.84 N</t>
  </si>
  <si>
    <t>041:58:42.22 N</t>
  </si>
  <si>
    <t>041:58:42.53 N</t>
  </si>
  <si>
    <t>041:58:42.84 N</t>
  </si>
  <si>
    <t>041:58:43.07 N</t>
  </si>
  <si>
    <t>041:58:43.30 N</t>
  </si>
  <si>
    <t>041:58:43.54 N</t>
  </si>
  <si>
    <t>041:58:43.77 N</t>
  </si>
  <si>
    <t>041:58:44.00 N</t>
  </si>
  <si>
    <t>087:53:39.23 W</t>
  </si>
  <si>
    <t>041:58:44.23 N</t>
  </si>
  <si>
    <t>041:58:44.38 N</t>
  </si>
  <si>
    <t>087:53:38.92 W</t>
  </si>
  <si>
    <t>041:58:44.69 N</t>
  </si>
  <si>
    <t>041:58:44.85 N</t>
  </si>
  <si>
    <t>087:53:38.61 W</t>
  </si>
  <si>
    <t>041:58:45.00 N</t>
  </si>
  <si>
    <t>087:53:38.38 W</t>
  </si>
  <si>
    <t>041:58:45.23 N</t>
  </si>
  <si>
    <t>087:53:38.07 W</t>
  </si>
  <si>
    <t>041:58:45.47 N</t>
  </si>
  <si>
    <t>041:58:45.62 N</t>
  </si>
  <si>
    <t>087:53:37.53 W</t>
  </si>
  <si>
    <t>041:58:45.78 N</t>
  </si>
  <si>
    <t>041:58:45.85 N</t>
  </si>
  <si>
    <t>041:58:46.08 N</t>
  </si>
  <si>
    <t>087:53:36.83 W</t>
  </si>
  <si>
    <t>041:58:46.16 N</t>
  </si>
  <si>
    <t>041:58:46.32 N</t>
  </si>
  <si>
    <t>041:58:46.47 N</t>
  </si>
  <si>
    <t>041:58:46.63 N</t>
  </si>
  <si>
    <t>041:58:46.78 N</t>
  </si>
  <si>
    <t>087:53:35.67 W</t>
  </si>
  <si>
    <t>087:53:35.44 W</t>
  </si>
  <si>
    <t>087:53:35.21 W</t>
  </si>
  <si>
    <t>087:53:34.98 W</t>
  </si>
  <si>
    <t>087:53:34.67 W</t>
  </si>
  <si>
    <t>087:53:34.44 W</t>
  </si>
  <si>
    <t>087:53:34.21 W</t>
  </si>
  <si>
    <t>087:53:33.97 W</t>
  </si>
  <si>
    <t>041:58:48.02 N</t>
  </si>
  <si>
    <t>087:53:33.74 W</t>
  </si>
  <si>
    <t>041:58:48.17 N</t>
  </si>
  <si>
    <t>087:53:33.59 W</t>
  </si>
  <si>
    <t>087:53:33.36 W</t>
  </si>
  <si>
    <t>087:53:33.13 W</t>
  </si>
  <si>
    <t>041:58:48.56 N</t>
  </si>
  <si>
    <t>087:53:32.89 W</t>
  </si>
  <si>
    <t>041:58:48.71 N</t>
  </si>
  <si>
    <t>087:53:32.66 W</t>
  </si>
  <si>
    <t>041:58:48.87 N</t>
  </si>
  <si>
    <t>087:53:32.43 W</t>
  </si>
  <si>
    <t>087:53:32.20 W</t>
  </si>
  <si>
    <t>041:58:49.10 N</t>
  </si>
  <si>
    <t>087:53:31.97 W</t>
  </si>
  <si>
    <t>087:53:31.73 W</t>
  </si>
  <si>
    <t>041:58:49.33 N</t>
  </si>
  <si>
    <t>087:53:31.58 W</t>
  </si>
  <si>
    <t>041:58:49.48 N</t>
  </si>
  <si>
    <t>087:53:31.43 W</t>
  </si>
  <si>
    <t>087:53:31.27 W</t>
  </si>
  <si>
    <t>087:53:31.12 W</t>
  </si>
  <si>
    <t>041:58:49.79 N</t>
  </si>
  <si>
    <t>087:53:30.88 W</t>
  </si>
  <si>
    <t>087:53:30.73 W</t>
  </si>
  <si>
    <t>087:53:30.65 W</t>
  </si>
  <si>
    <t>041:58:50.10 N</t>
  </si>
  <si>
    <t>087:53:30.42 W</t>
  </si>
  <si>
    <t>087:53:30.27 W</t>
  </si>
  <si>
    <t>041:58:50.26 N</t>
  </si>
  <si>
    <t>087:53:30.04 W</t>
  </si>
  <si>
    <t>041:58:50.41 N</t>
  </si>
  <si>
    <t>087:53:29.88 W</t>
  </si>
  <si>
    <t>041:58:50.56 N</t>
  </si>
  <si>
    <t>087:53:29.73 W</t>
  </si>
  <si>
    <t>041:58:50.72 N</t>
  </si>
  <si>
    <t>087:53:29.42 W</t>
  </si>
  <si>
    <t>087:53:29.26 W</t>
  </si>
  <si>
    <t>041:58:50.95 N</t>
  </si>
  <si>
    <t>041:58:51.03 N</t>
  </si>
  <si>
    <t>087:53:28.80 W</t>
  </si>
  <si>
    <t>041:58:51.18 N</t>
  </si>
  <si>
    <t>087:53:28.64 W</t>
  </si>
  <si>
    <t>041:58:51.34 N</t>
  </si>
  <si>
    <t>087:53:28.49 W</t>
  </si>
  <si>
    <t>087:53:28.26 W</t>
  </si>
  <si>
    <t>041:58:51.57 N</t>
  </si>
  <si>
    <t>087:53:28.03 W</t>
  </si>
  <si>
    <t>087:53:27.87 W</t>
  </si>
  <si>
    <t>041:58:51.80 N</t>
  </si>
  <si>
    <t>087:53:27.72 W</t>
  </si>
  <si>
    <t>087:53:27.49 W</t>
  </si>
  <si>
    <t>041:58:52.03 N</t>
  </si>
  <si>
    <t>087:53:27.25 W</t>
  </si>
  <si>
    <t>041:58:52.19 N</t>
  </si>
  <si>
    <t>087:53:27.02 W</t>
  </si>
  <si>
    <t>041:58:55.12 N</t>
  </si>
  <si>
    <t>087:53:25.25 W</t>
  </si>
  <si>
    <t>041:58:55.74 N</t>
  </si>
  <si>
    <t>041:58:55.97 N</t>
  </si>
  <si>
    <t>041:58:56.28 N</t>
  </si>
  <si>
    <t>041:58:56.59 N</t>
  </si>
  <si>
    <t>041:58:56.82 N</t>
  </si>
  <si>
    <t>041:58:57.13 N</t>
  </si>
  <si>
    <t>041:58:57.44 N</t>
  </si>
  <si>
    <t>041:58:57.67 N</t>
  </si>
  <si>
    <t>041:58:57.90 N</t>
  </si>
  <si>
    <t>041:58:58.21 N</t>
  </si>
  <si>
    <t>041:58:58.44 N</t>
  </si>
  <si>
    <t>041:58:58.68 N</t>
  </si>
  <si>
    <t>041:58:59.53 N</t>
  </si>
  <si>
    <t>041:59:00.07 N</t>
  </si>
  <si>
    <t>041:59:00.30 N</t>
  </si>
  <si>
    <t>041:59:00.53 N</t>
  </si>
  <si>
    <t>041:59:01.22 N</t>
  </si>
  <si>
    <t>041:59:01.53 N</t>
  </si>
  <si>
    <t>041:59:01.84 N</t>
  </si>
  <si>
    <t>087:53:25.17 W</t>
  </si>
  <si>
    <t>041:59:02.15 N</t>
  </si>
  <si>
    <t>041:59:02.38 N</t>
  </si>
  <si>
    <t>041:59:02.54 N</t>
  </si>
  <si>
    <t>041:59:02.85 N</t>
  </si>
  <si>
    <t>041:59:03.39 N</t>
  </si>
  <si>
    <t>041:59:04.01 N</t>
  </si>
  <si>
    <t>041:59:04.24 N</t>
  </si>
  <si>
    <t>041:59:04.62 N</t>
  </si>
  <si>
    <t>041:59:04.86 N</t>
  </si>
  <si>
    <t>041:59:05.16 N</t>
  </si>
  <si>
    <t>041:59:05.47 N</t>
  </si>
  <si>
    <t>087:53:25.32 W</t>
  </si>
  <si>
    <t>041:59:05.71 N</t>
  </si>
  <si>
    <t>041:59:06.01 N</t>
  </si>
  <si>
    <t>041:59:06.25 N</t>
  </si>
  <si>
    <t>041:59:06.63 N</t>
  </si>
  <si>
    <t>041:59:07.10 N</t>
  </si>
  <si>
    <t>041:59:07.33 N</t>
  </si>
  <si>
    <t>041:59:07.40 N</t>
  </si>
  <si>
    <t>041:59:07.79 N</t>
  </si>
  <si>
    <t>041:59:07.95 N</t>
  </si>
  <si>
    <t>087:53:25.40 W</t>
  </si>
  <si>
    <t>041:59:08.10 N</t>
  </si>
  <si>
    <t>041:59:08.25 N</t>
  </si>
  <si>
    <t>041:59:08.41 N</t>
  </si>
  <si>
    <t>041:59:08.64 N</t>
  </si>
  <si>
    <t>041:59:08.80 N</t>
  </si>
  <si>
    <t>041:59:08.95 N</t>
  </si>
  <si>
    <t>041:59:09.10 N</t>
  </si>
  <si>
    <t>041:59:09.18 N</t>
  </si>
  <si>
    <t>087:53:25.48 W</t>
  </si>
  <si>
    <t>041:59:09.34 N</t>
  </si>
  <si>
    <t>041:59:09.49 N</t>
  </si>
  <si>
    <t>041:59:09.64 N</t>
  </si>
  <si>
    <t>041:59:09.80 N</t>
  </si>
  <si>
    <t>041:59:09.95 N</t>
  </si>
  <si>
    <t>041:59:10.11 N</t>
  </si>
  <si>
    <t>041:59:10.42 N</t>
  </si>
  <si>
    <t>041:59:10.57 N</t>
  </si>
  <si>
    <t>041:59:10.80 N</t>
  </si>
  <si>
    <t>041:59:10.96 N</t>
  </si>
  <si>
    <t>041:59:11.19 N</t>
  </si>
  <si>
    <t>041:59:11.42 N</t>
  </si>
  <si>
    <t>041:59:11.58 N</t>
  </si>
  <si>
    <t>041:59:11.81 N</t>
  </si>
  <si>
    <t>041:59:12.04 N</t>
  </si>
  <si>
    <t>041:59:12.27 N</t>
  </si>
  <si>
    <t>041:59:12.50 N</t>
  </si>
  <si>
    <t>041:59:12.81 N</t>
  </si>
  <si>
    <t>041:59:13.04 N</t>
  </si>
  <si>
    <t>041:59:13.35 N</t>
  </si>
  <si>
    <t>041:59:13.58 N</t>
  </si>
  <si>
    <t>041:59:13.89 N</t>
  </si>
  <si>
    <t>041:59:14.13 N</t>
  </si>
  <si>
    <t>041:59:14.43 N</t>
  </si>
  <si>
    <t>041:59:14.74 N</t>
  </si>
  <si>
    <t>041:59:15.28 N</t>
  </si>
  <si>
    <t>041:59:15.44 N</t>
  </si>
  <si>
    <t>041:59:15.75 N</t>
  </si>
  <si>
    <t>041:59:16.21 N</t>
  </si>
  <si>
    <t>041:59:16.44 N</t>
  </si>
  <si>
    <t>041:59:16.83 N</t>
  </si>
  <si>
    <t>041:59:17.29 N</t>
  </si>
  <si>
    <t>041:59:17.45 N</t>
  </si>
  <si>
    <t>041:59:17.68 N</t>
  </si>
  <si>
    <t>041:59:17.83 N</t>
  </si>
  <si>
    <t>041:59:17.99 N</t>
  </si>
  <si>
    <t>041:59:18.22 N</t>
  </si>
  <si>
    <t>041:59:18.61 N</t>
  </si>
  <si>
    <t>041:59:18.84 N</t>
  </si>
  <si>
    <t>041:59:19.15 N</t>
  </si>
  <si>
    <t>041:59:19.30 N</t>
  </si>
  <si>
    <t>041:59:19.76 N</t>
  </si>
  <si>
    <t>041:59:20.00 N</t>
  </si>
  <si>
    <t>041:59:20.23 N</t>
  </si>
  <si>
    <t>041:59:20.38 N</t>
  </si>
  <si>
    <t>041:59:20.61 N</t>
  </si>
  <si>
    <t>041:59:21.08 N</t>
  </si>
  <si>
    <t>041:59:21.31 N</t>
  </si>
  <si>
    <t>041:59:21.70 N</t>
  </si>
  <si>
    <t>041:59:23.01 N</t>
  </si>
  <si>
    <t>041:59:23.16 N</t>
  </si>
  <si>
    <t>087:53:25.55 W</t>
  </si>
  <si>
    <t>041:59:23.55 N</t>
  </si>
  <si>
    <t>087:53:25.63 W</t>
  </si>
  <si>
    <t>087:53:25.71 W</t>
  </si>
  <si>
    <t>041:59:23.78 N</t>
  </si>
  <si>
    <t>087:53:25.79 W</t>
  </si>
  <si>
    <t>087:53:25.94 W</t>
  </si>
  <si>
    <t>087:53:26.02 W</t>
  </si>
  <si>
    <t>087:53:26.17 W</t>
  </si>
  <si>
    <t>087:53:26.33 W</t>
  </si>
  <si>
    <t>087:53:26.48 W</t>
  </si>
  <si>
    <t>087:53:26.64 W</t>
  </si>
  <si>
    <t>087:53:26.79 W</t>
  </si>
  <si>
    <t>087:53:26.95 W</t>
  </si>
  <si>
    <t>087:53:27.10 W</t>
  </si>
  <si>
    <t>087:53:27.33 W</t>
  </si>
  <si>
    <t>087:53:31.04 W</t>
  </si>
  <si>
    <t>087:53:31.81 W</t>
  </si>
  <si>
    <t>087:53:32.04 W</t>
  </si>
  <si>
    <t>087:53:32.35 W</t>
  </si>
  <si>
    <t>087:53:32.97 W</t>
  </si>
  <si>
    <t>087:53:33.67 W</t>
  </si>
  <si>
    <t>087:53:34.28 W</t>
  </si>
  <si>
    <t>087:53:34.90 W</t>
  </si>
  <si>
    <t>087:53:35.60 W</t>
  </si>
  <si>
    <t>087:53:35.98 W</t>
  </si>
  <si>
    <t>087:53:38.84 W</t>
  </si>
  <si>
    <t>087:53:40.39 W</t>
  </si>
  <si>
    <t>041:59:24.40 N</t>
  </si>
  <si>
    <t>087:53:40.85 W</t>
  </si>
  <si>
    <t>041:59:24.63 N</t>
  </si>
  <si>
    <t>041:59:24.86 N</t>
  </si>
  <si>
    <t>041:59:25.94 N</t>
  </si>
  <si>
    <t>041:59:27.33 N</t>
  </si>
  <si>
    <t>041:59:27.88 N</t>
  </si>
  <si>
    <t>041:59:29.19 N</t>
  </si>
  <si>
    <t>087:53:38.69 W</t>
  </si>
  <si>
    <t>041:59:29.50 N</t>
  </si>
  <si>
    <t>087:53:38.15 W</t>
  </si>
  <si>
    <t>087:53:34.52 W</t>
  </si>
  <si>
    <t>087:53:34.36 W</t>
  </si>
  <si>
    <t>087:53:34.13 W</t>
  </si>
  <si>
    <t>087:53:33.90 W</t>
  </si>
  <si>
    <t>087:53:33.20 W</t>
  </si>
  <si>
    <t>087:53:32.82 W</t>
  </si>
  <si>
    <t>087:53:32.74 W</t>
  </si>
  <si>
    <t>087:53:32.51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</si>
</sst>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171"/>
  <sheetViews>
    <sheetView tabSelected="1" workbookViewId="0"/>
  </sheetViews>
  <sheetFormatPr defaultRowHeight="14.4" x14ac:dyDescent="0.3"/>
  <sheetData>
    <row r="1" spans="1:1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3">
      <c r="A2" t="str">
        <f>"06/16/2022 18:48:31.855"</f>
        <v>06/16/2022 18:48:31.855</v>
      </c>
      <c r="C2" t="str">
        <f t="shared" ref="C2:C65" si="0">"FFBF5BC0"</f>
        <v>FFBF5BC0</v>
      </c>
      <c r="D2" t="s">
        <v>113</v>
      </c>
      <c r="E2">
        <v>8</v>
      </c>
      <c r="H2">
        <v>206</v>
      </c>
      <c r="I2" t="s">
        <v>114</v>
      </c>
      <c r="J2" t="s">
        <v>115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"18:48:31.602"</f>
        <v>18:48:31.602</v>
      </c>
      <c r="T2" t="str">
        <f>"18:48:31.602"</f>
        <v>18:48:31.602</v>
      </c>
      <c r="U2" t="str">
        <f t="shared" ref="U2:U65" si="1">"AB63B2"</f>
        <v>AB63B2</v>
      </c>
      <c r="V2">
        <v>0</v>
      </c>
      <c r="W2">
        <v>0</v>
      </c>
      <c r="X2">
        <v>6</v>
      </c>
      <c r="Z2">
        <v>0</v>
      </c>
      <c r="AA2">
        <v>6</v>
      </c>
      <c r="AB2">
        <v>3</v>
      </c>
      <c r="AC2">
        <v>0</v>
      </c>
      <c r="AD2">
        <v>9</v>
      </c>
      <c r="AE2">
        <v>0</v>
      </c>
      <c r="AF2">
        <v>0</v>
      </c>
      <c r="AG2">
        <v>2</v>
      </c>
      <c r="AH2">
        <v>0</v>
      </c>
      <c r="AI2" t="s">
        <v>116</v>
      </c>
      <c r="AJ2">
        <v>41.991484</v>
      </c>
      <c r="AK2" t="s">
        <v>117</v>
      </c>
      <c r="AL2">
        <v>-87.891418999999999</v>
      </c>
      <c r="AS2">
        <v>1</v>
      </c>
      <c r="AT2" t="s">
        <v>118</v>
      </c>
      <c r="AU2" t="b">
        <v>1</v>
      </c>
      <c r="AV2">
        <v>357.19</v>
      </c>
      <c r="AX2">
        <v>1</v>
      </c>
      <c r="AZ2">
        <v>1200</v>
      </c>
      <c r="BA2">
        <v>1</v>
      </c>
      <c r="BB2" t="str">
        <f t="shared" ref="BB2:BB65" si="2">"KAP400  "</f>
        <v xml:space="preserve">KAP400  </v>
      </c>
      <c r="BC2">
        <v>1</v>
      </c>
      <c r="BE2">
        <v>0</v>
      </c>
      <c r="BF2">
        <v>0</v>
      </c>
      <c r="BG2">
        <v>0</v>
      </c>
      <c r="BI2">
        <v>1</v>
      </c>
      <c r="BJ2">
        <v>1</v>
      </c>
      <c r="BK2">
        <v>1</v>
      </c>
      <c r="BL2">
        <v>0</v>
      </c>
      <c r="BO2">
        <v>0</v>
      </c>
      <c r="BP2">
        <v>0</v>
      </c>
      <c r="BW2" t="str">
        <f>"18:48:31.604"</f>
        <v>18:48:31.604</v>
      </c>
      <c r="BX2" t="s">
        <v>119</v>
      </c>
      <c r="BY2" t="s">
        <v>120</v>
      </c>
      <c r="CJ2">
        <v>0</v>
      </c>
      <c r="CK2">
        <v>0</v>
      </c>
      <c r="CL2">
        <v>2</v>
      </c>
      <c r="CM2">
        <v>2</v>
      </c>
      <c r="CN2">
        <v>0</v>
      </c>
      <c r="CO2">
        <v>7</v>
      </c>
      <c r="CP2" t="s">
        <v>121</v>
      </c>
      <c r="CQ2">
        <v>581</v>
      </c>
      <c r="CR2">
        <v>0</v>
      </c>
      <c r="CW2">
        <v>12813466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1</v>
      </c>
      <c r="DG2">
        <v>1</v>
      </c>
      <c r="DH2">
        <v>0</v>
      </c>
      <c r="DI2">
        <v>0</v>
      </c>
    </row>
    <row r="3" spans="1:113" x14ac:dyDescent="0.3">
      <c r="A3" t="str">
        <f>"06/16/2022 18:48:32.824"</f>
        <v>06/16/2022 18:48:32.824</v>
      </c>
      <c r="C3" t="str">
        <f t="shared" si="0"/>
        <v>FFBF5BC0</v>
      </c>
      <c r="D3" t="s">
        <v>113</v>
      </c>
      <c r="E3">
        <v>8</v>
      </c>
      <c r="H3">
        <v>206</v>
      </c>
      <c r="I3" t="s">
        <v>114</v>
      </c>
      <c r="J3" t="s">
        <v>115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"18:48:32.563"</f>
        <v>18:48:32.563</v>
      </c>
      <c r="T3" t="str">
        <f>"18:48:32.563"</f>
        <v>18:48:32.563</v>
      </c>
      <c r="U3" t="str">
        <f t="shared" si="1"/>
        <v>AB63B2</v>
      </c>
      <c r="V3">
        <v>0</v>
      </c>
      <c r="W3">
        <v>0</v>
      </c>
      <c r="X3">
        <v>6</v>
      </c>
      <c r="Z3">
        <v>0</v>
      </c>
      <c r="AA3">
        <v>8</v>
      </c>
      <c r="AB3">
        <v>3</v>
      </c>
      <c r="AC3">
        <v>0</v>
      </c>
      <c r="AD3">
        <v>9</v>
      </c>
      <c r="AE3">
        <v>0</v>
      </c>
      <c r="AF3">
        <v>0</v>
      </c>
      <c r="AG3">
        <v>2</v>
      </c>
      <c r="AH3">
        <v>0</v>
      </c>
      <c r="AI3" t="s">
        <v>116</v>
      </c>
      <c r="AJ3">
        <v>41.991484</v>
      </c>
      <c r="AK3" t="s">
        <v>117</v>
      </c>
      <c r="AL3">
        <v>-87.891418999999999</v>
      </c>
      <c r="AS3">
        <v>1</v>
      </c>
      <c r="AT3" t="s">
        <v>118</v>
      </c>
      <c r="AU3" t="b">
        <v>1</v>
      </c>
      <c r="AV3">
        <v>357.19</v>
      </c>
      <c r="AX3">
        <v>1</v>
      </c>
      <c r="AZ3">
        <v>1200</v>
      </c>
      <c r="BA3">
        <v>1</v>
      </c>
      <c r="BB3" t="str">
        <f t="shared" si="2"/>
        <v xml:space="preserve">KAP400  </v>
      </c>
      <c r="BC3">
        <v>1</v>
      </c>
      <c r="BE3">
        <v>0</v>
      </c>
      <c r="BF3">
        <v>0</v>
      </c>
      <c r="BG3">
        <v>0</v>
      </c>
      <c r="BI3">
        <v>1</v>
      </c>
      <c r="BJ3">
        <v>1</v>
      </c>
      <c r="BK3">
        <v>1</v>
      </c>
      <c r="BL3">
        <v>0</v>
      </c>
      <c r="BO3">
        <v>0</v>
      </c>
      <c r="BP3">
        <v>0</v>
      </c>
      <c r="BW3" t="str">
        <f>"18:48:32.565"</f>
        <v>18:48:32.565</v>
      </c>
      <c r="BX3" t="s">
        <v>119</v>
      </c>
      <c r="BY3" t="s">
        <v>120</v>
      </c>
      <c r="CJ3">
        <v>0</v>
      </c>
      <c r="CK3">
        <v>0</v>
      </c>
      <c r="CL3">
        <v>0</v>
      </c>
      <c r="CM3">
        <v>2</v>
      </c>
      <c r="CN3">
        <v>0</v>
      </c>
      <c r="CO3">
        <v>7</v>
      </c>
      <c r="CP3" t="s">
        <v>121</v>
      </c>
      <c r="CQ3">
        <v>582</v>
      </c>
      <c r="CR3">
        <v>0</v>
      </c>
      <c r="CW3">
        <v>3913533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1</v>
      </c>
      <c r="DG3">
        <v>0</v>
      </c>
      <c r="DH3">
        <v>0</v>
      </c>
      <c r="DI3">
        <v>0</v>
      </c>
    </row>
    <row r="4" spans="1:113" x14ac:dyDescent="0.3">
      <c r="A4" t="str">
        <f>"06/16/2022 18:48:33.949"</f>
        <v>06/16/2022 18:48:33.949</v>
      </c>
      <c r="C4" t="str">
        <f t="shared" si="0"/>
        <v>FFBF5BC0</v>
      </c>
      <c r="D4" t="s">
        <v>113</v>
      </c>
      <c r="E4">
        <v>8</v>
      </c>
      <c r="H4">
        <v>206</v>
      </c>
      <c r="I4" t="s">
        <v>114</v>
      </c>
      <c r="J4" t="s">
        <v>115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"18:48:33.656"</f>
        <v>18:48:33.656</v>
      </c>
      <c r="T4" t="str">
        <f>"18:48:33.656"</f>
        <v>18:48:33.656</v>
      </c>
      <c r="U4" t="str">
        <f t="shared" si="1"/>
        <v>AB63B2</v>
      </c>
      <c r="V4">
        <v>0</v>
      </c>
      <c r="W4">
        <v>0</v>
      </c>
      <c r="X4">
        <v>6</v>
      </c>
      <c r="Z4">
        <v>0</v>
      </c>
      <c r="AA4">
        <v>8</v>
      </c>
      <c r="AB4">
        <v>3</v>
      </c>
      <c r="AC4">
        <v>0</v>
      </c>
      <c r="AD4">
        <v>9</v>
      </c>
      <c r="AE4">
        <v>0</v>
      </c>
      <c r="AF4">
        <v>0</v>
      </c>
      <c r="AG4">
        <v>2</v>
      </c>
      <c r="AH4">
        <v>0</v>
      </c>
      <c r="AI4" t="s">
        <v>122</v>
      </c>
      <c r="AJ4">
        <v>41.991506000000001</v>
      </c>
      <c r="AK4" t="s">
        <v>117</v>
      </c>
      <c r="AL4">
        <v>-87.891418999999999</v>
      </c>
      <c r="AS4">
        <v>1</v>
      </c>
      <c r="AT4" t="s">
        <v>118</v>
      </c>
      <c r="AU4" t="b">
        <v>1</v>
      </c>
      <c r="AV4">
        <v>357.19</v>
      </c>
      <c r="AX4">
        <v>1</v>
      </c>
      <c r="AZ4">
        <v>1200</v>
      </c>
      <c r="BA4">
        <v>1</v>
      </c>
      <c r="BB4" t="str">
        <f t="shared" si="2"/>
        <v xml:space="preserve">KAP400  </v>
      </c>
      <c r="BC4">
        <v>1</v>
      </c>
      <c r="BE4">
        <v>0</v>
      </c>
      <c r="BF4">
        <v>0</v>
      </c>
      <c r="BG4">
        <v>0</v>
      </c>
      <c r="BI4">
        <v>1</v>
      </c>
      <c r="BJ4">
        <v>1</v>
      </c>
      <c r="BK4">
        <v>1</v>
      </c>
      <c r="BL4">
        <v>0</v>
      </c>
      <c r="BO4">
        <v>0</v>
      </c>
      <c r="BP4">
        <v>0</v>
      </c>
      <c r="BW4" t="str">
        <f>"18:48:33.660"</f>
        <v>18:48:33.660</v>
      </c>
      <c r="BX4" t="s">
        <v>119</v>
      </c>
      <c r="BY4" t="s">
        <v>120</v>
      </c>
      <c r="CJ4">
        <v>0</v>
      </c>
      <c r="CK4">
        <v>0</v>
      </c>
      <c r="CL4">
        <v>0</v>
      </c>
      <c r="CM4">
        <v>2</v>
      </c>
      <c r="CN4">
        <v>0</v>
      </c>
      <c r="CO4">
        <v>7</v>
      </c>
      <c r="CP4" t="s">
        <v>121</v>
      </c>
      <c r="CQ4">
        <v>581</v>
      </c>
      <c r="CR4">
        <v>0</v>
      </c>
      <c r="CW4">
        <v>12817101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1</v>
      </c>
      <c r="DG4">
        <v>0</v>
      </c>
      <c r="DH4">
        <v>0</v>
      </c>
      <c r="DI4">
        <v>0</v>
      </c>
    </row>
    <row r="5" spans="1:113" x14ac:dyDescent="0.3">
      <c r="A5" t="str">
        <f>"06/16/2022 18:48:35.059"</f>
        <v>06/16/2022 18:48:35.059</v>
      </c>
      <c r="C5" t="str">
        <f t="shared" si="0"/>
        <v>FFBF5BC0</v>
      </c>
      <c r="D5" t="s">
        <v>113</v>
      </c>
      <c r="E5">
        <v>8</v>
      </c>
      <c r="H5">
        <v>206</v>
      </c>
      <c r="I5" t="s">
        <v>114</v>
      </c>
      <c r="J5" t="s">
        <v>115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"18:48:34.766"</f>
        <v>18:48:34.766</v>
      </c>
      <c r="T5" t="str">
        <f>"18:48:34.766"</f>
        <v>18:48:34.766</v>
      </c>
      <c r="U5" t="str">
        <f t="shared" si="1"/>
        <v>AB63B2</v>
      </c>
      <c r="V5">
        <v>0</v>
      </c>
      <c r="W5">
        <v>0</v>
      </c>
      <c r="X5">
        <v>6</v>
      </c>
      <c r="Z5">
        <v>0</v>
      </c>
      <c r="AA5">
        <v>8</v>
      </c>
      <c r="AB5">
        <v>3</v>
      </c>
      <c r="AC5">
        <v>0</v>
      </c>
      <c r="AD5">
        <v>9</v>
      </c>
      <c r="AE5">
        <v>0</v>
      </c>
      <c r="AF5">
        <v>0</v>
      </c>
      <c r="AG5">
        <v>2</v>
      </c>
      <c r="AH5">
        <v>0</v>
      </c>
      <c r="AI5" t="s">
        <v>122</v>
      </c>
      <c r="AJ5">
        <v>41.991506000000001</v>
      </c>
      <c r="AK5" t="s">
        <v>117</v>
      </c>
      <c r="AL5">
        <v>-87.891418999999999</v>
      </c>
      <c r="AS5">
        <v>1</v>
      </c>
      <c r="AT5" t="s">
        <v>118</v>
      </c>
      <c r="AU5" t="b">
        <v>1</v>
      </c>
      <c r="AV5">
        <v>357.19</v>
      </c>
      <c r="AX5">
        <v>1</v>
      </c>
      <c r="AZ5">
        <v>1200</v>
      </c>
      <c r="BA5">
        <v>1</v>
      </c>
      <c r="BB5" t="str">
        <f t="shared" si="2"/>
        <v xml:space="preserve">KAP400  </v>
      </c>
      <c r="BC5">
        <v>1</v>
      </c>
      <c r="BE5">
        <v>0</v>
      </c>
      <c r="BF5">
        <v>0</v>
      </c>
      <c r="BG5">
        <v>0</v>
      </c>
      <c r="BI5">
        <v>1</v>
      </c>
      <c r="BJ5">
        <v>1</v>
      </c>
      <c r="BK5">
        <v>1</v>
      </c>
      <c r="BL5">
        <v>0</v>
      </c>
      <c r="BO5">
        <v>0</v>
      </c>
      <c r="BP5">
        <v>0</v>
      </c>
      <c r="BW5" t="str">
        <f>"18:48:34.771"</f>
        <v>18:48:34.771</v>
      </c>
      <c r="BX5" t="s">
        <v>119</v>
      </c>
      <c r="BY5" t="s">
        <v>120</v>
      </c>
      <c r="CJ5">
        <v>0</v>
      </c>
      <c r="CK5">
        <v>0</v>
      </c>
      <c r="CL5">
        <v>0</v>
      </c>
      <c r="CM5">
        <v>2</v>
      </c>
      <c r="CN5">
        <v>0</v>
      </c>
      <c r="CO5">
        <v>7</v>
      </c>
      <c r="CP5" t="s">
        <v>121</v>
      </c>
      <c r="CQ5">
        <v>582</v>
      </c>
      <c r="CR5">
        <v>0</v>
      </c>
      <c r="CW5">
        <v>3917287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1</v>
      </c>
      <c r="DG5">
        <v>0</v>
      </c>
      <c r="DH5">
        <v>0</v>
      </c>
      <c r="DI5">
        <v>0</v>
      </c>
    </row>
    <row r="6" spans="1:113" x14ac:dyDescent="0.3">
      <c r="A6" t="str">
        <f>"06/16/2022 18:48:35.950"</f>
        <v>06/16/2022 18:48:35.950</v>
      </c>
      <c r="C6" t="str">
        <f t="shared" si="0"/>
        <v>FFBF5BC0</v>
      </c>
      <c r="D6" t="s">
        <v>113</v>
      </c>
      <c r="E6">
        <v>8</v>
      </c>
      <c r="H6">
        <v>206</v>
      </c>
      <c r="I6" t="s">
        <v>114</v>
      </c>
      <c r="J6" t="s">
        <v>115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"18:48:35.602"</f>
        <v>18:48:35.602</v>
      </c>
      <c r="T6" t="str">
        <f>"18:48:35.602"</f>
        <v>18:48:35.602</v>
      </c>
      <c r="U6" t="str">
        <f t="shared" si="1"/>
        <v>AB63B2</v>
      </c>
      <c r="V6">
        <v>0</v>
      </c>
      <c r="W6">
        <v>0</v>
      </c>
      <c r="X6">
        <v>6</v>
      </c>
      <c r="Z6">
        <v>0</v>
      </c>
      <c r="AA6">
        <v>8</v>
      </c>
      <c r="AB6">
        <v>3</v>
      </c>
      <c r="AC6">
        <v>0</v>
      </c>
      <c r="AD6">
        <v>9</v>
      </c>
      <c r="AE6">
        <v>0</v>
      </c>
      <c r="AF6">
        <v>0</v>
      </c>
      <c r="AG6">
        <v>2</v>
      </c>
      <c r="AH6">
        <v>0</v>
      </c>
      <c r="AI6" t="s">
        <v>122</v>
      </c>
      <c r="AJ6">
        <v>41.991506000000001</v>
      </c>
      <c r="AK6" t="s">
        <v>117</v>
      </c>
      <c r="AL6">
        <v>-87.891418999999999</v>
      </c>
      <c r="AS6">
        <v>1</v>
      </c>
      <c r="AT6" t="s">
        <v>118</v>
      </c>
      <c r="AU6" t="b">
        <v>1</v>
      </c>
      <c r="AV6">
        <v>357.19</v>
      </c>
      <c r="AX6">
        <v>1</v>
      </c>
      <c r="AZ6">
        <v>1200</v>
      </c>
      <c r="BA6">
        <v>1</v>
      </c>
      <c r="BB6" t="str">
        <f t="shared" si="2"/>
        <v xml:space="preserve">KAP400  </v>
      </c>
      <c r="BC6">
        <v>1</v>
      </c>
      <c r="BE6">
        <v>0</v>
      </c>
      <c r="BF6">
        <v>0</v>
      </c>
      <c r="BG6">
        <v>0</v>
      </c>
      <c r="BI6">
        <v>1</v>
      </c>
      <c r="BJ6">
        <v>1</v>
      </c>
      <c r="BK6">
        <v>1</v>
      </c>
      <c r="BL6">
        <v>0</v>
      </c>
      <c r="BO6">
        <v>0</v>
      </c>
      <c r="BP6">
        <v>0</v>
      </c>
      <c r="BW6" t="str">
        <f>"18:48:35.606"</f>
        <v>18:48:35.606</v>
      </c>
      <c r="BX6" t="s">
        <v>119</v>
      </c>
      <c r="BY6" t="s">
        <v>120</v>
      </c>
      <c r="CJ6">
        <v>0</v>
      </c>
      <c r="CK6">
        <v>0</v>
      </c>
      <c r="CL6">
        <v>0</v>
      </c>
      <c r="CM6">
        <v>2</v>
      </c>
      <c r="CN6">
        <v>0</v>
      </c>
      <c r="CO6">
        <v>7</v>
      </c>
      <c r="CP6" t="s">
        <v>121</v>
      </c>
      <c r="CQ6">
        <v>582</v>
      </c>
      <c r="CR6">
        <v>0</v>
      </c>
      <c r="CW6">
        <v>3918646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1</v>
      </c>
      <c r="DG6">
        <v>0</v>
      </c>
      <c r="DH6">
        <v>0</v>
      </c>
      <c r="DI6">
        <v>0</v>
      </c>
    </row>
    <row r="7" spans="1:113" x14ac:dyDescent="0.3">
      <c r="A7" t="str">
        <f>"06/16/2022 18:48:36.932"</f>
        <v>06/16/2022 18:48:36.932</v>
      </c>
      <c r="C7" t="str">
        <f t="shared" si="0"/>
        <v>FFBF5BC0</v>
      </c>
      <c r="D7" t="s">
        <v>113</v>
      </c>
      <c r="E7">
        <v>8</v>
      </c>
      <c r="H7">
        <v>206</v>
      </c>
      <c r="I7" t="s">
        <v>114</v>
      </c>
      <c r="J7" t="s">
        <v>115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"18:48:36.578"</f>
        <v>18:48:36.578</v>
      </c>
      <c r="T7" t="str">
        <f>"18:48:36.578"</f>
        <v>18:48:36.578</v>
      </c>
      <c r="U7" t="str">
        <f t="shared" si="1"/>
        <v>AB63B2</v>
      </c>
      <c r="V7">
        <v>0</v>
      </c>
      <c r="W7">
        <v>0</v>
      </c>
      <c r="X7">
        <v>6</v>
      </c>
      <c r="Z7">
        <v>0</v>
      </c>
      <c r="AA7">
        <v>8</v>
      </c>
      <c r="AB7">
        <v>3</v>
      </c>
      <c r="AC7">
        <v>0</v>
      </c>
      <c r="AD7">
        <v>9</v>
      </c>
      <c r="AE7">
        <v>0</v>
      </c>
      <c r="AF7">
        <v>0</v>
      </c>
      <c r="AG7">
        <v>2</v>
      </c>
      <c r="AH7">
        <v>0</v>
      </c>
      <c r="AI7" t="s">
        <v>122</v>
      </c>
      <c r="AJ7">
        <v>41.991506000000001</v>
      </c>
      <c r="AK7" t="s">
        <v>117</v>
      </c>
      <c r="AL7">
        <v>-87.891418999999999</v>
      </c>
      <c r="AS7">
        <v>1</v>
      </c>
      <c r="AT7" t="s">
        <v>118</v>
      </c>
      <c r="AU7" t="b">
        <v>1</v>
      </c>
      <c r="AV7">
        <v>357.19</v>
      </c>
      <c r="AX7">
        <v>1</v>
      </c>
      <c r="AZ7">
        <v>1200</v>
      </c>
      <c r="BA7">
        <v>1</v>
      </c>
      <c r="BB7" t="str">
        <f t="shared" si="2"/>
        <v xml:space="preserve">KAP400  </v>
      </c>
      <c r="BC7">
        <v>1</v>
      </c>
      <c r="BE7">
        <v>0</v>
      </c>
      <c r="BF7">
        <v>0</v>
      </c>
      <c r="BG7">
        <v>0</v>
      </c>
      <c r="BI7">
        <v>1</v>
      </c>
      <c r="BJ7">
        <v>1</v>
      </c>
      <c r="BK7">
        <v>1</v>
      </c>
      <c r="BL7">
        <v>0</v>
      </c>
      <c r="BO7">
        <v>0</v>
      </c>
      <c r="BP7">
        <v>0</v>
      </c>
      <c r="BW7" t="str">
        <f>"18:48:36.581"</f>
        <v>18:48:36.581</v>
      </c>
      <c r="BX7" t="s">
        <v>119</v>
      </c>
      <c r="BY7" t="s">
        <v>120</v>
      </c>
      <c r="CJ7">
        <v>0</v>
      </c>
      <c r="CK7">
        <v>0</v>
      </c>
      <c r="CL7">
        <v>0</v>
      </c>
      <c r="CM7">
        <v>2</v>
      </c>
      <c r="CN7">
        <v>0</v>
      </c>
      <c r="CO7">
        <v>7</v>
      </c>
      <c r="CP7" t="s">
        <v>121</v>
      </c>
      <c r="CQ7">
        <v>582</v>
      </c>
      <c r="CR7">
        <v>0</v>
      </c>
      <c r="CW7">
        <v>3920186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1</v>
      </c>
      <c r="DG7">
        <v>0</v>
      </c>
      <c r="DH7">
        <v>0</v>
      </c>
      <c r="DI7">
        <v>0</v>
      </c>
    </row>
    <row r="8" spans="1:113" x14ac:dyDescent="0.3">
      <c r="A8" t="str">
        <f>"06/16/2022 18:48:37.995"</f>
        <v>06/16/2022 18:48:37.995</v>
      </c>
      <c r="C8" t="str">
        <f t="shared" si="0"/>
        <v>FFBF5BC0</v>
      </c>
      <c r="D8" t="s">
        <v>113</v>
      </c>
      <c r="E8">
        <v>8</v>
      </c>
      <c r="H8">
        <v>206</v>
      </c>
      <c r="I8" t="s">
        <v>114</v>
      </c>
      <c r="J8" t="s">
        <v>115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"18:48:37.742"</f>
        <v>18:48:37.742</v>
      </c>
      <c r="T8" t="str">
        <f>"18:48:37.742"</f>
        <v>18:48:37.742</v>
      </c>
      <c r="U8" t="str">
        <f t="shared" si="1"/>
        <v>AB63B2</v>
      </c>
      <c r="V8">
        <v>0</v>
      </c>
      <c r="W8">
        <v>0</v>
      </c>
      <c r="X8">
        <v>6</v>
      </c>
      <c r="Z8">
        <v>0</v>
      </c>
      <c r="AA8">
        <v>8</v>
      </c>
      <c r="AB8">
        <v>3</v>
      </c>
      <c r="AC8">
        <v>0</v>
      </c>
      <c r="AD8">
        <v>9</v>
      </c>
      <c r="AE8">
        <v>0</v>
      </c>
      <c r="AF8">
        <v>0</v>
      </c>
      <c r="AG8">
        <v>2</v>
      </c>
      <c r="AH8">
        <v>0</v>
      </c>
      <c r="AI8" t="s">
        <v>122</v>
      </c>
      <c r="AJ8">
        <v>41.991506000000001</v>
      </c>
      <c r="AK8" t="s">
        <v>117</v>
      </c>
      <c r="AL8">
        <v>-87.891418999999999</v>
      </c>
      <c r="AS8">
        <v>1</v>
      </c>
      <c r="AT8" t="s">
        <v>118</v>
      </c>
      <c r="AU8" t="b">
        <v>1</v>
      </c>
      <c r="AV8">
        <v>357.19</v>
      </c>
      <c r="AX8">
        <v>1</v>
      </c>
      <c r="AZ8">
        <v>1200</v>
      </c>
      <c r="BA8">
        <v>1</v>
      </c>
      <c r="BB8" t="str">
        <f t="shared" si="2"/>
        <v xml:space="preserve">KAP400  </v>
      </c>
      <c r="BC8">
        <v>1</v>
      </c>
      <c r="BE8">
        <v>0</v>
      </c>
      <c r="BF8">
        <v>0</v>
      </c>
      <c r="BG8">
        <v>0</v>
      </c>
      <c r="BI8">
        <v>1</v>
      </c>
      <c r="BJ8">
        <v>1</v>
      </c>
      <c r="BK8">
        <v>1</v>
      </c>
      <c r="BL8">
        <v>0</v>
      </c>
      <c r="BO8">
        <v>0</v>
      </c>
      <c r="BP8">
        <v>0</v>
      </c>
      <c r="BW8" t="str">
        <f>"18:48:37.743"</f>
        <v>18:48:37.743</v>
      </c>
      <c r="BX8" t="s">
        <v>119</v>
      </c>
      <c r="BY8" t="s">
        <v>120</v>
      </c>
      <c r="CJ8">
        <v>0</v>
      </c>
      <c r="CK8">
        <v>0</v>
      </c>
      <c r="CL8">
        <v>0</v>
      </c>
      <c r="CM8">
        <v>2</v>
      </c>
      <c r="CN8">
        <v>0</v>
      </c>
      <c r="CO8">
        <v>7</v>
      </c>
      <c r="CP8" t="s">
        <v>121</v>
      </c>
      <c r="CQ8">
        <v>582</v>
      </c>
      <c r="CR8">
        <v>0</v>
      </c>
      <c r="CW8">
        <v>3922033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1</v>
      </c>
      <c r="DG8">
        <v>0</v>
      </c>
      <c r="DH8">
        <v>0</v>
      </c>
      <c r="DI8">
        <v>0</v>
      </c>
    </row>
    <row r="9" spans="1:113" x14ac:dyDescent="0.3">
      <c r="A9" t="str">
        <f>"06/16/2022 18:48:38.948"</f>
        <v>06/16/2022 18:48:38.948</v>
      </c>
      <c r="C9" t="str">
        <f t="shared" si="0"/>
        <v>FFBF5BC0</v>
      </c>
      <c r="D9" t="s">
        <v>113</v>
      </c>
      <c r="E9">
        <v>8</v>
      </c>
      <c r="H9">
        <v>206</v>
      </c>
      <c r="I9" t="s">
        <v>114</v>
      </c>
      <c r="J9" t="s">
        <v>115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"18:48:38.703"</f>
        <v>18:48:38.703</v>
      </c>
      <c r="T9" t="str">
        <f>"18:48:38.703"</f>
        <v>18:48:38.703</v>
      </c>
      <c r="U9" t="str">
        <f t="shared" si="1"/>
        <v>AB63B2</v>
      </c>
      <c r="V9">
        <v>0</v>
      </c>
      <c r="W9">
        <v>0</v>
      </c>
      <c r="X9">
        <v>6</v>
      </c>
      <c r="Z9">
        <v>0</v>
      </c>
      <c r="AA9">
        <v>8</v>
      </c>
      <c r="AB9">
        <v>3</v>
      </c>
      <c r="AC9">
        <v>0</v>
      </c>
      <c r="AD9">
        <v>9</v>
      </c>
      <c r="AE9">
        <v>0</v>
      </c>
      <c r="AF9">
        <v>0</v>
      </c>
      <c r="AG9">
        <v>2</v>
      </c>
      <c r="AH9">
        <v>0</v>
      </c>
      <c r="AI9" t="s">
        <v>122</v>
      </c>
      <c r="AJ9">
        <v>41.991506000000001</v>
      </c>
      <c r="AK9" t="s">
        <v>117</v>
      </c>
      <c r="AL9">
        <v>-87.891418999999999</v>
      </c>
      <c r="AS9">
        <v>1</v>
      </c>
      <c r="AT9" t="s">
        <v>118</v>
      </c>
      <c r="AU9" t="b">
        <v>1</v>
      </c>
      <c r="AV9">
        <v>357.19</v>
      </c>
      <c r="AX9">
        <v>1</v>
      </c>
      <c r="AZ9">
        <v>1200</v>
      </c>
      <c r="BA9">
        <v>1</v>
      </c>
      <c r="BB9" t="str">
        <f t="shared" si="2"/>
        <v xml:space="preserve">KAP400  </v>
      </c>
      <c r="BC9">
        <v>1</v>
      </c>
      <c r="BE9">
        <v>0</v>
      </c>
      <c r="BF9">
        <v>0</v>
      </c>
      <c r="BG9">
        <v>0</v>
      </c>
      <c r="BI9">
        <v>1</v>
      </c>
      <c r="BJ9">
        <v>1</v>
      </c>
      <c r="BK9">
        <v>1</v>
      </c>
      <c r="BL9">
        <v>0</v>
      </c>
      <c r="BO9">
        <v>0</v>
      </c>
      <c r="BP9">
        <v>0</v>
      </c>
      <c r="BW9" t="str">
        <f>"18:48:38.708"</f>
        <v>18:48:38.708</v>
      </c>
      <c r="BX9" t="s">
        <v>119</v>
      </c>
      <c r="BY9" t="s">
        <v>120</v>
      </c>
      <c r="CJ9">
        <v>0</v>
      </c>
      <c r="CK9">
        <v>0</v>
      </c>
      <c r="CL9">
        <v>0</v>
      </c>
      <c r="CM9">
        <v>2</v>
      </c>
      <c r="CN9">
        <v>0</v>
      </c>
      <c r="CO9">
        <v>7</v>
      </c>
      <c r="CP9" t="s">
        <v>121</v>
      </c>
      <c r="CQ9">
        <v>581</v>
      </c>
      <c r="CR9">
        <v>0</v>
      </c>
      <c r="CW9">
        <v>12825748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1</v>
      </c>
      <c r="DG9">
        <v>0</v>
      </c>
      <c r="DH9">
        <v>0</v>
      </c>
      <c r="DI9">
        <v>0</v>
      </c>
    </row>
    <row r="10" spans="1:113" x14ac:dyDescent="0.3">
      <c r="A10" t="str">
        <f>"06/16/2022 18:48:39.933"</f>
        <v>06/16/2022 18:48:39.933</v>
      </c>
      <c r="C10" t="str">
        <f t="shared" si="0"/>
        <v>FFBF5BC0</v>
      </c>
      <c r="D10" t="s">
        <v>113</v>
      </c>
      <c r="E10">
        <v>8</v>
      </c>
      <c r="H10">
        <v>206</v>
      </c>
      <c r="I10" t="s">
        <v>114</v>
      </c>
      <c r="J10" t="s">
        <v>115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"18:48:39.672"</f>
        <v>18:48:39.672</v>
      </c>
      <c r="T10" t="str">
        <f>"18:48:39.672"</f>
        <v>18:48:39.672</v>
      </c>
      <c r="U10" t="str">
        <f t="shared" si="1"/>
        <v>AB63B2</v>
      </c>
      <c r="V10">
        <v>0</v>
      </c>
      <c r="W10">
        <v>0</v>
      </c>
      <c r="X10">
        <v>6</v>
      </c>
      <c r="Z10">
        <v>0</v>
      </c>
      <c r="AA10">
        <v>8</v>
      </c>
      <c r="AB10">
        <v>3</v>
      </c>
      <c r="AC10">
        <v>0</v>
      </c>
      <c r="AD10">
        <v>9</v>
      </c>
      <c r="AE10">
        <v>0</v>
      </c>
      <c r="AF10">
        <v>0</v>
      </c>
      <c r="AG10">
        <v>2</v>
      </c>
      <c r="AH10">
        <v>0</v>
      </c>
      <c r="AI10" t="s">
        <v>122</v>
      </c>
      <c r="AJ10">
        <v>41.991506000000001</v>
      </c>
      <c r="AK10" t="s">
        <v>117</v>
      </c>
      <c r="AL10">
        <v>-87.891418999999999</v>
      </c>
      <c r="AS10">
        <v>1</v>
      </c>
      <c r="AT10" t="s">
        <v>118</v>
      </c>
      <c r="AU10" t="b">
        <v>1</v>
      </c>
      <c r="AV10">
        <v>357.19</v>
      </c>
      <c r="AX10">
        <v>1</v>
      </c>
      <c r="AZ10">
        <v>1200</v>
      </c>
      <c r="BA10">
        <v>1</v>
      </c>
      <c r="BB10" t="str">
        <f t="shared" si="2"/>
        <v xml:space="preserve">KAP400  </v>
      </c>
      <c r="BC10">
        <v>1</v>
      </c>
      <c r="BE10">
        <v>0</v>
      </c>
      <c r="BF10">
        <v>0</v>
      </c>
      <c r="BG10">
        <v>0</v>
      </c>
      <c r="BI10">
        <v>1</v>
      </c>
      <c r="BJ10">
        <v>1</v>
      </c>
      <c r="BK10">
        <v>1</v>
      </c>
      <c r="BL10">
        <v>0</v>
      </c>
      <c r="BO10">
        <v>0</v>
      </c>
      <c r="BP10">
        <v>0</v>
      </c>
      <c r="BW10" t="str">
        <f>"18:48:39.673"</f>
        <v>18:48:39.673</v>
      </c>
      <c r="BX10" t="s">
        <v>119</v>
      </c>
      <c r="BY10" t="s">
        <v>120</v>
      </c>
      <c r="CJ10">
        <v>0</v>
      </c>
      <c r="CK10">
        <v>0</v>
      </c>
      <c r="CL10">
        <v>0</v>
      </c>
      <c r="CM10">
        <v>2</v>
      </c>
      <c r="CN10">
        <v>0</v>
      </c>
      <c r="CO10">
        <v>7</v>
      </c>
      <c r="CP10" t="s">
        <v>121</v>
      </c>
      <c r="CQ10">
        <v>582</v>
      </c>
      <c r="CR10">
        <v>0</v>
      </c>
      <c r="CW10">
        <v>3925106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1</v>
      </c>
      <c r="DG10">
        <v>0</v>
      </c>
      <c r="DH10">
        <v>0</v>
      </c>
      <c r="DI10">
        <v>0</v>
      </c>
    </row>
    <row r="11" spans="1:113" x14ac:dyDescent="0.3">
      <c r="A11" t="str">
        <f>"06/16/2022 18:48:40.887"</f>
        <v>06/16/2022 18:48:40.887</v>
      </c>
      <c r="C11" t="str">
        <f t="shared" si="0"/>
        <v>FFBF5BC0</v>
      </c>
      <c r="D11" t="s">
        <v>113</v>
      </c>
      <c r="E11">
        <v>8</v>
      </c>
      <c r="H11">
        <v>206</v>
      </c>
      <c r="I11" t="s">
        <v>114</v>
      </c>
      <c r="J11" t="s">
        <v>115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"18:48:40.625"</f>
        <v>18:48:40.625</v>
      </c>
      <c r="T11" t="str">
        <f>"18:48:40.625"</f>
        <v>18:48:40.625</v>
      </c>
      <c r="U11" t="str">
        <f t="shared" si="1"/>
        <v>AB63B2</v>
      </c>
      <c r="V11">
        <v>0</v>
      </c>
      <c r="W11">
        <v>0</v>
      </c>
      <c r="X11">
        <v>6</v>
      </c>
      <c r="Z11">
        <v>0</v>
      </c>
      <c r="AA11">
        <v>8</v>
      </c>
      <c r="AB11">
        <v>3</v>
      </c>
      <c r="AC11">
        <v>0</v>
      </c>
      <c r="AD11">
        <v>9</v>
      </c>
      <c r="AE11">
        <v>0</v>
      </c>
      <c r="AF11">
        <v>0</v>
      </c>
      <c r="AG11">
        <v>2</v>
      </c>
      <c r="AH11">
        <v>0</v>
      </c>
      <c r="AI11" t="s">
        <v>122</v>
      </c>
      <c r="AJ11">
        <v>41.991506000000001</v>
      </c>
      <c r="AK11" t="s">
        <v>117</v>
      </c>
      <c r="AL11">
        <v>-87.891418999999999</v>
      </c>
      <c r="AS11">
        <v>1</v>
      </c>
      <c r="AT11" t="s">
        <v>118</v>
      </c>
      <c r="AU11" t="b">
        <v>1</v>
      </c>
      <c r="AV11">
        <v>357.19</v>
      </c>
      <c r="AX11">
        <v>1</v>
      </c>
      <c r="AZ11">
        <v>1200</v>
      </c>
      <c r="BA11">
        <v>1</v>
      </c>
      <c r="BB11" t="str">
        <f t="shared" si="2"/>
        <v xml:space="preserve">KAP400  </v>
      </c>
      <c r="BC11">
        <v>1</v>
      </c>
      <c r="BE11">
        <v>0</v>
      </c>
      <c r="BF11">
        <v>0</v>
      </c>
      <c r="BG11">
        <v>0</v>
      </c>
      <c r="BI11">
        <v>1</v>
      </c>
      <c r="BJ11">
        <v>1</v>
      </c>
      <c r="BK11">
        <v>1</v>
      </c>
      <c r="BL11">
        <v>0</v>
      </c>
      <c r="BO11">
        <v>0</v>
      </c>
      <c r="BP11">
        <v>0</v>
      </c>
      <c r="BW11" t="str">
        <f>"18:48:40.626"</f>
        <v>18:48:40.626</v>
      </c>
      <c r="BX11" t="s">
        <v>119</v>
      </c>
      <c r="BY11" t="s">
        <v>120</v>
      </c>
      <c r="CJ11">
        <v>0</v>
      </c>
      <c r="CK11">
        <v>0</v>
      </c>
      <c r="CL11">
        <v>0</v>
      </c>
      <c r="CM11">
        <v>2</v>
      </c>
      <c r="CN11">
        <v>0</v>
      </c>
      <c r="CO11">
        <v>7</v>
      </c>
      <c r="CP11" t="s">
        <v>121</v>
      </c>
      <c r="CQ11">
        <v>581</v>
      </c>
      <c r="CR11">
        <v>0</v>
      </c>
      <c r="CW11">
        <v>12828981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1</v>
      </c>
      <c r="DG11">
        <v>0</v>
      </c>
      <c r="DH11">
        <v>0</v>
      </c>
      <c r="DI11">
        <v>0</v>
      </c>
    </row>
    <row r="12" spans="1:113" x14ac:dyDescent="0.3">
      <c r="A12" t="str">
        <f>"06/16/2022 18:48:41.849"</f>
        <v>06/16/2022 18:48:41.849</v>
      </c>
      <c r="C12" t="str">
        <f t="shared" si="0"/>
        <v>FFBF5BC0</v>
      </c>
      <c r="D12" t="s">
        <v>113</v>
      </c>
      <c r="E12">
        <v>8</v>
      </c>
      <c r="H12">
        <v>206</v>
      </c>
      <c r="I12" t="s">
        <v>114</v>
      </c>
      <c r="J12" t="s">
        <v>115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"18:48:41.602"</f>
        <v>18:48:41.602</v>
      </c>
      <c r="T12" t="str">
        <f>"18:48:41.602"</f>
        <v>18:48:41.602</v>
      </c>
      <c r="U12" t="str">
        <f t="shared" si="1"/>
        <v>AB63B2</v>
      </c>
      <c r="V12">
        <v>0</v>
      </c>
      <c r="W12">
        <v>0</v>
      </c>
      <c r="X12">
        <v>6</v>
      </c>
      <c r="Z12">
        <v>0</v>
      </c>
      <c r="AA12">
        <v>8</v>
      </c>
      <c r="AB12">
        <v>3</v>
      </c>
      <c r="AC12">
        <v>0</v>
      </c>
      <c r="AD12">
        <v>9</v>
      </c>
      <c r="AE12">
        <v>0</v>
      </c>
      <c r="AF12">
        <v>0</v>
      </c>
      <c r="AG12">
        <v>2</v>
      </c>
      <c r="AH12">
        <v>0</v>
      </c>
      <c r="AI12" t="s">
        <v>122</v>
      </c>
      <c r="AJ12">
        <v>41.991506000000001</v>
      </c>
      <c r="AK12" t="s">
        <v>117</v>
      </c>
      <c r="AL12">
        <v>-87.891418999999999</v>
      </c>
      <c r="AS12">
        <v>1</v>
      </c>
      <c r="AT12" t="s">
        <v>118</v>
      </c>
      <c r="AU12" t="b">
        <v>1</v>
      </c>
      <c r="AV12">
        <v>357.19</v>
      </c>
      <c r="AX12">
        <v>1</v>
      </c>
      <c r="AZ12">
        <v>1200</v>
      </c>
      <c r="BA12">
        <v>1</v>
      </c>
      <c r="BB12" t="str">
        <f t="shared" si="2"/>
        <v xml:space="preserve">KAP400  </v>
      </c>
      <c r="BC12">
        <v>1</v>
      </c>
      <c r="BE12">
        <v>0</v>
      </c>
      <c r="BF12">
        <v>0</v>
      </c>
      <c r="BG12">
        <v>0</v>
      </c>
      <c r="BI12">
        <v>1</v>
      </c>
      <c r="BJ12">
        <v>1</v>
      </c>
      <c r="BK12">
        <v>1</v>
      </c>
      <c r="BL12">
        <v>0</v>
      </c>
      <c r="BO12">
        <v>0</v>
      </c>
      <c r="BP12">
        <v>0</v>
      </c>
      <c r="BW12" t="str">
        <f>"18:48:41.608"</f>
        <v>18:48:41.608</v>
      </c>
      <c r="BX12" t="s">
        <v>119</v>
      </c>
      <c r="BY12" t="s">
        <v>120</v>
      </c>
      <c r="CJ12">
        <v>0</v>
      </c>
      <c r="CK12">
        <v>0</v>
      </c>
      <c r="CL12">
        <v>0</v>
      </c>
      <c r="CM12">
        <v>2</v>
      </c>
      <c r="CN12">
        <v>0</v>
      </c>
      <c r="CO12">
        <v>7</v>
      </c>
      <c r="CP12" t="s">
        <v>121</v>
      </c>
      <c r="CQ12">
        <v>582</v>
      </c>
      <c r="CR12">
        <v>0</v>
      </c>
      <c r="CW12">
        <v>3928065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1</v>
      </c>
      <c r="DG12">
        <v>0</v>
      </c>
      <c r="DH12">
        <v>0</v>
      </c>
      <c r="DI12">
        <v>0</v>
      </c>
    </row>
    <row r="13" spans="1:113" x14ac:dyDescent="0.3">
      <c r="A13" t="str">
        <f>"06/16/2022 18:48:42.994"</f>
        <v>06/16/2022 18:48:42.994</v>
      </c>
      <c r="C13" t="str">
        <f t="shared" si="0"/>
        <v>FFBF5BC0</v>
      </c>
      <c r="D13" t="s">
        <v>113</v>
      </c>
      <c r="E13">
        <v>8</v>
      </c>
      <c r="H13">
        <v>206</v>
      </c>
      <c r="I13" t="s">
        <v>114</v>
      </c>
      <c r="J13" t="s">
        <v>115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"18:48:42.594"</f>
        <v>18:48:42.594</v>
      </c>
      <c r="T13" t="str">
        <f>"18:48:42.594"</f>
        <v>18:48:42.594</v>
      </c>
      <c r="U13" t="str">
        <f t="shared" si="1"/>
        <v>AB63B2</v>
      </c>
      <c r="V13">
        <v>0</v>
      </c>
      <c r="W13">
        <v>0</v>
      </c>
      <c r="X13">
        <v>6</v>
      </c>
      <c r="Z13">
        <v>0</v>
      </c>
      <c r="AA13">
        <v>8</v>
      </c>
      <c r="AB13">
        <v>3</v>
      </c>
      <c r="AC13">
        <v>0</v>
      </c>
      <c r="AD13">
        <v>9</v>
      </c>
      <c r="AE13">
        <v>0</v>
      </c>
      <c r="AF13">
        <v>0</v>
      </c>
      <c r="AG13">
        <v>2</v>
      </c>
      <c r="AH13">
        <v>0</v>
      </c>
      <c r="AI13" t="s">
        <v>122</v>
      </c>
      <c r="AJ13">
        <v>41.991506000000001</v>
      </c>
      <c r="AK13" t="s">
        <v>117</v>
      </c>
      <c r="AL13">
        <v>-87.891418999999999</v>
      </c>
      <c r="AS13">
        <v>1</v>
      </c>
      <c r="AT13" t="s">
        <v>118</v>
      </c>
      <c r="AU13" t="b">
        <v>1</v>
      </c>
      <c r="AV13">
        <v>357.19</v>
      </c>
      <c r="AX13">
        <v>1</v>
      </c>
      <c r="AZ13">
        <v>1200</v>
      </c>
      <c r="BA13">
        <v>1</v>
      </c>
      <c r="BB13" t="str">
        <f t="shared" si="2"/>
        <v xml:space="preserve">KAP400  </v>
      </c>
      <c r="BC13">
        <v>1</v>
      </c>
      <c r="BE13">
        <v>0</v>
      </c>
      <c r="BF13">
        <v>0</v>
      </c>
      <c r="BG13">
        <v>0</v>
      </c>
      <c r="BI13">
        <v>1</v>
      </c>
      <c r="BJ13">
        <v>1</v>
      </c>
      <c r="BK13">
        <v>1</v>
      </c>
      <c r="BL13">
        <v>0</v>
      </c>
      <c r="BO13">
        <v>0</v>
      </c>
      <c r="BP13">
        <v>0</v>
      </c>
      <c r="BW13" t="str">
        <f>"18:48:42.599"</f>
        <v>18:48:42.599</v>
      </c>
      <c r="BX13" t="s">
        <v>119</v>
      </c>
      <c r="BY13" t="s">
        <v>120</v>
      </c>
      <c r="CJ13">
        <v>0</v>
      </c>
      <c r="CK13">
        <v>0</v>
      </c>
      <c r="CL13">
        <v>0</v>
      </c>
      <c r="CM13">
        <v>2</v>
      </c>
      <c r="CN13">
        <v>0</v>
      </c>
      <c r="CO13">
        <v>7</v>
      </c>
      <c r="CP13" t="s">
        <v>121</v>
      </c>
      <c r="CQ13">
        <v>582</v>
      </c>
      <c r="CR13">
        <v>0</v>
      </c>
      <c r="CW13">
        <v>3929589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1</v>
      </c>
      <c r="DG13">
        <v>0</v>
      </c>
      <c r="DH13">
        <v>0</v>
      </c>
      <c r="DI13">
        <v>0</v>
      </c>
    </row>
    <row r="14" spans="1:113" x14ac:dyDescent="0.3">
      <c r="A14" t="str">
        <f>"06/16/2022 18:48:43.807"</f>
        <v>06/16/2022 18:48:43.807</v>
      </c>
      <c r="C14" t="str">
        <f t="shared" si="0"/>
        <v>FFBF5BC0</v>
      </c>
      <c r="D14" t="s">
        <v>113</v>
      </c>
      <c r="E14">
        <v>8</v>
      </c>
      <c r="H14">
        <v>206</v>
      </c>
      <c r="I14" t="s">
        <v>114</v>
      </c>
      <c r="J14" t="s">
        <v>115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"18:48:43.508"</f>
        <v>18:48:43.508</v>
      </c>
      <c r="T14" t="str">
        <f>"18:48:43.508"</f>
        <v>18:48:43.508</v>
      </c>
      <c r="U14" t="str">
        <f t="shared" si="1"/>
        <v>AB63B2</v>
      </c>
      <c r="V14">
        <v>0</v>
      </c>
      <c r="W14">
        <v>0</v>
      </c>
      <c r="X14">
        <v>6</v>
      </c>
      <c r="Z14">
        <v>0</v>
      </c>
      <c r="AA14">
        <v>8</v>
      </c>
      <c r="AB14">
        <v>3</v>
      </c>
      <c r="AC14">
        <v>0</v>
      </c>
      <c r="AD14">
        <v>9</v>
      </c>
      <c r="AE14">
        <v>0</v>
      </c>
      <c r="AF14">
        <v>0</v>
      </c>
      <c r="AG14">
        <v>2</v>
      </c>
      <c r="AH14">
        <v>0</v>
      </c>
      <c r="AI14" t="s">
        <v>122</v>
      </c>
      <c r="AJ14">
        <v>41.991506000000001</v>
      </c>
      <c r="AK14" t="s">
        <v>117</v>
      </c>
      <c r="AL14">
        <v>-87.891418999999999</v>
      </c>
      <c r="AS14">
        <v>1</v>
      </c>
      <c r="AT14" t="s">
        <v>118</v>
      </c>
      <c r="AU14" t="b">
        <v>1</v>
      </c>
      <c r="AV14">
        <v>357.19</v>
      </c>
      <c r="AX14">
        <v>1</v>
      </c>
      <c r="AZ14">
        <v>1200</v>
      </c>
      <c r="BA14">
        <v>1</v>
      </c>
      <c r="BB14" t="str">
        <f t="shared" si="2"/>
        <v xml:space="preserve">KAP400  </v>
      </c>
      <c r="BC14">
        <v>1</v>
      </c>
      <c r="BE14">
        <v>0</v>
      </c>
      <c r="BF14">
        <v>0</v>
      </c>
      <c r="BG14">
        <v>0</v>
      </c>
      <c r="BI14">
        <v>1</v>
      </c>
      <c r="BJ14">
        <v>1</v>
      </c>
      <c r="BK14">
        <v>1</v>
      </c>
      <c r="BL14">
        <v>0</v>
      </c>
      <c r="BO14">
        <v>0</v>
      </c>
      <c r="BP14">
        <v>0</v>
      </c>
      <c r="BW14" t="str">
        <f>"18:48:43.510"</f>
        <v>18:48:43.510</v>
      </c>
      <c r="BX14" t="s">
        <v>119</v>
      </c>
      <c r="BY14" t="s">
        <v>120</v>
      </c>
      <c r="CJ14">
        <v>0</v>
      </c>
      <c r="CK14">
        <v>0</v>
      </c>
      <c r="CL14">
        <v>0</v>
      </c>
      <c r="CM14">
        <v>2</v>
      </c>
      <c r="CN14">
        <v>0</v>
      </c>
      <c r="CO14">
        <v>7</v>
      </c>
      <c r="CP14" t="s">
        <v>121</v>
      </c>
      <c r="CQ14">
        <v>582</v>
      </c>
      <c r="CR14">
        <v>0</v>
      </c>
      <c r="CW14">
        <v>3931065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1</v>
      </c>
      <c r="DG14">
        <v>0</v>
      </c>
      <c r="DH14">
        <v>0</v>
      </c>
      <c r="DI14">
        <v>0</v>
      </c>
    </row>
    <row r="15" spans="1:113" x14ac:dyDescent="0.3">
      <c r="A15" t="str">
        <f>"06/16/2022 18:48:44.885"</f>
        <v>06/16/2022 18:48:44.885</v>
      </c>
      <c r="C15" t="str">
        <f t="shared" si="0"/>
        <v>FFBF5BC0</v>
      </c>
      <c r="D15" t="s">
        <v>113</v>
      </c>
      <c r="E15">
        <v>8</v>
      </c>
      <c r="H15">
        <v>206</v>
      </c>
      <c r="I15" t="s">
        <v>114</v>
      </c>
      <c r="J15" t="s">
        <v>115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"18:48:44.625"</f>
        <v>18:48:44.625</v>
      </c>
      <c r="T15" t="str">
        <f>"18:48:44.625"</f>
        <v>18:48:44.625</v>
      </c>
      <c r="U15" t="str">
        <f t="shared" si="1"/>
        <v>AB63B2</v>
      </c>
      <c r="V15">
        <v>0</v>
      </c>
      <c r="W15">
        <v>0</v>
      </c>
      <c r="X15">
        <v>6</v>
      </c>
      <c r="Z15">
        <v>0</v>
      </c>
      <c r="AA15">
        <v>8</v>
      </c>
      <c r="AB15">
        <v>3</v>
      </c>
      <c r="AC15">
        <v>0</v>
      </c>
      <c r="AD15">
        <v>9</v>
      </c>
      <c r="AE15">
        <v>0</v>
      </c>
      <c r="AF15">
        <v>0</v>
      </c>
      <c r="AG15">
        <v>2</v>
      </c>
      <c r="AH15">
        <v>0</v>
      </c>
      <c r="AI15" t="s">
        <v>116</v>
      </c>
      <c r="AJ15">
        <v>41.991484</v>
      </c>
      <c r="AK15" t="s">
        <v>117</v>
      </c>
      <c r="AL15">
        <v>-87.891418999999999</v>
      </c>
      <c r="AS15">
        <v>1</v>
      </c>
      <c r="AT15" t="s">
        <v>118</v>
      </c>
      <c r="AU15" t="b">
        <v>1</v>
      </c>
      <c r="AV15">
        <v>357.19</v>
      </c>
      <c r="AX15">
        <v>1</v>
      </c>
      <c r="AZ15">
        <v>1200</v>
      </c>
      <c r="BA15">
        <v>1</v>
      </c>
      <c r="BB15" t="str">
        <f t="shared" si="2"/>
        <v xml:space="preserve">KAP400  </v>
      </c>
      <c r="BC15">
        <v>1</v>
      </c>
      <c r="BE15">
        <v>0</v>
      </c>
      <c r="BF15">
        <v>0</v>
      </c>
      <c r="BG15">
        <v>0</v>
      </c>
      <c r="BI15">
        <v>1</v>
      </c>
      <c r="BJ15">
        <v>1</v>
      </c>
      <c r="BK15">
        <v>1</v>
      </c>
      <c r="BL15">
        <v>0</v>
      </c>
      <c r="BO15">
        <v>0</v>
      </c>
      <c r="BP15">
        <v>0</v>
      </c>
      <c r="BW15" t="str">
        <f>"18:48:44.631"</f>
        <v>18:48:44.631</v>
      </c>
      <c r="BX15" t="s">
        <v>119</v>
      </c>
      <c r="BY15" t="s">
        <v>120</v>
      </c>
      <c r="CJ15">
        <v>0</v>
      </c>
      <c r="CK15">
        <v>0</v>
      </c>
      <c r="CL15">
        <v>0</v>
      </c>
      <c r="CM15">
        <v>2</v>
      </c>
      <c r="CN15">
        <v>0</v>
      </c>
      <c r="CO15">
        <v>7</v>
      </c>
      <c r="CP15" t="s">
        <v>121</v>
      </c>
      <c r="CQ15">
        <v>582</v>
      </c>
      <c r="CR15">
        <v>0</v>
      </c>
      <c r="CW15">
        <v>3932777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1</v>
      </c>
      <c r="DG15">
        <v>0</v>
      </c>
      <c r="DH15">
        <v>0</v>
      </c>
      <c r="DI15">
        <v>0</v>
      </c>
    </row>
    <row r="16" spans="1:113" x14ac:dyDescent="0.3">
      <c r="A16" t="str">
        <f>"06/16/2022 18:48:45.808"</f>
        <v>06/16/2022 18:48:45.808</v>
      </c>
      <c r="C16" t="str">
        <f t="shared" si="0"/>
        <v>FFBF5BC0</v>
      </c>
      <c r="D16" t="s">
        <v>113</v>
      </c>
      <c r="E16">
        <v>8</v>
      </c>
      <c r="H16">
        <v>206</v>
      </c>
      <c r="I16" t="s">
        <v>114</v>
      </c>
      <c r="J16" t="s">
        <v>115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"18:48:45.563"</f>
        <v>18:48:45.563</v>
      </c>
      <c r="T16" t="str">
        <f>"18:48:45.563"</f>
        <v>18:48:45.563</v>
      </c>
      <c r="U16" t="str">
        <f t="shared" si="1"/>
        <v>AB63B2</v>
      </c>
      <c r="V16">
        <v>0</v>
      </c>
      <c r="W16">
        <v>0</v>
      </c>
      <c r="X16">
        <v>6</v>
      </c>
      <c r="Z16">
        <v>0</v>
      </c>
      <c r="AA16">
        <v>8</v>
      </c>
      <c r="AB16">
        <v>3</v>
      </c>
      <c r="AC16">
        <v>0</v>
      </c>
      <c r="AD16">
        <v>9</v>
      </c>
      <c r="AE16">
        <v>0</v>
      </c>
      <c r="AF16">
        <v>0</v>
      </c>
      <c r="AG16">
        <v>2</v>
      </c>
      <c r="AH16">
        <v>0</v>
      </c>
      <c r="AI16" t="s">
        <v>116</v>
      </c>
      <c r="AJ16">
        <v>41.991484</v>
      </c>
      <c r="AK16" t="s">
        <v>117</v>
      </c>
      <c r="AL16">
        <v>-87.891418999999999</v>
      </c>
      <c r="AS16">
        <v>1</v>
      </c>
      <c r="AT16" t="s">
        <v>118</v>
      </c>
      <c r="AU16" t="b">
        <v>1</v>
      </c>
      <c r="AV16">
        <v>357.19</v>
      </c>
      <c r="AX16">
        <v>1</v>
      </c>
      <c r="AZ16">
        <v>1200</v>
      </c>
      <c r="BA16">
        <v>1</v>
      </c>
      <c r="BB16" t="str">
        <f t="shared" si="2"/>
        <v xml:space="preserve">KAP400  </v>
      </c>
      <c r="BC16">
        <v>1</v>
      </c>
      <c r="BE16">
        <v>0</v>
      </c>
      <c r="BF16">
        <v>0</v>
      </c>
      <c r="BG16">
        <v>0</v>
      </c>
      <c r="BI16">
        <v>1</v>
      </c>
      <c r="BJ16">
        <v>1</v>
      </c>
      <c r="BK16">
        <v>1</v>
      </c>
      <c r="BL16">
        <v>0</v>
      </c>
      <c r="BO16">
        <v>0</v>
      </c>
      <c r="BP16">
        <v>0</v>
      </c>
      <c r="BW16" t="str">
        <f>"18:48:45.570"</f>
        <v>18:48:45.570</v>
      </c>
      <c r="BX16" t="s">
        <v>119</v>
      </c>
      <c r="BY16" t="s">
        <v>120</v>
      </c>
      <c r="CJ16">
        <v>0</v>
      </c>
      <c r="CK16">
        <v>0</v>
      </c>
      <c r="CL16">
        <v>0</v>
      </c>
      <c r="CM16">
        <v>2</v>
      </c>
      <c r="CN16">
        <v>0</v>
      </c>
      <c r="CO16">
        <v>7</v>
      </c>
      <c r="CP16" t="s">
        <v>121</v>
      </c>
      <c r="CQ16">
        <v>581</v>
      </c>
      <c r="CR16">
        <v>0</v>
      </c>
      <c r="CW16">
        <v>12837390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1</v>
      </c>
      <c r="DG16">
        <v>0</v>
      </c>
      <c r="DH16">
        <v>0</v>
      </c>
      <c r="DI16">
        <v>0</v>
      </c>
    </row>
    <row r="17" spans="1:113" x14ac:dyDescent="0.3">
      <c r="A17" t="str">
        <f>"06/16/2022 18:48:46.846"</f>
        <v>06/16/2022 18:48:46.846</v>
      </c>
      <c r="C17" t="str">
        <f t="shared" si="0"/>
        <v>FFBF5BC0</v>
      </c>
      <c r="D17" t="s">
        <v>113</v>
      </c>
      <c r="E17">
        <v>8</v>
      </c>
      <c r="H17">
        <v>206</v>
      </c>
      <c r="I17" t="s">
        <v>114</v>
      </c>
      <c r="J17" t="s">
        <v>115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"18:48:46.578"</f>
        <v>18:48:46.578</v>
      </c>
      <c r="T17" t="str">
        <f>"18:48:46.578"</f>
        <v>18:48:46.578</v>
      </c>
      <c r="U17" t="str">
        <f t="shared" si="1"/>
        <v>AB63B2</v>
      </c>
      <c r="V17">
        <v>0</v>
      </c>
      <c r="W17">
        <v>0</v>
      </c>
      <c r="X17">
        <v>6</v>
      </c>
      <c r="Z17">
        <v>0</v>
      </c>
      <c r="AA17">
        <v>8</v>
      </c>
      <c r="AB17">
        <v>3</v>
      </c>
      <c r="AC17">
        <v>0</v>
      </c>
      <c r="AD17">
        <v>9</v>
      </c>
      <c r="AE17">
        <v>0</v>
      </c>
      <c r="AF17">
        <v>0</v>
      </c>
      <c r="AG17">
        <v>2</v>
      </c>
      <c r="AH17">
        <v>0</v>
      </c>
      <c r="AI17" t="s">
        <v>122</v>
      </c>
      <c r="AJ17">
        <v>41.991506000000001</v>
      </c>
      <c r="AK17" t="s">
        <v>117</v>
      </c>
      <c r="AL17">
        <v>-87.891418999999999</v>
      </c>
      <c r="AS17">
        <v>1</v>
      </c>
      <c r="AT17" t="s">
        <v>118</v>
      </c>
      <c r="AU17" t="b">
        <v>1</v>
      </c>
      <c r="AV17">
        <v>357.19</v>
      </c>
      <c r="AX17">
        <v>1</v>
      </c>
      <c r="AZ17">
        <v>1200</v>
      </c>
      <c r="BA17">
        <v>1</v>
      </c>
      <c r="BB17" t="str">
        <f t="shared" si="2"/>
        <v xml:space="preserve">KAP400  </v>
      </c>
      <c r="BC17">
        <v>1</v>
      </c>
      <c r="BE17">
        <v>0</v>
      </c>
      <c r="BF17">
        <v>0</v>
      </c>
      <c r="BG17">
        <v>0</v>
      </c>
      <c r="BI17">
        <v>1</v>
      </c>
      <c r="BJ17">
        <v>1</v>
      </c>
      <c r="BK17">
        <v>1</v>
      </c>
      <c r="BL17">
        <v>0</v>
      </c>
      <c r="BO17">
        <v>0</v>
      </c>
      <c r="BP17">
        <v>0</v>
      </c>
      <c r="BW17" t="str">
        <f>"18:48:46.585"</f>
        <v>18:48:46.585</v>
      </c>
      <c r="BX17" t="s">
        <v>119</v>
      </c>
      <c r="BY17" t="s">
        <v>120</v>
      </c>
      <c r="CJ17">
        <v>0</v>
      </c>
      <c r="CK17">
        <v>0</v>
      </c>
      <c r="CL17">
        <v>0</v>
      </c>
      <c r="CM17">
        <v>2</v>
      </c>
      <c r="CN17">
        <v>0</v>
      </c>
      <c r="CO17">
        <v>7</v>
      </c>
      <c r="CP17" t="s">
        <v>121</v>
      </c>
      <c r="CQ17">
        <v>582</v>
      </c>
      <c r="CR17">
        <v>0</v>
      </c>
      <c r="CW17">
        <v>3935831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1</v>
      </c>
      <c r="DG17">
        <v>0</v>
      </c>
      <c r="DH17">
        <v>0</v>
      </c>
      <c r="DI17">
        <v>0</v>
      </c>
    </row>
    <row r="18" spans="1:113" x14ac:dyDescent="0.3">
      <c r="A18" t="str">
        <f>"06/16/2022 18:48:47.698"</f>
        <v>06/16/2022 18:48:47.698</v>
      </c>
      <c r="C18" t="str">
        <f t="shared" si="0"/>
        <v>FFBF5BC0</v>
      </c>
      <c r="D18" t="s">
        <v>113</v>
      </c>
      <c r="E18">
        <v>8</v>
      </c>
      <c r="H18">
        <v>206</v>
      </c>
      <c r="I18" t="s">
        <v>114</v>
      </c>
      <c r="J18" t="s">
        <v>115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"18:48:47.484"</f>
        <v>18:48:47.484</v>
      </c>
      <c r="T18" t="str">
        <f>"18:48:47.484"</f>
        <v>18:48:47.484</v>
      </c>
      <c r="U18" t="str">
        <f t="shared" si="1"/>
        <v>AB63B2</v>
      </c>
      <c r="V18">
        <v>0</v>
      </c>
      <c r="W18">
        <v>0</v>
      </c>
      <c r="X18">
        <v>6</v>
      </c>
      <c r="Z18">
        <v>0</v>
      </c>
      <c r="AA18">
        <v>8</v>
      </c>
      <c r="AB18">
        <v>3</v>
      </c>
      <c r="AC18">
        <v>0</v>
      </c>
      <c r="AD18">
        <v>9</v>
      </c>
      <c r="AE18">
        <v>0</v>
      </c>
      <c r="AF18">
        <v>0</v>
      </c>
      <c r="AG18">
        <v>2</v>
      </c>
      <c r="AH18">
        <v>0</v>
      </c>
      <c r="AI18" t="s">
        <v>122</v>
      </c>
      <c r="AJ18">
        <v>41.991506000000001</v>
      </c>
      <c r="AK18" t="s">
        <v>117</v>
      </c>
      <c r="AL18">
        <v>-87.891418999999999</v>
      </c>
      <c r="AS18">
        <v>1</v>
      </c>
      <c r="AT18" t="s">
        <v>118</v>
      </c>
      <c r="AU18" t="b">
        <v>1</v>
      </c>
      <c r="AV18">
        <v>357.19</v>
      </c>
      <c r="AX18">
        <v>1</v>
      </c>
      <c r="AZ18">
        <v>1200</v>
      </c>
      <c r="BA18">
        <v>1</v>
      </c>
      <c r="BB18" t="str">
        <f t="shared" si="2"/>
        <v xml:space="preserve">KAP400  </v>
      </c>
      <c r="BC18">
        <v>1</v>
      </c>
      <c r="BE18">
        <v>0</v>
      </c>
      <c r="BF18">
        <v>0</v>
      </c>
      <c r="BG18">
        <v>0</v>
      </c>
      <c r="BI18">
        <v>1</v>
      </c>
      <c r="BJ18">
        <v>1</v>
      </c>
      <c r="BK18">
        <v>1</v>
      </c>
      <c r="BL18">
        <v>0</v>
      </c>
      <c r="BO18">
        <v>0</v>
      </c>
      <c r="BP18">
        <v>0</v>
      </c>
      <c r="BW18" t="str">
        <f>"18:48:47.490"</f>
        <v>18:48:47.490</v>
      </c>
      <c r="BX18" t="s">
        <v>119</v>
      </c>
      <c r="BY18" t="s">
        <v>120</v>
      </c>
      <c r="CJ18">
        <v>0</v>
      </c>
      <c r="CK18">
        <v>0</v>
      </c>
      <c r="CL18">
        <v>0</v>
      </c>
      <c r="CM18">
        <v>2</v>
      </c>
      <c r="CN18">
        <v>0</v>
      </c>
      <c r="CO18">
        <v>7</v>
      </c>
      <c r="CP18" t="s">
        <v>121</v>
      </c>
      <c r="CQ18">
        <v>581</v>
      </c>
      <c r="CR18">
        <v>0</v>
      </c>
      <c r="CW18">
        <v>12840724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1</v>
      </c>
      <c r="DG18">
        <v>0</v>
      </c>
      <c r="DH18">
        <v>0</v>
      </c>
      <c r="DI18">
        <v>0</v>
      </c>
    </row>
    <row r="19" spans="1:113" x14ac:dyDescent="0.3">
      <c r="A19" t="str">
        <f>"06/16/2022 18:48:48.604"</f>
        <v>06/16/2022 18:48:48.604</v>
      </c>
      <c r="C19" t="str">
        <f t="shared" si="0"/>
        <v>FFBF5BC0</v>
      </c>
      <c r="D19" t="s">
        <v>113</v>
      </c>
      <c r="E19">
        <v>8</v>
      </c>
      <c r="H19">
        <v>206</v>
      </c>
      <c r="I19" t="s">
        <v>114</v>
      </c>
      <c r="J19" t="s">
        <v>115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"18:48:48.328"</f>
        <v>18:48:48.328</v>
      </c>
      <c r="T19" t="str">
        <f>"18:48:48.328"</f>
        <v>18:48:48.328</v>
      </c>
      <c r="U19" t="str">
        <f t="shared" si="1"/>
        <v>AB63B2</v>
      </c>
      <c r="V19">
        <v>0</v>
      </c>
      <c r="W19">
        <v>0</v>
      </c>
      <c r="X19">
        <v>6</v>
      </c>
      <c r="Z19">
        <v>0</v>
      </c>
      <c r="AA19">
        <v>8</v>
      </c>
      <c r="AB19">
        <v>3</v>
      </c>
      <c r="AC19">
        <v>0</v>
      </c>
      <c r="AD19">
        <v>9</v>
      </c>
      <c r="AE19">
        <v>0</v>
      </c>
      <c r="AF19">
        <v>0</v>
      </c>
      <c r="AG19">
        <v>2</v>
      </c>
      <c r="AH19">
        <v>0</v>
      </c>
      <c r="AI19" t="s">
        <v>122</v>
      </c>
      <c r="AJ19">
        <v>41.991506000000001</v>
      </c>
      <c r="AK19" t="s">
        <v>117</v>
      </c>
      <c r="AL19">
        <v>-87.891418999999999</v>
      </c>
      <c r="AS19">
        <v>1</v>
      </c>
      <c r="AT19" t="s">
        <v>118</v>
      </c>
      <c r="AU19" t="b">
        <v>1</v>
      </c>
      <c r="AV19">
        <v>357.19</v>
      </c>
      <c r="AX19">
        <v>1</v>
      </c>
      <c r="AZ19">
        <v>1200</v>
      </c>
      <c r="BA19">
        <v>1</v>
      </c>
      <c r="BB19" t="str">
        <f t="shared" si="2"/>
        <v xml:space="preserve">KAP400  </v>
      </c>
      <c r="BC19">
        <v>1</v>
      </c>
      <c r="BE19">
        <v>0</v>
      </c>
      <c r="BF19">
        <v>0</v>
      </c>
      <c r="BG19">
        <v>0</v>
      </c>
      <c r="BI19">
        <v>1</v>
      </c>
      <c r="BJ19">
        <v>1</v>
      </c>
      <c r="BK19">
        <v>1</v>
      </c>
      <c r="BL19">
        <v>0</v>
      </c>
      <c r="BO19">
        <v>0</v>
      </c>
      <c r="BP19">
        <v>0</v>
      </c>
      <c r="BW19" t="str">
        <f>"18:48:48.334"</f>
        <v>18:48:48.334</v>
      </c>
      <c r="BX19" t="s">
        <v>119</v>
      </c>
      <c r="BY19" t="s">
        <v>120</v>
      </c>
      <c r="CJ19">
        <v>0</v>
      </c>
      <c r="CK19">
        <v>0</v>
      </c>
      <c r="CL19">
        <v>0</v>
      </c>
      <c r="CM19">
        <v>2</v>
      </c>
      <c r="CN19">
        <v>0</v>
      </c>
      <c r="CO19">
        <v>7</v>
      </c>
      <c r="CP19" t="s">
        <v>121</v>
      </c>
      <c r="CQ19">
        <v>582</v>
      </c>
      <c r="CR19">
        <v>0</v>
      </c>
      <c r="CW19">
        <v>3938710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1</v>
      </c>
      <c r="DG19">
        <v>0</v>
      </c>
      <c r="DH19">
        <v>0</v>
      </c>
      <c r="DI19">
        <v>0</v>
      </c>
    </row>
    <row r="20" spans="1:113" x14ac:dyDescent="0.3">
      <c r="A20" t="str">
        <f>"06/16/2022 18:48:49.667"</f>
        <v>06/16/2022 18:48:49.667</v>
      </c>
      <c r="C20" t="str">
        <f t="shared" si="0"/>
        <v>FFBF5BC0</v>
      </c>
      <c r="D20" t="s">
        <v>113</v>
      </c>
      <c r="E20">
        <v>8</v>
      </c>
      <c r="H20">
        <v>206</v>
      </c>
      <c r="I20" t="s">
        <v>114</v>
      </c>
      <c r="J20" t="s">
        <v>115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"18:48:49.406"</f>
        <v>18:48:49.406</v>
      </c>
      <c r="T20" t="str">
        <f>"18:48:49.406"</f>
        <v>18:48:49.406</v>
      </c>
      <c r="U20" t="str">
        <f t="shared" si="1"/>
        <v>AB63B2</v>
      </c>
      <c r="V20">
        <v>0</v>
      </c>
      <c r="W20">
        <v>0</v>
      </c>
      <c r="X20">
        <v>6</v>
      </c>
      <c r="Z20">
        <v>0</v>
      </c>
      <c r="AA20">
        <v>8</v>
      </c>
      <c r="AB20">
        <v>3</v>
      </c>
      <c r="AC20">
        <v>0</v>
      </c>
      <c r="AD20">
        <v>9</v>
      </c>
      <c r="AE20">
        <v>0</v>
      </c>
      <c r="AF20">
        <v>0</v>
      </c>
      <c r="AG20">
        <v>2</v>
      </c>
      <c r="AH20">
        <v>0</v>
      </c>
      <c r="AI20" t="s">
        <v>122</v>
      </c>
      <c r="AJ20">
        <v>41.991506000000001</v>
      </c>
      <c r="AK20" t="s">
        <v>123</v>
      </c>
      <c r="AL20">
        <v>-87.891396999999998</v>
      </c>
      <c r="AS20">
        <v>1</v>
      </c>
      <c r="AT20" t="s">
        <v>118</v>
      </c>
      <c r="AU20" t="b">
        <v>1</v>
      </c>
      <c r="AV20">
        <v>357.19</v>
      </c>
      <c r="AX20">
        <v>1</v>
      </c>
      <c r="AZ20">
        <v>1200</v>
      </c>
      <c r="BA20">
        <v>1</v>
      </c>
      <c r="BB20" t="str">
        <f t="shared" si="2"/>
        <v xml:space="preserve">KAP400  </v>
      </c>
      <c r="BC20">
        <v>1</v>
      </c>
      <c r="BE20">
        <v>0</v>
      </c>
      <c r="BF20">
        <v>0</v>
      </c>
      <c r="BG20">
        <v>0</v>
      </c>
      <c r="BI20">
        <v>1</v>
      </c>
      <c r="BJ20">
        <v>1</v>
      </c>
      <c r="BK20">
        <v>1</v>
      </c>
      <c r="BL20">
        <v>0</v>
      </c>
      <c r="BO20">
        <v>0</v>
      </c>
      <c r="BP20">
        <v>0</v>
      </c>
      <c r="BW20" t="str">
        <f>"18:48:49.410"</f>
        <v>18:48:49.410</v>
      </c>
      <c r="BX20" t="s">
        <v>119</v>
      </c>
      <c r="BY20" t="s">
        <v>120</v>
      </c>
      <c r="CJ20">
        <v>0</v>
      </c>
      <c r="CK20">
        <v>0</v>
      </c>
      <c r="CL20">
        <v>0</v>
      </c>
      <c r="CM20">
        <v>2</v>
      </c>
      <c r="CN20">
        <v>0</v>
      </c>
      <c r="CO20">
        <v>7</v>
      </c>
      <c r="CP20" t="s">
        <v>121</v>
      </c>
      <c r="CQ20">
        <v>581</v>
      </c>
      <c r="CR20">
        <v>0</v>
      </c>
      <c r="CW20">
        <v>12844139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1</v>
      </c>
      <c r="DG20">
        <v>0</v>
      </c>
      <c r="DH20">
        <v>0</v>
      </c>
      <c r="DI20">
        <v>0</v>
      </c>
    </row>
    <row r="21" spans="1:113" x14ac:dyDescent="0.3">
      <c r="A21" t="str">
        <f>"06/16/2022 18:48:50.730"</f>
        <v>06/16/2022 18:48:50.730</v>
      </c>
      <c r="C21" t="str">
        <f t="shared" si="0"/>
        <v>FFBF5BC0</v>
      </c>
      <c r="D21" t="s">
        <v>113</v>
      </c>
      <c r="E21">
        <v>8</v>
      </c>
      <c r="H21">
        <v>206</v>
      </c>
      <c r="I21" t="s">
        <v>114</v>
      </c>
      <c r="J21" t="s">
        <v>115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"18:48:50.352"</f>
        <v>18:48:50.352</v>
      </c>
      <c r="T21" t="str">
        <f>"18:48:50.352"</f>
        <v>18:48:50.352</v>
      </c>
      <c r="U21" t="str">
        <f t="shared" si="1"/>
        <v>AB63B2</v>
      </c>
      <c r="V21">
        <v>0</v>
      </c>
      <c r="W21">
        <v>0</v>
      </c>
      <c r="X21">
        <v>6</v>
      </c>
      <c r="Z21">
        <v>0</v>
      </c>
      <c r="AA21">
        <v>8</v>
      </c>
      <c r="AB21">
        <v>3</v>
      </c>
      <c r="AC21">
        <v>0</v>
      </c>
      <c r="AD21">
        <v>9</v>
      </c>
      <c r="AE21">
        <v>0</v>
      </c>
      <c r="AF21">
        <v>0</v>
      </c>
      <c r="AG21">
        <v>2</v>
      </c>
      <c r="AH21">
        <v>0</v>
      </c>
      <c r="AI21" t="s">
        <v>116</v>
      </c>
      <c r="AJ21">
        <v>41.991484</v>
      </c>
      <c r="AK21" t="s">
        <v>123</v>
      </c>
      <c r="AL21">
        <v>-87.891396999999998</v>
      </c>
      <c r="AS21">
        <v>1</v>
      </c>
      <c r="AT21" t="s">
        <v>118</v>
      </c>
      <c r="AU21" t="b">
        <v>1</v>
      </c>
      <c r="AV21">
        <v>357.19</v>
      </c>
      <c r="AX21">
        <v>1</v>
      </c>
      <c r="AZ21">
        <v>1200</v>
      </c>
      <c r="BA21">
        <v>1</v>
      </c>
      <c r="BB21" t="str">
        <f t="shared" si="2"/>
        <v xml:space="preserve">KAP400  </v>
      </c>
      <c r="BC21">
        <v>1</v>
      </c>
      <c r="BE21">
        <v>0</v>
      </c>
      <c r="BF21">
        <v>0</v>
      </c>
      <c r="BG21">
        <v>0</v>
      </c>
      <c r="BI21">
        <v>1</v>
      </c>
      <c r="BJ21">
        <v>1</v>
      </c>
      <c r="BK21">
        <v>1</v>
      </c>
      <c r="BL21">
        <v>0</v>
      </c>
      <c r="BO21">
        <v>0</v>
      </c>
      <c r="BP21">
        <v>0</v>
      </c>
      <c r="BW21" t="str">
        <f>"18:48:50.355"</f>
        <v>18:48:50.355</v>
      </c>
      <c r="BX21" t="s">
        <v>119</v>
      </c>
      <c r="BY21" t="s">
        <v>120</v>
      </c>
      <c r="CJ21">
        <v>0</v>
      </c>
      <c r="CK21">
        <v>0</v>
      </c>
      <c r="CL21">
        <v>0</v>
      </c>
      <c r="CM21">
        <v>2</v>
      </c>
      <c r="CN21">
        <v>0</v>
      </c>
      <c r="CO21">
        <v>7</v>
      </c>
      <c r="CP21" t="s">
        <v>121</v>
      </c>
      <c r="CQ21">
        <v>582</v>
      </c>
      <c r="CR21">
        <v>0</v>
      </c>
      <c r="CW21">
        <v>3941954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1</v>
      </c>
      <c r="DG21">
        <v>0</v>
      </c>
      <c r="DH21">
        <v>0</v>
      </c>
      <c r="DI21">
        <v>0</v>
      </c>
    </row>
    <row r="22" spans="1:113" x14ac:dyDescent="0.3">
      <c r="A22" t="str">
        <f>"06/16/2022 18:48:51.496"</f>
        <v>06/16/2022 18:48:51.496</v>
      </c>
      <c r="C22" t="str">
        <f t="shared" si="0"/>
        <v>FFBF5BC0</v>
      </c>
      <c r="D22" t="s">
        <v>113</v>
      </c>
      <c r="E22">
        <v>8</v>
      </c>
      <c r="H22">
        <v>206</v>
      </c>
      <c r="I22" t="s">
        <v>114</v>
      </c>
      <c r="J22" t="s">
        <v>115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"18:48:51.234"</f>
        <v>18:48:51.234</v>
      </c>
      <c r="T22" t="str">
        <f>"18:48:51.234"</f>
        <v>18:48:51.234</v>
      </c>
      <c r="U22" t="str">
        <f t="shared" si="1"/>
        <v>AB63B2</v>
      </c>
      <c r="V22">
        <v>0</v>
      </c>
      <c r="W22">
        <v>0</v>
      </c>
      <c r="X22">
        <v>6</v>
      </c>
      <c r="Z22">
        <v>0</v>
      </c>
      <c r="AA22">
        <v>8</v>
      </c>
      <c r="AB22">
        <v>3</v>
      </c>
      <c r="AC22">
        <v>0</v>
      </c>
      <c r="AD22">
        <v>9</v>
      </c>
      <c r="AE22">
        <v>0</v>
      </c>
      <c r="AF22">
        <v>0</v>
      </c>
      <c r="AG22">
        <v>2</v>
      </c>
      <c r="AH22">
        <v>0</v>
      </c>
      <c r="AI22" t="s">
        <v>122</v>
      </c>
      <c r="AJ22">
        <v>41.991506000000001</v>
      </c>
      <c r="AK22" t="s">
        <v>123</v>
      </c>
      <c r="AL22">
        <v>-87.891396999999998</v>
      </c>
      <c r="AS22">
        <v>1</v>
      </c>
      <c r="AT22" t="s">
        <v>118</v>
      </c>
      <c r="AU22" t="b">
        <v>1</v>
      </c>
      <c r="AV22">
        <v>357.19</v>
      </c>
      <c r="AX22">
        <v>1</v>
      </c>
      <c r="AZ22">
        <v>1200</v>
      </c>
      <c r="BA22">
        <v>1</v>
      </c>
      <c r="BB22" t="str">
        <f t="shared" si="2"/>
        <v xml:space="preserve">KAP400  </v>
      </c>
      <c r="BC22">
        <v>1</v>
      </c>
      <c r="BE22">
        <v>0</v>
      </c>
      <c r="BF22">
        <v>0</v>
      </c>
      <c r="BG22">
        <v>0</v>
      </c>
      <c r="BI22">
        <v>1</v>
      </c>
      <c r="BJ22">
        <v>1</v>
      </c>
      <c r="BK22">
        <v>1</v>
      </c>
      <c r="BL22">
        <v>0</v>
      </c>
      <c r="BO22">
        <v>0</v>
      </c>
      <c r="BP22">
        <v>0</v>
      </c>
      <c r="BW22" t="str">
        <f>"18:48:51.242"</f>
        <v>18:48:51.242</v>
      </c>
      <c r="BX22" t="s">
        <v>119</v>
      </c>
      <c r="BY22" t="s">
        <v>120</v>
      </c>
      <c r="CJ22">
        <v>0</v>
      </c>
      <c r="CK22">
        <v>0</v>
      </c>
      <c r="CL22">
        <v>0</v>
      </c>
      <c r="CM22">
        <v>2</v>
      </c>
      <c r="CN22">
        <v>0</v>
      </c>
      <c r="CO22">
        <v>7</v>
      </c>
      <c r="CP22" t="s">
        <v>121</v>
      </c>
      <c r="CQ22">
        <v>581</v>
      </c>
      <c r="CR22">
        <v>0</v>
      </c>
      <c r="CW22">
        <v>12847273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1</v>
      </c>
      <c r="DG22">
        <v>0</v>
      </c>
      <c r="DH22">
        <v>0</v>
      </c>
      <c r="DI22">
        <v>0</v>
      </c>
    </row>
    <row r="23" spans="1:113" x14ac:dyDescent="0.3">
      <c r="A23" t="str">
        <f>"06/16/2022 18:48:52.386"</f>
        <v>06/16/2022 18:48:52.386</v>
      </c>
      <c r="C23" t="str">
        <f t="shared" si="0"/>
        <v>FFBF5BC0</v>
      </c>
      <c r="D23" t="s">
        <v>113</v>
      </c>
      <c r="E23">
        <v>8</v>
      </c>
      <c r="H23">
        <v>206</v>
      </c>
      <c r="I23" t="s">
        <v>114</v>
      </c>
      <c r="J23" t="s">
        <v>115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"18:48:52.102"</f>
        <v>18:48:52.102</v>
      </c>
      <c r="T23" t="str">
        <f>"18:48:52.102"</f>
        <v>18:48:52.102</v>
      </c>
      <c r="U23" t="str">
        <f t="shared" si="1"/>
        <v>AB63B2</v>
      </c>
      <c r="V23">
        <v>0</v>
      </c>
      <c r="W23">
        <v>0</v>
      </c>
      <c r="X23">
        <v>6</v>
      </c>
      <c r="Z23">
        <v>0</v>
      </c>
      <c r="AA23">
        <v>8</v>
      </c>
      <c r="AB23">
        <v>3</v>
      </c>
      <c r="AC23">
        <v>0</v>
      </c>
      <c r="AD23">
        <v>9</v>
      </c>
      <c r="AE23">
        <v>0</v>
      </c>
      <c r="AF23">
        <v>0</v>
      </c>
      <c r="AG23">
        <v>2</v>
      </c>
      <c r="AH23">
        <v>0</v>
      </c>
      <c r="AI23" t="s">
        <v>122</v>
      </c>
      <c r="AJ23">
        <v>41.991506000000001</v>
      </c>
      <c r="AK23" t="s">
        <v>123</v>
      </c>
      <c r="AL23">
        <v>-87.891396999999998</v>
      </c>
      <c r="AS23">
        <v>1</v>
      </c>
      <c r="AT23" t="s">
        <v>118</v>
      </c>
      <c r="AU23" t="b">
        <v>1</v>
      </c>
      <c r="AV23">
        <v>357.19</v>
      </c>
      <c r="AX23">
        <v>1</v>
      </c>
      <c r="AZ23">
        <v>1200</v>
      </c>
      <c r="BA23">
        <v>1</v>
      </c>
      <c r="BB23" t="str">
        <f t="shared" si="2"/>
        <v xml:space="preserve">KAP400  </v>
      </c>
      <c r="BC23">
        <v>1</v>
      </c>
      <c r="BE23">
        <v>0</v>
      </c>
      <c r="BF23">
        <v>0</v>
      </c>
      <c r="BG23">
        <v>0</v>
      </c>
      <c r="BI23">
        <v>1</v>
      </c>
      <c r="BJ23">
        <v>1</v>
      </c>
      <c r="BK23">
        <v>1</v>
      </c>
      <c r="BL23">
        <v>0</v>
      </c>
      <c r="BO23">
        <v>0</v>
      </c>
      <c r="BP23">
        <v>0</v>
      </c>
      <c r="BW23" t="str">
        <f>"18:48:52.105"</f>
        <v>18:48:52.105</v>
      </c>
      <c r="BX23" t="s">
        <v>119</v>
      </c>
      <c r="BY23" t="s">
        <v>120</v>
      </c>
      <c r="CJ23">
        <v>0</v>
      </c>
      <c r="CK23">
        <v>0</v>
      </c>
      <c r="CL23">
        <v>0</v>
      </c>
      <c r="CM23">
        <v>2</v>
      </c>
      <c r="CN23">
        <v>0</v>
      </c>
      <c r="CO23">
        <v>7</v>
      </c>
      <c r="CP23" t="s">
        <v>121</v>
      </c>
      <c r="CQ23">
        <v>582</v>
      </c>
      <c r="CR23">
        <v>0</v>
      </c>
      <c r="CW23">
        <v>3944665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1</v>
      </c>
      <c r="DG23">
        <v>0</v>
      </c>
      <c r="DH23">
        <v>0</v>
      </c>
      <c r="DI23">
        <v>0</v>
      </c>
    </row>
    <row r="24" spans="1:113" x14ac:dyDescent="0.3">
      <c r="A24" t="str">
        <f>"06/16/2022 18:48:53.229"</f>
        <v>06/16/2022 18:48:53.229</v>
      </c>
      <c r="C24" t="str">
        <f t="shared" si="0"/>
        <v>FFBF5BC0</v>
      </c>
      <c r="D24" t="s">
        <v>113</v>
      </c>
      <c r="E24">
        <v>8</v>
      </c>
      <c r="H24">
        <v>206</v>
      </c>
      <c r="I24" t="s">
        <v>114</v>
      </c>
      <c r="J24" t="s">
        <v>115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"18:48:52.992"</f>
        <v>18:48:52.992</v>
      </c>
      <c r="T24" t="str">
        <f>"18:48:52.992"</f>
        <v>18:48:52.992</v>
      </c>
      <c r="U24" t="str">
        <f t="shared" si="1"/>
        <v>AB63B2</v>
      </c>
      <c r="V24">
        <v>0</v>
      </c>
      <c r="W24">
        <v>0</v>
      </c>
      <c r="X24">
        <v>6</v>
      </c>
      <c r="Z24">
        <v>0</v>
      </c>
      <c r="AA24">
        <v>8</v>
      </c>
      <c r="AB24">
        <v>3</v>
      </c>
      <c r="AC24">
        <v>0</v>
      </c>
      <c r="AD24">
        <v>9</v>
      </c>
      <c r="AE24">
        <v>0</v>
      </c>
      <c r="AF24">
        <v>0</v>
      </c>
      <c r="AG24">
        <v>2</v>
      </c>
      <c r="AH24">
        <v>0</v>
      </c>
      <c r="AI24" t="s">
        <v>116</v>
      </c>
      <c r="AJ24">
        <v>41.991484</v>
      </c>
      <c r="AK24" t="s">
        <v>123</v>
      </c>
      <c r="AL24">
        <v>-87.891396999999998</v>
      </c>
      <c r="AS24">
        <v>1</v>
      </c>
      <c r="AT24" t="s">
        <v>118</v>
      </c>
      <c r="AU24" t="b">
        <v>1</v>
      </c>
      <c r="AV24">
        <v>357.19</v>
      </c>
      <c r="AX24">
        <v>1</v>
      </c>
      <c r="AZ24">
        <v>1200</v>
      </c>
      <c r="BA24">
        <v>1</v>
      </c>
      <c r="BB24" t="str">
        <f t="shared" si="2"/>
        <v xml:space="preserve">KAP400  </v>
      </c>
      <c r="BC24">
        <v>1</v>
      </c>
      <c r="BE24">
        <v>0</v>
      </c>
      <c r="BF24">
        <v>0</v>
      </c>
      <c r="BG24">
        <v>0</v>
      </c>
      <c r="BI24">
        <v>1</v>
      </c>
      <c r="BJ24">
        <v>1</v>
      </c>
      <c r="BK24">
        <v>1</v>
      </c>
      <c r="BL24">
        <v>0</v>
      </c>
      <c r="BO24">
        <v>0</v>
      </c>
      <c r="BP24">
        <v>0</v>
      </c>
      <c r="BW24" t="str">
        <f>"18:48:52.993"</f>
        <v>18:48:52.993</v>
      </c>
      <c r="BX24" t="s">
        <v>119</v>
      </c>
      <c r="BY24" t="s">
        <v>120</v>
      </c>
      <c r="CJ24">
        <v>0</v>
      </c>
      <c r="CK24">
        <v>0</v>
      </c>
      <c r="CL24">
        <v>0</v>
      </c>
      <c r="CM24">
        <v>2</v>
      </c>
      <c r="CN24">
        <v>0</v>
      </c>
      <c r="CO24">
        <v>7</v>
      </c>
      <c r="CP24" t="s">
        <v>121</v>
      </c>
      <c r="CQ24">
        <v>582</v>
      </c>
      <c r="CR24">
        <v>0</v>
      </c>
      <c r="CW24">
        <v>3946139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1</v>
      </c>
      <c r="DG24">
        <v>0</v>
      </c>
      <c r="DH24">
        <v>0</v>
      </c>
      <c r="DI24">
        <v>0</v>
      </c>
    </row>
    <row r="25" spans="1:113" x14ac:dyDescent="0.3">
      <c r="A25" t="str">
        <f>"06/16/2022 18:48:54.339"</f>
        <v>06/16/2022 18:48:54.339</v>
      </c>
      <c r="C25" t="str">
        <f t="shared" si="0"/>
        <v>FFBF5BC0</v>
      </c>
      <c r="D25" t="s">
        <v>113</v>
      </c>
      <c r="E25">
        <v>8</v>
      </c>
      <c r="H25">
        <v>206</v>
      </c>
      <c r="I25" t="s">
        <v>114</v>
      </c>
      <c r="J25" t="s">
        <v>115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"18:48:53.984"</f>
        <v>18:48:53.984</v>
      </c>
      <c r="T25" t="str">
        <f>"18:48:53.984"</f>
        <v>18:48:53.984</v>
      </c>
      <c r="U25" t="str">
        <f t="shared" si="1"/>
        <v>AB63B2</v>
      </c>
      <c r="V25">
        <v>0</v>
      </c>
      <c r="W25">
        <v>0</v>
      </c>
      <c r="X25">
        <v>6</v>
      </c>
      <c r="Z25">
        <v>0</v>
      </c>
      <c r="AA25">
        <v>8</v>
      </c>
      <c r="AB25">
        <v>3</v>
      </c>
      <c r="AC25">
        <v>0</v>
      </c>
      <c r="AD25">
        <v>9</v>
      </c>
      <c r="AE25">
        <v>0</v>
      </c>
      <c r="AF25">
        <v>0</v>
      </c>
      <c r="AG25">
        <v>2</v>
      </c>
      <c r="AH25">
        <v>0</v>
      </c>
      <c r="AI25" t="s">
        <v>116</v>
      </c>
      <c r="AJ25">
        <v>41.991484</v>
      </c>
      <c r="AK25" t="s">
        <v>123</v>
      </c>
      <c r="AL25">
        <v>-87.891396999999998</v>
      </c>
      <c r="AS25">
        <v>1</v>
      </c>
      <c r="AT25" t="s">
        <v>118</v>
      </c>
      <c r="AU25" t="b">
        <v>1</v>
      </c>
      <c r="AV25">
        <v>357.19</v>
      </c>
      <c r="AX25">
        <v>1</v>
      </c>
      <c r="AZ25">
        <v>1200</v>
      </c>
      <c r="BA25">
        <v>1</v>
      </c>
      <c r="BB25" t="str">
        <f t="shared" si="2"/>
        <v xml:space="preserve">KAP400  </v>
      </c>
      <c r="BC25">
        <v>1</v>
      </c>
      <c r="BE25">
        <v>0</v>
      </c>
      <c r="BF25">
        <v>0</v>
      </c>
      <c r="BG25">
        <v>0</v>
      </c>
      <c r="BI25">
        <v>1</v>
      </c>
      <c r="BJ25">
        <v>1</v>
      </c>
      <c r="BK25">
        <v>1</v>
      </c>
      <c r="BL25">
        <v>0</v>
      </c>
      <c r="BO25">
        <v>0</v>
      </c>
      <c r="BP25">
        <v>0</v>
      </c>
      <c r="BW25" t="str">
        <f>"18:48:53.988"</f>
        <v>18:48:53.988</v>
      </c>
      <c r="BX25" t="s">
        <v>119</v>
      </c>
      <c r="BY25" t="s">
        <v>120</v>
      </c>
      <c r="CJ25">
        <v>0</v>
      </c>
      <c r="CK25">
        <v>0</v>
      </c>
      <c r="CL25">
        <v>0</v>
      </c>
      <c r="CM25">
        <v>2</v>
      </c>
      <c r="CN25">
        <v>0</v>
      </c>
      <c r="CO25">
        <v>7</v>
      </c>
      <c r="CP25" t="s">
        <v>121</v>
      </c>
      <c r="CQ25">
        <v>581</v>
      </c>
      <c r="CR25">
        <v>0</v>
      </c>
      <c r="CW25">
        <v>12852170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1</v>
      </c>
      <c r="DG25">
        <v>0</v>
      </c>
      <c r="DH25">
        <v>0</v>
      </c>
      <c r="DI25">
        <v>0</v>
      </c>
    </row>
    <row r="26" spans="1:113" x14ac:dyDescent="0.3">
      <c r="A26" t="str">
        <f>"06/16/2022 18:48:55.262"</f>
        <v>06/16/2022 18:48:55.262</v>
      </c>
      <c r="C26" t="str">
        <f t="shared" si="0"/>
        <v>FFBF5BC0</v>
      </c>
      <c r="D26" t="s">
        <v>113</v>
      </c>
      <c r="E26">
        <v>8</v>
      </c>
      <c r="H26">
        <v>206</v>
      </c>
      <c r="I26" t="s">
        <v>114</v>
      </c>
      <c r="J26" t="s">
        <v>115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"18:48:55.008"</f>
        <v>18:48:55.008</v>
      </c>
      <c r="T26" t="str">
        <f>"18:48:55.008"</f>
        <v>18:48:55.008</v>
      </c>
      <c r="U26" t="str">
        <f t="shared" si="1"/>
        <v>AB63B2</v>
      </c>
      <c r="V26">
        <v>0</v>
      </c>
      <c r="W26">
        <v>0</v>
      </c>
      <c r="X26">
        <v>6</v>
      </c>
      <c r="Z26">
        <v>0</v>
      </c>
      <c r="AA26">
        <v>8</v>
      </c>
      <c r="AB26">
        <v>3</v>
      </c>
      <c r="AC26">
        <v>0</v>
      </c>
      <c r="AD26">
        <v>9</v>
      </c>
      <c r="AE26">
        <v>0</v>
      </c>
      <c r="AF26">
        <v>0</v>
      </c>
      <c r="AG26">
        <v>2</v>
      </c>
      <c r="AH26">
        <v>0</v>
      </c>
      <c r="AI26" t="s">
        <v>116</v>
      </c>
      <c r="AJ26">
        <v>41.991484</v>
      </c>
      <c r="AK26" t="s">
        <v>123</v>
      </c>
      <c r="AL26">
        <v>-87.891396999999998</v>
      </c>
      <c r="AS26">
        <v>1</v>
      </c>
      <c r="AT26" t="s">
        <v>118</v>
      </c>
      <c r="AU26" t="b">
        <v>1</v>
      </c>
      <c r="AV26">
        <v>357.19</v>
      </c>
      <c r="AX26">
        <v>1</v>
      </c>
      <c r="AZ26">
        <v>1200</v>
      </c>
      <c r="BA26">
        <v>1</v>
      </c>
      <c r="BB26" t="str">
        <f t="shared" si="2"/>
        <v xml:space="preserve">KAP400  </v>
      </c>
      <c r="BC26">
        <v>1</v>
      </c>
      <c r="BE26">
        <v>0</v>
      </c>
      <c r="BF26">
        <v>0</v>
      </c>
      <c r="BG26">
        <v>0</v>
      </c>
      <c r="BI26">
        <v>1</v>
      </c>
      <c r="BJ26">
        <v>1</v>
      </c>
      <c r="BK26">
        <v>1</v>
      </c>
      <c r="BL26">
        <v>0</v>
      </c>
      <c r="BO26">
        <v>0</v>
      </c>
      <c r="BP26">
        <v>0</v>
      </c>
      <c r="BW26" t="str">
        <f>"18:48:55.015"</f>
        <v>18:48:55.015</v>
      </c>
      <c r="BX26" t="s">
        <v>119</v>
      </c>
      <c r="BY26" t="s">
        <v>120</v>
      </c>
      <c r="CJ26">
        <v>0</v>
      </c>
      <c r="CK26">
        <v>0</v>
      </c>
      <c r="CL26">
        <v>0</v>
      </c>
      <c r="CM26">
        <v>2</v>
      </c>
      <c r="CN26">
        <v>0</v>
      </c>
      <c r="CO26">
        <v>7</v>
      </c>
      <c r="CP26" t="s">
        <v>121</v>
      </c>
      <c r="CQ26">
        <v>582</v>
      </c>
      <c r="CR26">
        <v>0</v>
      </c>
      <c r="CW26">
        <v>3949303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1</v>
      </c>
      <c r="DG26">
        <v>0</v>
      </c>
      <c r="DH26">
        <v>0</v>
      </c>
      <c r="DI26">
        <v>0</v>
      </c>
    </row>
    <row r="27" spans="1:113" x14ac:dyDescent="0.3">
      <c r="A27" t="str">
        <f>"06/16/2022 18:48:56.153"</f>
        <v>06/16/2022 18:48:56.153</v>
      </c>
      <c r="C27" t="str">
        <f t="shared" si="0"/>
        <v>FFBF5BC0</v>
      </c>
      <c r="D27" t="s">
        <v>113</v>
      </c>
      <c r="E27">
        <v>8</v>
      </c>
      <c r="H27">
        <v>206</v>
      </c>
      <c r="I27" t="s">
        <v>114</v>
      </c>
      <c r="J27" t="s">
        <v>115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"18:48:55.961"</f>
        <v>18:48:55.961</v>
      </c>
      <c r="T27" t="str">
        <f>"18:48:55.961"</f>
        <v>18:48:55.961</v>
      </c>
      <c r="U27" t="str">
        <f t="shared" si="1"/>
        <v>AB63B2</v>
      </c>
      <c r="V27">
        <v>0</v>
      </c>
      <c r="W27">
        <v>0</v>
      </c>
      <c r="X27">
        <v>6</v>
      </c>
      <c r="Z27">
        <v>0</v>
      </c>
      <c r="AA27">
        <v>8</v>
      </c>
      <c r="AB27">
        <v>3</v>
      </c>
      <c r="AC27">
        <v>0</v>
      </c>
      <c r="AD27">
        <v>9</v>
      </c>
      <c r="AE27">
        <v>0</v>
      </c>
      <c r="AF27">
        <v>0</v>
      </c>
      <c r="AG27">
        <v>2</v>
      </c>
      <c r="AH27">
        <v>0</v>
      </c>
      <c r="AI27" t="s">
        <v>116</v>
      </c>
      <c r="AJ27">
        <v>41.991484</v>
      </c>
      <c r="AK27" t="s">
        <v>123</v>
      </c>
      <c r="AL27">
        <v>-87.891396999999998</v>
      </c>
      <c r="AS27">
        <v>1</v>
      </c>
      <c r="AT27" t="s">
        <v>118</v>
      </c>
      <c r="AU27" t="b">
        <v>1</v>
      </c>
      <c r="AV27">
        <v>357.19</v>
      </c>
      <c r="AW27">
        <v>0.25</v>
      </c>
      <c r="AX27">
        <v>1</v>
      </c>
      <c r="AZ27">
        <v>1200</v>
      </c>
      <c r="BA27">
        <v>1</v>
      </c>
      <c r="BB27" t="str">
        <f t="shared" si="2"/>
        <v xml:space="preserve">KAP400  </v>
      </c>
      <c r="BC27">
        <v>1</v>
      </c>
      <c r="BE27">
        <v>0</v>
      </c>
      <c r="BF27">
        <v>0</v>
      </c>
      <c r="BG27">
        <v>0</v>
      </c>
      <c r="BI27">
        <v>1</v>
      </c>
      <c r="BJ27">
        <v>1</v>
      </c>
      <c r="BK27">
        <v>1</v>
      </c>
      <c r="BL27">
        <v>0</v>
      </c>
      <c r="BO27">
        <v>0</v>
      </c>
      <c r="BP27">
        <v>0</v>
      </c>
      <c r="BW27" t="str">
        <f>"18:48:55.964"</f>
        <v>18:48:55.964</v>
      </c>
      <c r="BX27" t="s">
        <v>119</v>
      </c>
      <c r="BY27" t="s">
        <v>120</v>
      </c>
      <c r="CJ27">
        <v>0</v>
      </c>
      <c r="CK27">
        <v>0</v>
      </c>
      <c r="CL27">
        <v>0</v>
      </c>
      <c r="CM27">
        <v>2</v>
      </c>
      <c r="CN27">
        <v>0</v>
      </c>
      <c r="CO27">
        <v>7</v>
      </c>
      <c r="CP27" t="s">
        <v>121</v>
      </c>
      <c r="CQ27">
        <v>581</v>
      </c>
      <c r="CR27">
        <v>0</v>
      </c>
      <c r="CW27">
        <v>12855548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</row>
    <row r="28" spans="1:113" x14ac:dyDescent="0.3">
      <c r="A28" t="str">
        <f>"06/16/2022 18:49:07.026"</f>
        <v>06/16/2022 18:49:07.026</v>
      </c>
      <c r="C28" t="str">
        <f t="shared" si="0"/>
        <v>FFBF5BC0</v>
      </c>
      <c r="D28" t="s">
        <v>113</v>
      </c>
      <c r="E28">
        <v>8</v>
      </c>
      <c r="H28">
        <v>206</v>
      </c>
      <c r="I28" t="s">
        <v>114</v>
      </c>
      <c r="J28" t="s">
        <v>115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"18:49:06.766"</f>
        <v>18:49:06.766</v>
      </c>
      <c r="T28" t="str">
        <f>"18:49:06.766"</f>
        <v>18:49:06.766</v>
      </c>
      <c r="U28" t="str">
        <f t="shared" si="1"/>
        <v>AB63B2</v>
      </c>
      <c r="V28">
        <v>0</v>
      </c>
      <c r="W28">
        <v>0</v>
      </c>
      <c r="X28">
        <v>6</v>
      </c>
      <c r="Z28">
        <v>0</v>
      </c>
      <c r="AA28">
        <v>8</v>
      </c>
      <c r="AB28">
        <v>3</v>
      </c>
      <c r="AC28">
        <v>0</v>
      </c>
      <c r="AD28">
        <v>9</v>
      </c>
      <c r="AE28">
        <v>0</v>
      </c>
      <c r="AF28">
        <v>0</v>
      </c>
      <c r="AG28">
        <v>2</v>
      </c>
      <c r="AH28">
        <v>0</v>
      </c>
      <c r="AI28" t="s">
        <v>122</v>
      </c>
      <c r="AJ28">
        <v>41.991506000000001</v>
      </c>
      <c r="AK28" t="s">
        <v>117</v>
      </c>
      <c r="AL28">
        <v>-87.891418999999999</v>
      </c>
      <c r="AS28">
        <v>1</v>
      </c>
      <c r="AT28" t="s">
        <v>118</v>
      </c>
      <c r="AU28" t="b">
        <v>1</v>
      </c>
      <c r="AV28">
        <v>357.19</v>
      </c>
      <c r="AW28">
        <v>0.125</v>
      </c>
      <c r="AX28">
        <v>1</v>
      </c>
      <c r="AZ28">
        <v>1200</v>
      </c>
      <c r="BA28">
        <v>1</v>
      </c>
      <c r="BB28" t="str">
        <f t="shared" si="2"/>
        <v xml:space="preserve">KAP400  </v>
      </c>
      <c r="BC28">
        <v>1</v>
      </c>
      <c r="BE28">
        <v>0</v>
      </c>
      <c r="BF28">
        <v>0</v>
      </c>
      <c r="BG28">
        <v>0</v>
      </c>
      <c r="BI28">
        <v>1</v>
      </c>
      <c r="BJ28">
        <v>1</v>
      </c>
      <c r="BK28">
        <v>1</v>
      </c>
      <c r="BL28">
        <v>0</v>
      </c>
      <c r="BO28">
        <v>0</v>
      </c>
      <c r="BP28">
        <v>0</v>
      </c>
      <c r="BW28" t="str">
        <f>"18:49:06.769"</f>
        <v>18:49:06.769</v>
      </c>
      <c r="BX28" t="s">
        <v>119</v>
      </c>
      <c r="BY28" t="s">
        <v>120</v>
      </c>
      <c r="CJ28">
        <v>0</v>
      </c>
      <c r="CK28">
        <v>0</v>
      </c>
      <c r="CL28">
        <v>0</v>
      </c>
      <c r="CM28">
        <v>2</v>
      </c>
      <c r="CN28">
        <v>0</v>
      </c>
      <c r="CO28">
        <v>7</v>
      </c>
      <c r="CP28" t="s">
        <v>121</v>
      </c>
      <c r="CQ28">
        <v>581</v>
      </c>
      <c r="CR28">
        <v>0</v>
      </c>
      <c r="CW28">
        <v>12874674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</row>
    <row r="29" spans="1:113" x14ac:dyDescent="0.3">
      <c r="A29" t="str">
        <f>"06/16/2022 18:49:11.933"</f>
        <v>06/16/2022 18:49:11.933</v>
      </c>
      <c r="C29" t="str">
        <f t="shared" si="0"/>
        <v>FFBF5BC0</v>
      </c>
      <c r="D29" t="s">
        <v>113</v>
      </c>
      <c r="E29">
        <v>8</v>
      </c>
      <c r="H29">
        <v>206</v>
      </c>
      <c r="I29" t="s">
        <v>114</v>
      </c>
      <c r="J29" t="s">
        <v>115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"18:49:11.664"</f>
        <v>18:49:11.664</v>
      </c>
      <c r="T29" t="str">
        <f>"18:49:11.664"</f>
        <v>18:49:11.664</v>
      </c>
      <c r="U29" t="str">
        <f t="shared" si="1"/>
        <v>AB63B2</v>
      </c>
      <c r="V29">
        <v>0</v>
      </c>
      <c r="W29">
        <v>0</v>
      </c>
      <c r="X29">
        <v>6</v>
      </c>
      <c r="Z29">
        <v>0</v>
      </c>
      <c r="AA29">
        <v>8</v>
      </c>
      <c r="AB29">
        <v>3</v>
      </c>
      <c r="AC29">
        <v>0</v>
      </c>
      <c r="AD29">
        <v>9</v>
      </c>
      <c r="AE29">
        <v>0</v>
      </c>
      <c r="AF29">
        <v>0</v>
      </c>
      <c r="AG29">
        <v>2</v>
      </c>
      <c r="AH29">
        <v>0</v>
      </c>
      <c r="AI29" t="s">
        <v>122</v>
      </c>
      <c r="AJ29">
        <v>41.991506000000001</v>
      </c>
      <c r="AK29" t="s">
        <v>117</v>
      </c>
      <c r="AL29">
        <v>-87.891418999999999</v>
      </c>
      <c r="AS29">
        <v>1</v>
      </c>
      <c r="AT29" t="s">
        <v>118</v>
      </c>
      <c r="AU29" t="b">
        <v>1</v>
      </c>
      <c r="AV29">
        <v>357.19</v>
      </c>
      <c r="AW29">
        <v>0.125</v>
      </c>
      <c r="AX29">
        <v>1</v>
      </c>
      <c r="AZ29">
        <v>1200</v>
      </c>
      <c r="BA29">
        <v>1</v>
      </c>
      <c r="BB29" t="str">
        <f t="shared" si="2"/>
        <v xml:space="preserve">KAP400  </v>
      </c>
      <c r="BC29">
        <v>1</v>
      </c>
      <c r="BE29">
        <v>0</v>
      </c>
      <c r="BF29">
        <v>0</v>
      </c>
      <c r="BG29">
        <v>0</v>
      </c>
      <c r="BI29">
        <v>1</v>
      </c>
      <c r="BJ29">
        <v>1</v>
      </c>
      <c r="BK29">
        <v>1</v>
      </c>
      <c r="BL29">
        <v>0</v>
      </c>
      <c r="BO29">
        <v>0</v>
      </c>
      <c r="BP29">
        <v>0</v>
      </c>
      <c r="BW29" t="str">
        <f>"18:49:11.668"</f>
        <v>18:49:11.668</v>
      </c>
      <c r="BX29" t="s">
        <v>119</v>
      </c>
      <c r="BY29" t="s">
        <v>120</v>
      </c>
      <c r="CJ29">
        <v>0</v>
      </c>
      <c r="CK29">
        <v>0</v>
      </c>
      <c r="CL29">
        <v>0</v>
      </c>
      <c r="CM29">
        <v>2</v>
      </c>
      <c r="CN29">
        <v>0</v>
      </c>
      <c r="CO29">
        <v>7</v>
      </c>
      <c r="CP29" t="s">
        <v>121</v>
      </c>
      <c r="CQ29">
        <v>579</v>
      </c>
      <c r="CR29">
        <v>0</v>
      </c>
      <c r="CW29">
        <v>15162528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</row>
    <row r="30" spans="1:113" x14ac:dyDescent="0.3">
      <c r="A30" t="str">
        <f>"06/16/2022 18:49:16.964"</f>
        <v>06/16/2022 18:49:16.964</v>
      </c>
      <c r="C30" t="str">
        <f t="shared" si="0"/>
        <v>FFBF5BC0</v>
      </c>
      <c r="D30" t="s">
        <v>113</v>
      </c>
      <c r="E30">
        <v>8</v>
      </c>
      <c r="H30">
        <v>206</v>
      </c>
      <c r="I30" t="s">
        <v>114</v>
      </c>
      <c r="J30" t="s">
        <v>115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"18:49:16.680"</f>
        <v>18:49:16.680</v>
      </c>
      <c r="T30" t="str">
        <f>"18:49:16.680"</f>
        <v>18:49:16.680</v>
      </c>
      <c r="U30" t="str">
        <f t="shared" si="1"/>
        <v>AB63B2</v>
      </c>
      <c r="V30">
        <v>0</v>
      </c>
      <c r="W30">
        <v>0</v>
      </c>
      <c r="X30">
        <v>6</v>
      </c>
      <c r="Z30">
        <v>0</v>
      </c>
      <c r="AA30">
        <v>8</v>
      </c>
      <c r="AB30">
        <v>3</v>
      </c>
      <c r="AC30">
        <v>0</v>
      </c>
      <c r="AD30">
        <v>9</v>
      </c>
      <c r="AE30">
        <v>0</v>
      </c>
      <c r="AF30">
        <v>0</v>
      </c>
      <c r="AG30">
        <v>2</v>
      </c>
      <c r="AH30">
        <v>0</v>
      </c>
      <c r="AI30" t="s">
        <v>122</v>
      </c>
      <c r="AJ30">
        <v>41.991506000000001</v>
      </c>
      <c r="AK30" t="s">
        <v>117</v>
      </c>
      <c r="AL30">
        <v>-87.891418999999999</v>
      </c>
      <c r="AS30">
        <v>1</v>
      </c>
      <c r="AT30" t="s">
        <v>118</v>
      </c>
      <c r="AU30" t="b">
        <v>1</v>
      </c>
      <c r="AV30">
        <v>357.19</v>
      </c>
      <c r="AW30">
        <v>0.125</v>
      </c>
      <c r="AX30">
        <v>1</v>
      </c>
      <c r="AZ30">
        <v>1200</v>
      </c>
      <c r="BA30">
        <v>1</v>
      </c>
      <c r="BB30" t="str">
        <f t="shared" si="2"/>
        <v xml:space="preserve">KAP400  </v>
      </c>
      <c r="BC30">
        <v>1</v>
      </c>
      <c r="BE30">
        <v>0</v>
      </c>
      <c r="BF30">
        <v>0</v>
      </c>
      <c r="BG30">
        <v>0</v>
      </c>
      <c r="BI30">
        <v>1</v>
      </c>
      <c r="BJ30">
        <v>1</v>
      </c>
      <c r="BK30">
        <v>1</v>
      </c>
      <c r="BL30">
        <v>0</v>
      </c>
      <c r="BO30">
        <v>0</v>
      </c>
      <c r="BP30">
        <v>0</v>
      </c>
      <c r="BW30" t="str">
        <f>"18:49:16.685"</f>
        <v>18:49:16.685</v>
      </c>
      <c r="BX30" t="s">
        <v>119</v>
      </c>
      <c r="BY30" t="s">
        <v>120</v>
      </c>
      <c r="CJ30">
        <v>0</v>
      </c>
      <c r="CK30">
        <v>0</v>
      </c>
      <c r="CL30">
        <v>0</v>
      </c>
      <c r="CM30">
        <v>2</v>
      </c>
      <c r="CN30">
        <v>0</v>
      </c>
      <c r="CO30">
        <v>7</v>
      </c>
      <c r="CP30" t="s">
        <v>121</v>
      </c>
      <c r="CQ30">
        <v>581</v>
      </c>
      <c r="CR30">
        <v>0</v>
      </c>
      <c r="CW30">
        <v>12892078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</row>
    <row r="31" spans="1:113" x14ac:dyDescent="0.3">
      <c r="A31" t="str">
        <f>"06/16/2022 18:49:21.779"</f>
        <v>06/16/2022 18:49:21.779</v>
      </c>
      <c r="C31" t="str">
        <f t="shared" si="0"/>
        <v>FFBF5BC0</v>
      </c>
      <c r="D31" t="s">
        <v>113</v>
      </c>
      <c r="E31">
        <v>8</v>
      </c>
      <c r="H31">
        <v>206</v>
      </c>
      <c r="I31" t="s">
        <v>114</v>
      </c>
      <c r="J31" t="s">
        <v>115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"18:49:21.508"</f>
        <v>18:49:21.508</v>
      </c>
      <c r="T31" t="str">
        <f>"18:49:21.508"</f>
        <v>18:49:21.508</v>
      </c>
      <c r="U31" t="str">
        <f t="shared" si="1"/>
        <v>AB63B2</v>
      </c>
      <c r="V31">
        <v>0</v>
      </c>
      <c r="W31">
        <v>0</v>
      </c>
      <c r="X31">
        <v>6</v>
      </c>
      <c r="Z31">
        <v>0</v>
      </c>
      <c r="AA31">
        <v>8</v>
      </c>
      <c r="AB31">
        <v>3</v>
      </c>
      <c r="AC31">
        <v>0</v>
      </c>
      <c r="AD31">
        <v>9</v>
      </c>
      <c r="AE31">
        <v>0</v>
      </c>
      <c r="AF31">
        <v>0</v>
      </c>
      <c r="AG31">
        <v>2</v>
      </c>
      <c r="AH31">
        <v>0</v>
      </c>
      <c r="AI31" t="s">
        <v>122</v>
      </c>
      <c r="AJ31">
        <v>41.991506000000001</v>
      </c>
      <c r="AK31" t="s">
        <v>117</v>
      </c>
      <c r="AL31">
        <v>-87.891418999999999</v>
      </c>
      <c r="AS31">
        <v>1</v>
      </c>
      <c r="AT31" t="s">
        <v>118</v>
      </c>
      <c r="AU31" t="b">
        <v>1</v>
      </c>
      <c r="AV31">
        <v>357.19</v>
      </c>
      <c r="AW31">
        <v>0.125</v>
      </c>
      <c r="AX31">
        <v>1</v>
      </c>
      <c r="AZ31">
        <v>1200</v>
      </c>
      <c r="BA31">
        <v>1</v>
      </c>
      <c r="BB31" t="str">
        <f t="shared" si="2"/>
        <v xml:space="preserve">KAP400  </v>
      </c>
      <c r="BC31">
        <v>1</v>
      </c>
      <c r="BE31">
        <v>0</v>
      </c>
      <c r="BF31">
        <v>0</v>
      </c>
      <c r="BG31">
        <v>0</v>
      </c>
      <c r="BI31">
        <v>1</v>
      </c>
      <c r="BJ31">
        <v>1</v>
      </c>
      <c r="BK31">
        <v>1</v>
      </c>
      <c r="BL31">
        <v>0</v>
      </c>
      <c r="BO31">
        <v>0</v>
      </c>
      <c r="BP31">
        <v>0</v>
      </c>
      <c r="BW31" t="str">
        <f>"18:49:21.515"</f>
        <v>18:49:21.515</v>
      </c>
      <c r="BX31" t="s">
        <v>119</v>
      </c>
      <c r="BY31" t="s">
        <v>120</v>
      </c>
      <c r="CJ31">
        <v>0</v>
      </c>
      <c r="CK31">
        <v>0</v>
      </c>
      <c r="CL31">
        <v>0</v>
      </c>
      <c r="CM31">
        <v>2</v>
      </c>
      <c r="CN31">
        <v>0</v>
      </c>
      <c r="CO31">
        <v>7</v>
      </c>
      <c r="CP31" t="s">
        <v>121</v>
      </c>
      <c r="CQ31">
        <v>582</v>
      </c>
      <c r="CR31">
        <v>0</v>
      </c>
      <c r="CW31">
        <v>3991517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</row>
    <row r="32" spans="1:113" x14ac:dyDescent="0.3">
      <c r="A32" t="str">
        <f>"06/16/2022 18:49:26.747"</f>
        <v>06/16/2022 18:49:26.747</v>
      </c>
      <c r="C32" t="str">
        <f t="shared" si="0"/>
        <v>FFBF5BC0</v>
      </c>
      <c r="D32" t="s">
        <v>113</v>
      </c>
      <c r="E32">
        <v>8</v>
      </c>
      <c r="H32">
        <v>206</v>
      </c>
      <c r="I32" t="s">
        <v>114</v>
      </c>
      <c r="J32" t="s">
        <v>115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>"18:49:26.523"</f>
        <v>18:49:26.523</v>
      </c>
      <c r="T32" t="str">
        <f>"18:49:26.523"</f>
        <v>18:49:26.523</v>
      </c>
      <c r="U32" t="str">
        <f t="shared" si="1"/>
        <v>AB63B2</v>
      </c>
      <c r="V32">
        <v>0</v>
      </c>
      <c r="W32">
        <v>0</v>
      </c>
      <c r="X32">
        <v>6</v>
      </c>
      <c r="Z32">
        <v>0</v>
      </c>
      <c r="AA32">
        <v>8</v>
      </c>
      <c r="AB32">
        <v>3</v>
      </c>
      <c r="AC32">
        <v>0</v>
      </c>
      <c r="AD32">
        <v>9</v>
      </c>
      <c r="AE32">
        <v>0</v>
      </c>
      <c r="AF32">
        <v>0</v>
      </c>
      <c r="AG32">
        <v>2</v>
      </c>
      <c r="AH32">
        <v>0</v>
      </c>
      <c r="AI32" t="s">
        <v>122</v>
      </c>
      <c r="AJ32">
        <v>41.991506000000001</v>
      </c>
      <c r="AK32" t="s">
        <v>117</v>
      </c>
      <c r="AL32">
        <v>-87.891418999999999</v>
      </c>
      <c r="AS32">
        <v>1</v>
      </c>
      <c r="AT32" t="s">
        <v>118</v>
      </c>
      <c r="AU32" t="b">
        <v>1</v>
      </c>
      <c r="AV32">
        <v>357.19</v>
      </c>
      <c r="AW32">
        <v>0.125</v>
      </c>
      <c r="AX32">
        <v>1</v>
      </c>
      <c r="AZ32">
        <v>1200</v>
      </c>
      <c r="BA32">
        <v>1</v>
      </c>
      <c r="BB32" t="str">
        <f t="shared" si="2"/>
        <v xml:space="preserve">KAP400  </v>
      </c>
      <c r="BC32">
        <v>1</v>
      </c>
      <c r="BE32">
        <v>0</v>
      </c>
      <c r="BF32">
        <v>0</v>
      </c>
      <c r="BG32">
        <v>0</v>
      </c>
      <c r="BI32">
        <v>1</v>
      </c>
      <c r="BJ32">
        <v>1</v>
      </c>
      <c r="BK32">
        <v>1</v>
      </c>
      <c r="BL32">
        <v>0</v>
      </c>
      <c r="BO32">
        <v>0</v>
      </c>
      <c r="BP32">
        <v>0</v>
      </c>
      <c r="BW32" t="str">
        <f>"18:49:26.530"</f>
        <v>18:49:26.530</v>
      </c>
      <c r="BX32" t="s">
        <v>119</v>
      </c>
      <c r="BY32" t="s">
        <v>120</v>
      </c>
      <c r="CJ32">
        <v>0</v>
      </c>
      <c r="CK32">
        <v>0</v>
      </c>
      <c r="CL32">
        <v>0</v>
      </c>
      <c r="CM32">
        <v>2</v>
      </c>
      <c r="CN32">
        <v>0</v>
      </c>
      <c r="CO32">
        <v>7</v>
      </c>
      <c r="CP32" t="s">
        <v>121</v>
      </c>
      <c r="CQ32">
        <v>581</v>
      </c>
      <c r="CR32">
        <v>0</v>
      </c>
      <c r="CW32">
        <v>12909753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</row>
    <row r="33" spans="1:113" x14ac:dyDescent="0.3">
      <c r="A33" t="str">
        <f>"06/16/2022 18:49:31.653"</f>
        <v>06/16/2022 18:49:31.653</v>
      </c>
      <c r="C33" t="str">
        <f t="shared" si="0"/>
        <v>FFBF5BC0</v>
      </c>
      <c r="D33" t="s">
        <v>113</v>
      </c>
      <c r="E33">
        <v>8</v>
      </c>
      <c r="H33">
        <v>206</v>
      </c>
      <c r="I33" t="s">
        <v>114</v>
      </c>
      <c r="J33" t="s">
        <v>115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>"18:49:31.414"</f>
        <v>18:49:31.414</v>
      </c>
      <c r="T33" t="str">
        <f>"18:49:31.414"</f>
        <v>18:49:31.414</v>
      </c>
      <c r="U33" t="str">
        <f t="shared" si="1"/>
        <v>AB63B2</v>
      </c>
      <c r="V33">
        <v>0</v>
      </c>
      <c r="W33">
        <v>0</v>
      </c>
      <c r="X33">
        <v>6</v>
      </c>
      <c r="Z33">
        <v>0</v>
      </c>
      <c r="AA33">
        <v>8</v>
      </c>
      <c r="AB33">
        <v>3</v>
      </c>
      <c r="AC33">
        <v>0</v>
      </c>
      <c r="AD33">
        <v>9</v>
      </c>
      <c r="AE33">
        <v>0</v>
      </c>
      <c r="AF33">
        <v>0</v>
      </c>
      <c r="AG33">
        <v>2</v>
      </c>
      <c r="AH33">
        <v>0</v>
      </c>
      <c r="AI33" t="s">
        <v>122</v>
      </c>
      <c r="AJ33">
        <v>41.991506000000001</v>
      </c>
      <c r="AK33" t="s">
        <v>123</v>
      </c>
      <c r="AL33">
        <v>-87.891396999999998</v>
      </c>
      <c r="AS33">
        <v>1</v>
      </c>
      <c r="AT33" t="s">
        <v>118</v>
      </c>
      <c r="AU33" t="b">
        <v>1</v>
      </c>
      <c r="AV33">
        <v>357.19</v>
      </c>
      <c r="AW33">
        <v>0.125</v>
      </c>
      <c r="AX33">
        <v>1</v>
      </c>
      <c r="AZ33">
        <v>1200</v>
      </c>
      <c r="BA33">
        <v>1</v>
      </c>
      <c r="BB33" t="str">
        <f t="shared" si="2"/>
        <v xml:space="preserve">KAP400  </v>
      </c>
      <c r="BC33">
        <v>1</v>
      </c>
      <c r="BE33">
        <v>0</v>
      </c>
      <c r="BF33">
        <v>0</v>
      </c>
      <c r="BG33">
        <v>0</v>
      </c>
      <c r="BI33">
        <v>1</v>
      </c>
      <c r="BJ33">
        <v>1</v>
      </c>
      <c r="BK33">
        <v>1</v>
      </c>
      <c r="BL33">
        <v>0</v>
      </c>
      <c r="BO33">
        <v>0</v>
      </c>
      <c r="BP33">
        <v>0</v>
      </c>
      <c r="BW33" t="str">
        <f>"18:49:31.414"</f>
        <v>18:49:31.414</v>
      </c>
      <c r="BX33" t="s">
        <v>119</v>
      </c>
      <c r="BY33" t="s">
        <v>120</v>
      </c>
      <c r="CJ33">
        <v>0</v>
      </c>
      <c r="CK33">
        <v>0</v>
      </c>
      <c r="CL33">
        <v>0</v>
      </c>
      <c r="CM33">
        <v>2</v>
      </c>
      <c r="CN33">
        <v>0</v>
      </c>
      <c r="CO33">
        <v>7</v>
      </c>
      <c r="CP33" t="s">
        <v>121</v>
      </c>
      <c r="CQ33">
        <v>581</v>
      </c>
      <c r="CR33">
        <v>0</v>
      </c>
      <c r="CW33">
        <v>12918766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</row>
    <row r="34" spans="1:113" x14ac:dyDescent="0.3">
      <c r="A34" t="str">
        <f>"06/16/2022 18:49:36.715"</f>
        <v>06/16/2022 18:49:36.715</v>
      </c>
      <c r="C34" t="str">
        <f t="shared" si="0"/>
        <v>FFBF5BC0</v>
      </c>
      <c r="D34" t="s">
        <v>113</v>
      </c>
      <c r="E34">
        <v>8</v>
      </c>
      <c r="H34">
        <v>206</v>
      </c>
      <c r="I34" t="s">
        <v>114</v>
      </c>
      <c r="J34" t="s">
        <v>115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"18:49:36.508"</f>
        <v>18:49:36.508</v>
      </c>
      <c r="T34" t="str">
        <f>"18:49:36.508"</f>
        <v>18:49:36.508</v>
      </c>
      <c r="U34" t="str">
        <f t="shared" si="1"/>
        <v>AB63B2</v>
      </c>
      <c r="V34">
        <v>0</v>
      </c>
      <c r="W34">
        <v>0</v>
      </c>
      <c r="X34">
        <v>6</v>
      </c>
      <c r="Z34">
        <v>0</v>
      </c>
      <c r="AA34">
        <v>8</v>
      </c>
      <c r="AB34">
        <v>3</v>
      </c>
      <c r="AC34">
        <v>0</v>
      </c>
      <c r="AD34">
        <v>9</v>
      </c>
      <c r="AE34">
        <v>0</v>
      </c>
      <c r="AF34">
        <v>0</v>
      </c>
      <c r="AG34">
        <v>2</v>
      </c>
      <c r="AH34">
        <v>0</v>
      </c>
      <c r="AI34" t="s">
        <v>122</v>
      </c>
      <c r="AJ34">
        <v>41.991506000000001</v>
      </c>
      <c r="AK34" t="s">
        <v>123</v>
      </c>
      <c r="AL34">
        <v>-87.891396999999998</v>
      </c>
      <c r="AS34">
        <v>1</v>
      </c>
      <c r="AT34" t="s">
        <v>118</v>
      </c>
      <c r="AU34" t="b">
        <v>1</v>
      </c>
      <c r="AV34">
        <v>357.19</v>
      </c>
      <c r="AW34">
        <v>0.125</v>
      </c>
      <c r="AX34">
        <v>1</v>
      </c>
      <c r="AZ34">
        <v>1200</v>
      </c>
      <c r="BA34">
        <v>1</v>
      </c>
      <c r="BB34" t="str">
        <f t="shared" si="2"/>
        <v xml:space="preserve">KAP400  </v>
      </c>
      <c r="BC34">
        <v>1</v>
      </c>
      <c r="BE34">
        <v>0</v>
      </c>
      <c r="BF34">
        <v>0</v>
      </c>
      <c r="BG34">
        <v>0</v>
      </c>
      <c r="BI34">
        <v>1</v>
      </c>
      <c r="BJ34">
        <v>1</v>
      </c>
      <c r="BK34">
        <v>1</v>
      </c>
      <c r="BL34">
        <v>0</v>
      </c>
      <c r="BO34">
        <v>0</v>
      </c>
      <c r="BP34">
        <v>0</v>
      </c>
      <c r="BW34" t="str">
        <f>"18:49:36.508"</f>
        <v>18:49:36.508</v>
      </c>
      <c r="BX34" t="s">
        <v>119</v>
      </c>
      <c r="BY34" t="s">
        <v>120</v>
      </c>
      <c r="CJ34">
        <v>0</v>
      </c>
      <c r="CK34">
        <v>0</v>
      </c>
      <c r="CL34">
        <v>0</v>
      </c>
      <c r="CM34">
        <v>2</v>
      </c>
      <c r="CN34">
        <v>0</v>
      </c>
      <c r="CO34">
        <v>7</v>
      </c>
      <c r="CP34" t="s">
        <v>121</v>
      </c>
      <c r="CQ34">
        <v>579</v>
      </c>
      <c r="CR34">
        <v>0</v>
      </c>
      <c r="CW34">
        <v>15218281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</row>
    <row r="35" spans="1:113" x14ac:dyDescent="0.3">
      <c r="A35" t="str">
        <f>"06/16/2022 18:49:41.622"</f>
        <v>06/16/2022 18:49:41.622</v>
      </c>
      <c r="C35" t="str">
        <f t="shared" si="0"/>
        <v>FFBF5BC0</v>
      </c>
      <c r="D35" t="s">
        <v>113</v>
      </c>
      <c r="E35">
        <v>8</v>
      </c>
      <c r="H35">
        <v>206</v>
      </c>
      <c r="I35" t="s">
        <v>114</v>
      </c>
      <c r="J35" t="s">
        <v>115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"18:49:41.328"</f>
        <v>18:49:41.328</v>
      </c>
      <c r="T35" t="str">
        <f>"18:49:41.328"</f>
        <v>18:49:41.328</v>
      </c>
      <c r="U35" t="str">
        <f t="shared" si="1"/>
        <v>AB63B2</v>
      </c>
      <c r="V35">
        <v>0</v>
      </c>
      <c r="W35">
        <v>0</v>
      </c>
      <c r="X35">
        <v>6</v>
      </c>
      <c r="Z35">
        <v>0</v>
      </c>
      <c r="AA35">
        <v>8</v>
      </c>
      <c r="AB35">
        <v>3</v>
      </c>
      <c r="AC35">
        <v>0</v>
      </c>
      <c r="AD35">
        <v>9</v>
      </c>
      <c r="AE35">
        <v>0</v>
      </c>
      <c r="AF35">
        <v>0</v>
      </c>
      <c r="AG35">
        <v>2</v>
      </c>
      <c r="AH35">
        <v>0</v>
      </c>
      <c r="AI35" t="s">
        <v>122</v>
      </c>
      <c r="AJ35">
        <v>41.991506000000001</v>
      </c>
      <c r="AK35" t="s">
        <v>123</v>
      </c>
      <c r="AL35">
        <v>-87.891396999999998</v>
      </c>
      <c r="AS35">
        <v>1</v>
      </c>
      <c r="AT35" t="s">
        <v>118</v>
      </c>
      <c r="AU35" t="b">
        <v>1</v>
      </c>
      <c r="AV35">
        <v>357.19</v>
      </c>
      <c r="AW35">
        <v>0.125</v>
      </c>
      <c r="AX35">
        <v>1</v>
      </c>
      <c r="AZ35">
        <v>1200</v>
      </c>
      <c r="BA35">
        <v>1</v>
      </c>
      <c r="BB35" t="str">
        <f t="shared" si="2"/>
        <v xml:space="preserve">KAP400  </v>
      </c>
      <c r="BC35">
        <v>1</v>
      </c>
      <c r="BE35">
        <v>0</v>
      </c>
      <c r="BF35">
        <v>0</v>
      </c>
      <c r="BG35">
        <v>0</v>
      </c>
      <c r="BI35">
        <v>1</v>
      </c>
      <c r="BJ35">
        <v>1</v>
      </c>
      <c r="BK35">
        <v>1</v>
      </c>
      <c r="BL35">
        <v>0</v>
      </c>
      <c r="BO35">
        <v>0</v>
      </c>
      <c r="BP35">
        <v>0</v>
      </c>
      <c r="BW35" t="str">
        <f>"18:49:41.335"</f>
        <v>18:49:41.335</v>
      </c>
      <c r="BX35" t="s">
        <v>119</v>
      </c>
      <c r="BY35" t="s">
        <v>120</v>
      </c>
      <c r="CJ35">
        <v>0</v>
      </c>
      <c r="CK35">
        <v>0</v>
      </c>
      <c r="CL35">
        <v>0</v>
      </c>
      <c r="CM35">
        <v>2</v>
      </c>
      <c r="CN35">
        <v>0</v>
      </c>
      <c r="CO35">
        <v>7</v>
      </c>
      <c r="CP35" t="s">
        <v>121</v>
      </c>
      <c r="CQ35">
        <v>582</v>
      </c>
      <c r="CR35">
        <v>0</v>
      </c>
      <c r="CW35">
        <v>4025462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</row>
    <row r="36" spans="1:113" x14ac:dyDescent="0.3">
      <c r="A36" t="str">
        <f>"06/16/2022 18:49:46.762"</f>
        <v>06/16/2022 18:49:46.762</v>
      </c>
      <c r="C36" t="str">
        <f t="shared" si="0"/>
        <v>FFBF5BC0</v>
      </c>
      <c r="D36" t="s">
        <v>113</v>
      </c>
      <c r="E36">
        <v>8</v>
      </c>
      <c r="H36">
        <v>206</v>
      </c>
      <c r="I36" t="s">
        <v>114</v>
      </c>
      <c r="J36" t="s">
        <v>115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"18:49:46.453"</f>
        <v>18:49:46.453</v>
      </c>
      <c r="T36" t="str">
        <f>"18:49:46.453"</f>
        <v>18:49:46.453</v>
      </c>
      <c r="U36" t="str">
        <f t="shared" si="1"/>
        <v>AB63B2</v>
      </c>
      <c r="V36">
        <v>0</v>
      </c>
      <c r="W36">
        <v>0</v>
      </c>
      <c r="X36">
        <v>6</v>
      </c>
      <c r="Z36">
        <v>0</v>
      </c>
      <c r="AA36">
        <v>8</v>
      </c>
      <c r="AB36">
        <v>3</v>
      </c>
      <c r="AC36">
        <v>0</v>
      </c>
      <c r="AD36">
        <v>9</v>
      </c>
      <c r="AE36">
        <v>0</v>
      </c>
      <c r="AF36">
        <v>0</v>
      </c>
      <c r="AG36">
        <v>2</v>
      </c>
      <c r="AH36">
        <v>0</v>
      </c>
      <c r="AI36" t="s">
        <v>122</v>
      </c>
      <c r="AJ36">
        <v>41.991506000000001</v>
      </c>
      <c r="AK36" t="s">
        <v>123</v>
      </c>
      <c r="AL36">
        <v>-87.891396999999998</v>
      </c>
      <c r="AS36">
        <v>1</v>
      </c>
      <c r="AT36" t="s">
        <v>118</v>
      </c>
      <c r="AU36" t="b">
        <v>1</v>
      </c>
      <c r="AV36">
        <v>357.19</v>
      </c>
      <c r="AW36">
        <v>0.125</v>
      </c>
      <c r="AX36">
        <v>1</v>
      </c>
      <c r="AZ36">
        <v>1200</v>
      </c>
      <c r="BA36">
        <v>1</v>
      </c>
      <c r="BB36" t="str">
        <f t="shared" si="2"/>
        <v xml:space="preserve">KAP400  </v>
      </c>
      <c r="BC36">
        <v>1</v>
      </c>
      <c r="BE36">
        <v>0</v>
      </c>
      <c r="BF36">
        <v>0</v>
      </c>
      <c r="BG36">
        <v>0</v>
      </c>
      <c r="BI36">
        <v>1</v>
      </c>
      <c r="BJ36">
        <v>1</v>
      </c>
      <c r="BK36">
        <v>1</v>
      </c>
      <c r="BL36">
        <v>0</v>
      </c>
      <c r="BO36">
        <v>0</v>
      </c>
      <c r="BP36">
        <v>0</v>
      </c>
      <c r="BW36" t="str">
        <f>"18:49:46.458"</f>
        <v>18:49:46.458</v>
      </c>
      <c r="BX36" t="s">
        <v>119</v>
      </c>
      <c r="BY36" t="s">
        <v>120</v>
      </c>
      <c r="CJ36">
        <v>0</v>
      </c>
      <c r="CK36">
        <v>0</v>
      </c>
      <c r="CL36">
        <v>0</v>
      </c>
      <c r="CM36">
        <v>2</v>
      </c>
      <c r="CN36">
        <v>0</v>
      </c>
      <c r="CO36">
        <v>7</v>
      </c>
      <c r="CP36" t="s">
        <v>121</v>
      </c>
      <c r="CQ36">
        <v>582</v>
      </c>
      <c r="CR36">
        <v>0</v>
      </c>
      <c r="CW36">
        <v>4033881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</row>
    <row r="37" spans="1:113" x14ac:dyDescent="0.3">
      <c r="A37" t="str">
        <f>"06/16/2022 18:50:07.027"</f>
        <v>06/16/2022 18:50:07.027</v>
      </c>
      <c r="C37" t="str">
        <f t="shared" si="0"/>
        <v>FFBF5BC0</v>
      </c>
      <c r="D37" t="s">
        <v>113</v>
      </c>
      <c r="E37">
        <v>8</v>
      </c>
      <c r="H37">
        <v>206</v>
      </c>
      <c r="I37" t="s">
        <v>114</v>
      </c>
      <c r="J37" t="s">
        <v>115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"18:50:06.398"</f>
        <v>18:50:06.398</v>
      </c>
      <c r="T37" t="str">
        <f>"18:50:06.398"</f>
        <v>18:50:06.398</v>
      </c>
      <c r="U37" t="str">
        <f t="shared" si="1"/>
        <v>AB63B2</v>
      </c>
      <c r="V37">
        <v>0</v>
      </c>
      <c r="W37">
        <v>0</v>
      </c>
      <c r="X37">
        <v>6</v>
      </c>
      <c r="Z37">
        <v>0</v>
      </c>
      <c r="AA37">
        <v>8</v>
      </c>
      <c r="AB37">
        <v>3</v>
      </c>
      <c r="AC37">
        <v>0</v>
      </c>
      <c r="AD37">
        <v>9</v>
      </c>
      <c r="AE37">
        <v>0</v>
      </c>
      <c r="AF37">
        <v>0</v>
      </c>
      <c r="AG37">
        <v>2</v>
      </c>
      <c r="AH37">
        <v>0</v>
      </c>
      <c r="AI37" t="s">
        <v>122</v>
      </c>
      <c r="AJ37">
        <v>41.991506000000001</v>
      </c>
      <c r="AK37" t="s">
        <v>123</v>
      </c>
      <c r="AL37">
        <v>-87.891396999999998</v>
      </c>
      <c r="AS37">
        <v>1</v>
      </c>
      <c r="AT37" t="s">
        <v>118</v>
      </c>
      <c r="AU37" t="b">
        <v>1</v>
      </c>
      <c r="AV37">
        <v>357.19</v>
      </c>
      <c r="AW37">
        <v>0.125</v>
      </c>
      <c r="AX37">
        <v>1</v>
      </c>
      <c r="AZ37">
        <v>1200</v>
      </c>
      <c r="BA37">
        <v>1</v>
      </c>
      <c r="BB37" t="str">
        <f t="shared" si="2"/>
        <v xml:space="preserve">KAP400  </v>
      </c>
      <c r="BC37">
        <v>1</v>
      </c>
      <c r="BE37">
        <v>0</v>
      </c>
      <c r="BF37">
        <v>0</v>
      </c>
      <c r="BG37">
        <v>0</v>
      </c>
      <c r="BI37">
        <v>1</v>
      </c>
      <c r="BJ37">
        <v>1</v>
      </c>
      <c r="BK37">
        <v>1</v>
      </c>
      <c r="BL37">
        <v>0</v>
      </c>
      <c r="BO37">
        <v>0</v>
      </c>
      <c r="BP37">
        <v>0</v>
      </c>
      <c r="BW37" t="str">
        <f>"18:50:06.401"</f>
        <v>18:50:06.401</v>
      </c>
      <c r="BX37" t="s">
        <v>119</v>
      </c>
      <c r="BY37" t="s">
        <v>120</v>
      </c>
      <c r="CJ37">
        <v>0</v>
      </c>
      <c r="CK37">
        <v>0</v>
      </c>
      <c r="CL37">
        <v>0</v>
      </c>
      <c r="CM37">
        <v>2</v>
      </c>
      <c r="CN37">
        <v>0</v>
      </c>
      <c r="CO37">
        <v>7</v>
      </c>
      <c r="CP37" t="s">
        <v>121</v>
      </c>
      <c r="CQ37">
        <v>582</v>
      </c>
      <c r="CR37">
        <v>0</v>
      </c>
      <c r="CW37">
        <v>4065326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</row>
    <row r="38" spans="1:113" x14ac:dyDescent="0.3">
      <c r="A38" t="str">
        <f>"06/16/2022 18:50:11.965"</f>
        <v>06/16/2022 18:50:11.965</v>
      </c>
      <c r="C38" t="str">
        <f t="shared" si="0"/>
        <v>FFBF5BC0</v>
      </c>
      <c r="D38" t="s">
        <v>113</v>
      </c>
      <c r="E38">
        <v>8</v>
      </c>
      <c r="H38">
        <v>206</v>
      </c>
      <c r="I38" t="s">
        <v>114</v>
      </c>
      <c r="J38" t="s">
        <v>115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"18:50:11.578"</f>
        <v>18:50:11.578</v>
      </c>
      <c r="T38" t="str">
        <f>"18:50:11.578"</f>
        <v>18:50:11.578</v>
      </c>
      <c r="U38" t="str">
        <f t="shared" si="1"/>
        <v>AB63B2</v>
      </c>
      <c r="V38">
        <v>0</v>
      </c>
      <c r="W38">
        <v>0</v>
      </c>
      <c r="X38">
        <v>6</v>
      </c>
      <c r="Z38">
        <v>0</v>
      </c>
      <c r="AA38">
        <v>8</v>
      </c>
      <c r="AB38">
        <v>3</v>
      </c>
      <c r="AC38">
        <v>0</v>
      </c>
      <c r="AD38">
        <v>9</v>
      </c>
      <c r="AE38">
        <v>0</v>
      </c>
      <c r="AF38">
        <v>0</v>
      </c>
      <c r="AG38">
        <v>2</v>
      </c>
      <c r="AH38">
        <v>0</v>
      </c>
      <c r="AI38" t="s">
        <v>122</v>
      </c>
      <c r="AJ38">
        <v>41.991506000000001</v>
      </c>
      <c r="AK38" t="s">
        <v>123</v>
      </c>
      <c r="AL38">
        <v>-87.891396999999998</v>
      </c>
      <c r="AS38">
        <v>1</v>
      </c>
      <c r="AT38" t="s">
        <v>118</v>
      </c>
      <c r="AU38" t="b">
        <v>1</v>
      </c>
      <c r="AV38">
        <v>357.19</v>
      </c>
      <c r="AW38">
        <v>0.125</v>
      </c>
      <c r="AX38">
        <v>1</v>
      </c>
      <c r="AZ38">
        <v>1200</v>
      </c>
      <c r="BA38">
        <v>1</v>
      </c>
      <c r="BB38" t="str">
        <f t="shared" si="2"/>
        <v xml:space="preserve">KAP400  </v>
      </c>
      <c r="BC38">
        <v>1</v>
      </c>
      <c r="BE38">
        <v>0</v>
      </c>
      <c r="BF38">
        <v>0</v>
      </c>
      <c r="BG38">
        <v>0</v>
      </c>
      <c r="BI38">
        <v>1</v>
      </c>
      <c r="BJ38">
        <v>1</v>
      </c>
      <c r="BK38">
        <v>1</v>
      </c>
      <c r="BL38">
        <v>0</v>
      </c>
      <c r="BO38">
        <v>0</v>
      </c>
      <c r="BP38">
        <v>0</v>
      </c>
      <c r="BW38" t="str">
        <f>"18:50:11.582"</f>
        <v>18:50:11.582</v>
      </c>
      <c r="BX38" t="s">
        <v>119</v>
      </c>
      <c r="BY38" t="s">
        <v>120</v>
      </c>
      <c r="CJ38">
        <v>0</v>
      </c>
      <c r="CK38">
        <v>0</v>
      </c>
      <c r="CL38">
        <v>0</v>
      </c>
      <c r="CM38">
        <v>2</v>
      </c>
      <c r="CN38">
        <v>0</v>
      </c>
      <c r="CO38">
        <v>7</v>
      </c>
      <c r="CP38" t="s">
        <v>121</v>
      </c>
      <c r="CQ38">
        <v>582</v>
      </c>
      <c r="CR38">
        <v>0</v>
      </c>
      <c r="CW38">
        <v>4073590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</row>
    <row r="39" spans="1:113" x14ac:dyDescent="0.3">
      <c r="A39" t="str">
        <f>"06/16/2022 18:50:17.074"</f>
        <v>06/16/2022 18:50:17.074</v>
      </c>
      <c r="C39" t="str">
        <f t="shared" si="0"/>
        <v>FFBF5BC0</v>
      </c>
      <c r="D39" t="s">
        <v>113</v>
      </c>
      <c r="E39">
        <v>8</v>
      </c>
      <c r="H39">
        <v>206</v>
      </c>
      <c r="I39" t="s">
        <v>114</v>
      </c>
      <c r="J39" t="s">
        <v>115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"18:50:16.586"</f>
        <v>18:50:16.586</v>
      </c>
      <c r="T39" t="str">
        <f>"18:50:16.586"</f>
        <v>18:50:16.586</v>
      </c>
      <c r="U39" t="str">
        <f t="shared" si="1"/>
        <v>AB63B2</v>
      </c>
      <c r="V39">
        <v>0</v>
      </c>
      <c r="W39">
        <v>0</v>
      </c>
      <c r="X39">
        <v>6</v>
      </c>
      <c r="Z39">
        <v>0</v>
      </c>
      <c r="AA39">
        <v>8</v>
      </c>
      <c r="AB39">
        <v>3</v>
      </c>
      <c r="AC39">
        <v>0</v>
      </c>
      <c r="AD39">
        <v>9</v>
      </c>
      <c r="AE39">
        <v>0</v>
      </c>
      <c r="AF39">
        <v>0</v>
      </c>
      <c r="AG39">
        <v>2</v>
      </c>
      <c r="AH39">
        <v>0</v>
      </c>
      <c r="AI39" t="s">
        <v>122</v>
      </c>
      <c r="AJ39">
        <v>41.991506000000001</v>
      </c>
      <c r="AK39" t="s">
        <v>123</v>
      </c>
      <c r="AL39">
        <v>-87.891396999999998</v>
      </c>
      <c r="AS39">
        <v>1</v>
      </c>
      <c r="AT39" t="s">
        <v>118</v>
      </c>
      <c r="AU39" t="b">
        <v>1</v>
      </c>
      <c r="AV39">
        <v>357.19</v>
      </c>
      <c r="AW39">
        <v>0.125</v>
      </c>
      <c r="AX39">
        <v>1</v>
      </c>
      <c r="AZ39">
        <v>1200</v>
      </c>
      <c r="BA39">
        <v>1</v>
      </c>
      <c r="BB39" t="str">
        <f t="shared" si="2"/>
        <v xml:space="preserve">KAP400  </v>
      </c>
      <c r="BC39">
        <v>1</v>
      </c>
      <c r="BE39">
        <v>0</v>
      </c>
      <c r="BF39">
        <v>0</v>
      </c>
      <c r="BG39">
        <v>0</v>
      </c>
      <c r="BI39">
        <v>1</v>
      </c>
      <c r="BJ39">
        <v>1</v>
      </c>
      <c r="BK39">
        <v>1</v>
      </c>
      <c r="BL39">
        <v>0</v>
      </c>
      <c r="BO39">
        <v>0</v>
      </c>
      <c r="BP39">
        <v>0</v>
      </c>
      <c r="BW39" t="str">
        <f>"18:50:16.592"</f>
        <v>18:50:16.592</v>
      </c>
      <c r="BX39" t="s">
        <v>119</v>
      </c>
      <c r="BY39" t="s">
        <v>120</v>
      </c>
      <c r="CJ39">
        <v>0</v>
      </c>
      <c r="CK39">
        <v>0</v>
      </c>
      <c r="CL39">
        <v>0</v>
      </c>
      <c r="CM39">
        <v>2</v>
      </c>
      <c r="CN39">
        <v>0</v>
      </c>
      <c r="CO39">
        <v>7</v>
      </c>
      <c r="CP39" t="s">
        <v>121</v>
      </c>
      <c r="CQ39">
        <v>581</v>
      </c>
      <c r="CR39">
        <v>0</v>
      </c>
      <c r="CW39">
        <v>12997510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</row>
    <row r="40" spans="1:113" x14ac:dyDescent="0.3">
      <c r="A40" t="str">
        <f>"06/16/2022 18:50:21.980"</f>
        <v>06/16/2022 18:50:21.980</v>
      </c>
      <c r="C40" t="str">
        <f t="shared" si="0"/>
        <v>FFBF5BC0</v>
      </c>
      <c r="D40" t="s">
        <v>113</v>
      </c>
      <c r="E40">
        <v>8</v>
      </c>
      <c r="H40">
        <v>206</v>
      </c>
      <c r="I40" t="s">
        <v>114</v>
      </c>
      <c r="J40" t="s">
        <v>115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"18:50:21.617"</f>
        <v>18:50:21.617</v>
      </c>
      <c r="T40" t="str">
        <f>"18:50:21.617"</f>
        <v>18:50:21.617</v>
      </c>
      <c r="U40" t="str">
        <f t="shared" si="1"/>
        <v>AB63B2</v>
      </c>
      <c r="V40">
        <v>0</v>
      </c>
      <c r="W40">
        <v>0</v>
      </c>
      <c r="X40">
        <v>6</v>
      </c>
      <c r="Z40">
        <v>0</v>
      </c>
      <c r="AA40">
        <v>8</v>
      </c>
      <c r="AB40">
        <v>3</v>
      </c>
      <c r="AC40">
        <v>0</v>
      </c>
      <c r="AD40">
        <v>9</v>
      </c>
      <c r="AE40">
        <v>0</v>
      </c>
      <c r="AF40">
        <v>0</v>
      </c>
      <c r="AG40">
        <v>2</v>
      </c>
      <c r="AH40">
        <v>0</v>
      </c>
      <c r="AI40" t="s">
        <v>122</v>
      </c>
      <c r="AJ40">
        <v>41.991506000000001</v>
      </c>
      <c r="AK40" t="s">
        <v>123</v>
      </c>
      <c r="AL40">
        <v>-87.891396999999998</v>
      </c>
      <c r="AS40">
        <v>1</v>
      </c>
      <c r="AT40" t="s">
        <v>118</v>
      </c>
      <c r="AU40" t="b">
        <v>1</v>
      </c>
      <c r="AV40">
        <v>357.19</v>
      </c>
      <c r="AW40">
        <v>0.125</v>
      </c>
      <c r="AX40">
        <v>1</v>
      </c>
      <c r="AZ40">
        <v>1200</v>
      </c>
      <c r="BA40">
        <v>1</v>
      </c>
      <c r="BB40" t="str">
        <f t="shared" si="2"/>
        <v xml:space="preserve">KAP400  </v>
      </c>
      <c r="BC40">
        <v>1</v>
      </c>
      <c r="BE40">
        <v>0</v>
      </c>
      <c r="BF40">
        <v>0</v>
      </c>
      <c r="BG40">
        <v>0</v>
      </c>
      <c r="BI40">
        <v>1</v>
      </c>
      <c r="BJ40">
        <v>1</v>
      </c>
      <c r="BK40">
        <v>1</v>
      </c>
      <c r="BL40">
        <v>0</v>
      </c>
      <c r="BO40">
        <v>0</v>
      </c>
      <c r="BP40">
        <v>0</v>
      </c>
      <c r="BW40" t="str">
        <f>"18:50:21.624"</f>
        <v>18:50:21.624</v>
      </c>
      <c r="BX40" t="s">
        <v>119</v>
      </c>
      <c r="BY40" t="s">
        <v>120</v>
      </c>
      <c r="CJ40">
        <v>0</v>
      </c>
      <c r="CK40">
        <v>0</v>
      </c>
      <c r="CL40">
        <v>0</v>
      </c>
      <c r="CM40">
        <v>2</v>
      </c>
      <c r="CN40">
        <v>0</v>
      </c>
      <c r="CO40">
        <v>7</v>
      </c>
      <c r="CP40" t="s">
        <v>121</v>
      </c>
      <c r="CQ40">
        <v>582</v>
      </c>
      <c r="CR40">
        <v>0</v>
      </c>
      <c r="CW40">
        <v>4089594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</row>
    <row r="41" spans="1:113" x14ac:dyDescent="0.3">
      <c r="A41" t="str">
        <f>"06/16/2022 18:50:27.058"</f>
        <v>06/16/2022 18:50:27.058</v>
      </c>
      <c r="C41" t="str">
        <f t="shared" si="0"/>
        <v>FFBF5BC0</v>
      </c>
      <c r="D41" t="s">
        <v>113</v>
      </c>
      <c r="E41">
        <v>8</v>
      </c>
      <c r="H41">
        <v>206</v>
      </c>
      <c r="I41" t="s">
        <v>114</v>
      </c>
      <c r="J41" t="s">
        <v>115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"18:50:26.813"</f>
        <v>18:50:26.813</v>
      </c>
      <c r="T41" t="str">
        <f>"18:50:26.813"</f>
        <v>18:50:26.813</v>
      </c>
      <c r="U41" t="str">
        <f t="shared" si="1"/>
        <v>AB63B2</v>
      </c>
      <c r="V41">
        <v>0</v>
      </c>
      <c r="W41">
        <v>0</v>
      </c>
      <c r="X41">
        <v>6</v>
      </c>
      <c r="Z41">
        <v>0</v>
      </c>
      <c r="AA41">
        <v>8</v>
      </c>
      <c r="AB41">
        <v>3</v>
      </c>
      <c r="AC41">
        <v>0</v>
      </c>
      <c r="AD41">
        <v>9</v>
      </c>
      <c r="AE41">
        <v>0</v>
      </c>
      <c r="AF41">
        <v>0</v>
      </c>
      <c r="AG41">
        <v>2</v>
      </c>
      <c r="AH41">
        <v>0</v>
      </c>
      <c r="AI41" t="s">
        <v>122</v>
      </c>
      <c r="AJ41">
        <v>41.991506000000001</v>
      </c>
      <c r="AK41" t="s">
        <v>123</v>
      </c>
      <c r="AL41">
        <v>-87.891396999999998</v>
      </c>
      <c r="AS41">
        <v>1</v>
      </c>
      <c r="AT41" t="s">
        <v>118</v>
      </c>
      <c r="AU41" t="b">
        <v>1</v>
      </c>
      <c r="AV41">
        <v>357.19</v>
      </c>
      <c r="AW41">
        <v>0.125</v>
      </c>
      <c r="AX41">
        <v>1</v>
      </c>
      <c r="AZ41">
        <v>1200</v>
      </c>
      <c r="BA41">
        <v>1</v>
      </c>
      <c r="BB41" t="str">
        <f t="shared" si="2"/>
        <v xml:space="preserve">KAP400  </v>
      </c>
      <c r="BC41">
        <v>1</v>
      </c>
      <c r="BE41">
        <v>0</v>
      </c>
      <c r="BF41">
        <v>0</v>
      </c>
      <c r="BG41">
        <v>0</v>
      </c>
      <c r="BI41">
        <v>1</v>
      </c>
      <c r="BJ41">
        <v>1</v>
      </c>
      <c r="BK41">
        <v>1</v>
      </c>
      <c r="BL41">
        <v>0</v>
      </c>
      <c r="BO41">
        <v>0</v>
      </c>
      <c r="BP41">
        <v>0</v>
      </c>
      <c r="BW41" t="str">
        <f>"18:50:26.818"</f>
        <v>18:50:26.818</v>
      </c>
      <c r="BX41" t="s">
        <v>119</v>
      </c>
      <c r="BY41" t="s">
        <v>120</v>
      </c>
      <c r="CJ41">
        <v>0</v>
      </c>
      <c r="CK41">
        <v>0</v>
      </c>
      <c r="CL41">
        <v>0</v>
      </c>
      <c r="CM41">
        <v>2</v>
      </c>
      <c r="CN41">
        <v>0</v>
      </c>
      <c r="CO41">
        <v>7</v>
      </c>
      <c r="CP41" t="s">
        <v>121</v>
      </c>
      <c r="CQ41">
        <v>582</v>
      </c>
      <c r="CR41">
        <v>0</v>
      </c>
      <c r="CW41">
        <v>4097764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</row>
    <row r="42" spans="1:113" x14ac:dyDescent="0.3">
      <c r="A42" t="str">
        <f>"06/16/2022 18:50:31.809"</f>
        <v>06/16/2022 18:50:31.809</v>
      </c>
      <c r="C42" t="str">
        <f t="shared" si="0"/>
        <v>FFBF5BC0</v>
      </c>
      <c r="D42" t="s">
        <v>113</v>
      </c>
      <c r="E42">
        <v>8</v>
      </c>
      <c r="H42">
        <v>206</v>
      </c>
      <c r="I42" t="s">
        <v>114</v>
      </c>
      <c r="J42" t="s">
        <v>115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"18:50:31.617"</f>
        <v>18:50:31.617</v>
      </c>
      <c r="T42" t="str">
        <f>"18:50:31.617"</f>
        <v>18:50:31.617</v>
      </c>
      <c r="U42" t="str">
        <f t="shared" si="1"/>
        <v>AB63B2</v>
      </c>
      <c r="V42">
        <v>0</v>
      </c>
      <c r="W42">
        <v>0</v>
      </c>
      <c r="X42">
        <v>6</v>
      </c>
      <c r="Z42">
        <v>0</v>
      </c>
      <c r="AA42">
        <v>8</v>
      </c>
      <c r="AB42">
        <v>3</v>
      </c>
      <c r="AC42">
        <v>0</v>
      </c>
      <c r="AD42">
        <v>9</v>
      </c>
      <c r="AE42">
        <v>0</v>
      </c>
      <c r="AF42">
        <v>0</v>
      </c>
      <c r="AG42">
        <v>2</v>
      </c>
      <c r="AH42">
        <v>0</v>
      </c>
      <c r="AI42" t="s">
        <v>122</v>
      </c>
      <c r="AJ42">
        <v>41.991506000000001</v>
      </c>
      <c r="AK42" t="s">
        <v>123</v>
      </c>
      <c r="AL42">
        <v>-87.891396999999998</v>
      </c>
      <c r="AS42">
        <v>1</v>
      </c>
      <c r="AT42" t="s">
        <v>118</v>
      </c>
      <c r="AU42" t="b">
        <v>1</v>
      </c>
      <c r="AV42">
        <v>357.19</v>
      </c>
      <c r="AW42">
        <v>0.125</v>
      </c>
      <c r="AX42">
        <v>1</v>
      </c>
      <c r="AZ42">
        <v>1200</v>
      </c>
      <c r="BA42">
        <v>1</v>
      </c>
      <c r="BB42" t="str">
        <f t="shared" si="2"/>
        <v xml:space="preserve">KAP400  </v>
      </c>
      <c r="BC42">
        <v>1</v>
      </c>
      <c r="BE42">
        <v>0</v>
      </c>
      <c r="BF42">
        <v>0</v>
      </c>
      <c r="BG42">
        <v>0</v>
      </c>
      <c r="BI42">
        <v>1</v>
      </c>
      <c r="BJ42">
        <v>1</v>
      </c>
      <c r="BK42">
        <v>1</v>
      </c>
      <c r="BL42">
        <v>0</v>
      </c>
      <c r="BO42">
        <v>0</v>
      </c>
      <c r="BP42">
        <v>0</v>
      </c>
      <c r="BW42" t="str">
        <f>"18:50:31.625"</f>
        <v>18:50:31.625</v>
      </c>
      <c r="BX42" t="s">
        <v>119</v>
      </c>
      <c r="BY42" t="s">
        <v>120</v>
      </c>
      <c r="CJ42">
        <v>0</v>
      </c>
      <c r="CK42">
        <v>0</v>
      </c>
      <c r="CL42">
        <v>0</v>
      </c>
      <c r="CM42">
        <v>2</v>
      </c>
      <c r="CN42">
        <v>0</v>
      </c>
      <c r="CO42">
        <v>7</v>
      </c>
      <c r="CP42" t="s">
        <v>121</v>
      </c>
      <c r="CQ42">
        <v>581</v>
      </c>
      <c r="CR42">
        <v>0</v>
      </c>
      <c r="CW42">
        <v>13023488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</row>
    <row r="43" spans="1:113" x14ac:dyDescent="0.3">
      <c r="A43" t="str">
        <f>"06/16/2022 18:50:36.716"</f>
        <v>06/16/2022 18:50:36.716</v>
      </c>
      <c r="C43" t="str">
        <f t="shared" si="0"/>
        <v>FFBF5BC0</v>
      </c>
      <c r="D43" t="s">
        <v>113</v>
      </c>
      <c r="E43">
        <v>8</v>
      </c>
      <c r="H43">
        <v>206</v>
      </c>
      <c r="I43" t="s">
        <v>114</v>
      </c>
      <c r="J43" t="s">
        <v>115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"18:50:36.492"</f>
        <v>18:50:36.492</v>
      </c>
      <c r="T43" t="str">
        <f>"18:50:36.492"</f>
        <v>18:50:36.492</v>
      </c>
      <c r="U43" t="str">
        <f t="shared" si="1"/>
        <v>AB63B2</v>
      </c>
      <c r="V43">
        <v>0</v>
      </c>
      <c r="W43">
        <v>0</v>
      </c>
      <c r="X43">
        <v>6</v>
      </c>
      <c r="Z43">
        <v>0</v>
      </c>
      <c r="AA43">
        <v>8</v>
      </c>
      <c r="AB43">
        <v>3</v>
      </c>
      <c r="AC43">
        <v>0</v>
      </c>
      <c r="AD43">
        <v>9</v>
      </c>
      <c r="AE43">
        <v>0</v>
      </c>
      <c r="AF43">
        <v>0</v>
      </c>
      <c r="AG43">
        <v>2</v>
      </c>
      <c r="AH43">
        <v>0</v>
      </c>
      <c r="AI43" t="s">
        <v>122</v>
      </c>
      <c r="AJ43">
        <v>41.991506000000001</v>
      </c>
      <c r="AK43" t="s">
        <v>123</v>
      </c>
      <c r="AL43">
        <v>-87.891396999999998</v>
      </c>
      <c r="AS43">
        <v>1</v>
      </c>
      <c r="AT43" t="s">
        <v>118</v>
      </c>
      <c r="AU43" t="b">
        <v>1</v>
      </c>
      <c r="AV43">
        <v>357.19</v>
      </c>
      <c r="AW43">
        <v>0.125</v>
      </c>
      <c r="AX43">
        <v>1</v>
      </c>
      <c r="AZ43">
        <v>1200</v>
      </c>
      <c r="BA43">
        <v>1</v>
      </c>
      <c r="BB43" t="str">
        <f t="shared" si="2"/>
        <v xml:space="preserve">KAP400  </v>
      </c>
      <c r="BC43">
        <v>1</v>
      </c>
      <c r="BE43">
        <v>0</v>
      </c>
      <c r="BF43">
        <v>0</v>
      </c>
      <c r="BG43">
        <v>0</v>
      </c>
      <c r="BI43">
        <v>1</v>
      </c>
      <c r="BJ43">
        <v>1</v>
      </c>
      <c r="BK43">
        <v>1</v>
      </c>
      <c r="BL43">
        <v>0</v>
      </c>
      <c r="BO43">
        <v>0</v>
      </c>
      <c r="BP43">
        <v>0</v>
      </c>
      <c r="BW43" t="str">
        <f>"18:50:36.493"</f>
        <v>18:50:36.493</v>
      </c>
      <c r="BX43" t="s">
        <v>119</v>
      </c>
      <c r="BY43" t="s">
        <v>120</v>
      </c>
      <c r="CJ43">
        <v>0</v>
      </c>
      <c r="CK43">
        <v>0</v>
      </c>
      <c r="CL43">
        <v>0</v>
      </c>
      <c r="CM43">
        <v>2</v>
      </c>
      <c r="CN43">
        <v>0</v>
      </c>
      <c r="CO43">
        <v>7</v>
      </c>
      <c r="CP43" t="s">
        <v>121</v>
      </c>
      <c r="CQ43">
        <v>582</v>
      </c>
      <c r="CR43">
        <v>0</v>
      </c>
      <c r="CW43">
        <v>4113169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</row>
    <row r="44" spans="1:113" x14ac:dyDescent="0.3">
      <c r="A44" t="str">
        <f>"06/16/2022 18:50:41.827"</f>
        <v>06/16/2022 18:50:41.827</v>
      </c>
      <c r="C44" t="str">
        <f t="shared" si="0"/>
        <v>FFBF5BC0</v>
      </c>
      <c r="D44" t="s">
        <v>113</v>
      </c>
      <c r="E44">
        <v>8</v>
      </c>
      <c r="H44">
        <v>206</v>
      </c>
      <c r="I44" t="s">
        <v>114</v>
      </c>
      <c r="J44" t="s">
        <v>115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"18:50:41.500"</f>
        <v>18:50:41.500</v>
      </c>
      <c r="T44" t="str">
        <f>"18:50:41.500"</f>
        <v>18:50:41.500</v>
      </c>
      <c r="U44" t="str">
        <f t="shared" si="1"/>
        <v>AB63B2</v>
      </c>
      <c r="V44">
        <v>0</v>
      </c>
      <c r="W44">
        <v>0</v>
      </c>
      <c r="X44">
        <v>6</v>
      </c>
      <c r="Z44">
        <v>0</v>
      </c>
      <c r="AA44">
        <v>8</v>
      </c>
      <c r="AB44">
        <v>3</v>
      </c>
      <c r="AC44">
        <v>0</v>
      </c>
      <c r="AD44">
        <v>9</v>
      </c>
      <c r="AE44">
        <v>0</v>
      </c>
      <c r="AF44">
        <v>0</v>
      </c>
      <c r="AG44">
        <v>2</v>
      </c>
      <c r="AH44">
        <v>0</v>
      </c>
      <c r="AI44" t="s">
        <v>122</v>
      </c>
      <c r="AJ44">
        <v>41.991506000000001</v>
      </c>
      <c r="AK44" t="s">
        <v>123</v>
      </c>
      <c r="AL44">
        <v>-87.891396999999998</v>
      </c>
      <c r="AS44">
        <v>1</v>
      </c>
      <c r="AT44" t="s">
        <v>118</v>
      </c>
      <c r="AU44" t="b">
        <v>1</v>
      </c>
      <c r="AV44">
        <v>357.19</v>
      </c>
      <c r="AW44">
        <v>0.125</v>
      </c>
      <c r="AX44">
        <v>1</v>
      </c>
      <c r="AZ44">
        <v>1200</v>
      </c>
      <c r="BA44">
        <v>1</v>
      </c>
      <c r="BB44" t="str">
        <f t="shared" si="2"/>
        <v xml:space="preserve">KAP400  </v>
      </c>
      <c r="BC44">
        <v>1</v>
      </c>
      <c r="BE44">
        <v>0</v>
      </c>
      <c r="BF44">
        <v>0</v>
      </c>
      <c r="BG44">
        <v>0</v>
      </c>
      <c r="BI44">
        <v>1</v>
      </c>
      <c r="BJ44">
        <v>1</v>
      </c>
      <c r="BK44">
        <v>1</v>
      </c>
      <c r="BL44">
        <v>0</v>
      </c>
      <c r="BO44">
        <v>0</v>
      </c>
      <c r="BP44">
        <v>0</v>
      </c>
      <c r="BW44" t="str">
        <f>"18:50:41.506"</f>
        <v>18:50:41.506</v>
      </c>
      <c r="BX44" t="s">
        <v>119</v>
      </c>
      <c r="BY44" t="s">
        <v>120</v>
      </c>
      <c r="CJ44">
        <v>0</v>
      </c>
      <c r="CK44">
        <v>0</v>
      </c>
      <c r="CL44">
        <v>0</v>
      </c>
      <c r="CM44">
        <v>2</v>
      </c>
      <c r="CN44">
        <v>0</v>
      </c>
      <c r="CO44">
        <v>7</v>
      </c>
      <c r="CP44" t="s">
        <v>121</v>
      </c>
      <c r="CQ44">
        <v>579</v>
      </c>
      <c r="CR44">
        <v>0</v>
      </c>
      <c r="CW44">
        <v>15361517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</row>
    <row r="45" spans="1:113" x14ac:dyDescent="0.3">
      <c r="A45" t="str">
        <f>"06/16/2022 18:50:46.717"</f>
        <v>06/16/2022 18:50:46.717</v>
      </c>
      <c r="C45" t="str">
        <f t="shared" si="0"/>
        <v>FFBF5BC0</v>
      </c>
      <c r="D45" t="s">
        <v>113</v>
      </c>
      <c r="E45">
        <v>8</v>
      </c>
      <c r="H45">
        <v>206</v>
      </c>
      <c r="I45" t="s">
        <v>114</v>
      </c>
      <c r="J45" t="s">
        <v>115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"18:50:46.438"</f>
        <v>18:50:46.438</v>
      </c>
      <c r="T45" t="str">
        <f>"18:50:46.438"</f>
        <v>18:50:46.438</v>
      </c>
      <c r="U45" t="str">
        <f t="shared" si="1"/>
        <v>AB63B2</v>
      </c>
      <c r="V45">
        <v>0</v>
      </c>
      <c r="W45">
        <v>0</v>
      </c>
      <c r="X45">
        <v>6</v>
      </c>
      <c r="Z45">
        <v>0</v>
      </c>
      <c r="AA45">
        <v>8</v>
      </c>
      <c r="AB45">
        <v>3</v>
      </c>
      <c r="AC45">
        <v>0</v>
      </c>
      <c r="AD45">
        <v>9</v>
      </c>
      <c r="AE45">
        <v>0</v>
      </c>
      <c r="AF45">
        <v>0</v>
      </c>
      <c r="AG45">
        <v>2</v>
      </c>
      <c r="AH45">
        <v>0</v>
      </c>
      <c r="AI45" t="s">
        <v>122</v>
      </c>
      <c r="AJ45">
        <v>41.991506000000001</v>
      </c>
      <c r="AK45" t="s">
        <v>123</v>
      </c>
      <c r="AL45">
        <v>-87.891396999999998</v>
      </c>
      <c r="AS45">
        <v>1</v>
      </c>
      <c r="AT45" t="s">
        <v>118</v>
      </c>
      <c r="AU45" t="b">
        <v>1</v>
      </c>
      <c r="AV45">
        <v>357.19</v>
      </c>
      <c r="AW45">
        <v>0.125</v>
      </c>
      <c r="AX45">
        <v>1</v>
      </c>
      <c r="AZ45">
        <v>1200</v>
      </c>
      <c r="BA45">
        <v>1</v>
      </c>
      <c r="BB45" t="str">
        <f t="shared" si="2"/>
        <v xml:space="preserve">KAP400  </v>
      </c>
      <c r="BC45">
        <v>1</v>
      </c>
      <c r="BE45">
        <v>0</v>
      </c>
      <c r="BF45">
        <v>0</v>
      </c>
      <c r="BG45">
        <v>0</v>
      </c>
      <c r="BI45">
        <v>1</v>
      </c>
      <c r="BJ45">
        <v>1</v>
      </c>
      <c r="BK45">
        <v>1</v>
      </c>
      <c r="BL45">
        <v>0</v>
      </c>
      <c r="BO45">
        <v>0</v>
      </c>
      <c r="BP45">
        <v>0</v>
      </c>
      <c r="BW45" t="str">
        <f>"18:50:46.444"</f>
        <v>18:50:46.444</v>
      </c>
      <c r="BX45" t="s">
        <v>119</v>
      </c>
      <c r="BY45" t="s">
        <v>120</v>
      </c>
      <c r="CJ45">
        <v>0</v>
      </c>
      <c r="CK45">
        <v>0</v>
      </c>
      <c r="CL45">
        <v>0</v>
      </c>
      <c r="CM45">
        <v>2</v>
      </c>
      <c r="CN45">
        <v>0</v>
      </c>
      <c r="CO45">
        <v>7</v>
      </c>
      <c r="CP45" t="s">
        <v>121</v>
      </c>
      <c r="CQ45">
        <v>581</v>
      </c>
      <c r="CR45">
        <v>0</v>
      </c>
      <c r="CW45">
        <v>13049402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</row>
    <row r="46" spans="1:113" x14ac:dyDescent="0.3">
      <c r="A46" t="str">
        <f>"06/16/2022 18:50:51.901"</f>
        <v>06/16/2022 18:50:51.901</v>
      </c>
      <c r="C46" t="str">
        <f t="shared" si="0"/>
        <v>FFBF5BC0</v>
      </c>
      <c r="D46" t="s">
        <v>113</v>
      </c>
      <c r="E46">
        <v>8</v>
      </c>
      <c r="H46">
        <v>206</v>
      </c>
      <c r="I46" t="s">
        <v>114</v>
      </c>
      <c r="J46" t="s">
        <v>115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"18:50:51.609"</f>
        <v>18:50:51.609</v>
      </c>
      <c r="T46" t="str">
        <f>"18:50:51.609"</f>
        <v>18:50:51.609</v>
      </c>
      <c r="U46" t="str">
        <f t="shared" si="1"/>
        <v>AB63B2</v>
      </c>
      <c r="V46">
        <v>0</v>
      </c>
      <c r="W46">
        <v>0</v>
      </c>
      <c r="X46">
        <v>6</v>
      </c>
      <c r="Z46">
        <v>0</v>
      </c>
      <c r="AA46">
        <v>8</v>
      </c>
      <c r="AB46">
        <v>3</v>
      </c>
      <c r="AC46">
        <v>0</v>
      </c>
      <c r="AD46">
        <v>9</v>
      </c>
      <c r="AE46">
        <v>0</v>
      </c>
      <c r="AF46">
        <v>0</v>
      </c>
      <c r="AG46">
        <v>2</v>
      </c>
      <c r="AH46">
        <v>0</v>
      </c>
      <c r="AI46" t="s">
        <v>122</v>
      </c>
      <c r="AJ46">
        <v>41.991506000000001</v>
      </c>
      <c r="AK46" t="s">
        <v>123</v>
      </c>
      <c r="AL46">
        <v>-87.891396999999998</v>
      </c>
      <c r="AS46">
        <v>1</v>
      </c>
      <c r="AT46" t="s">
        <v>118</v>
      </c>
      <c r="AU46" t="b">
        <v>1</v>
      </c>
      <c r="AV46">
        <v>357.19</v>
      </c>
      <c r="AW46">
        <v>0.125</v>
      </c>
      <c r="AX46">
        <v>1</v>
      </c>
      <c r="AZ46">
        <v>1200</v>
      </c>
      <c r="BA46">
        <v>1</v>
      </c>
      <c r="BB46" t="str">
        <f t="shared" si="2"/>
        <v xml:space="preserve">KAP400  </v>
      </c>
      <c r="BC46">
        <v>1</v>
      </c>
      <c r="BE46">
        <v>0</v>
      </c>
      <c r="BF46">
        <v>0</v>
      </c>
      <c r="BG46">
        <v>0</v>
      </c>
      <c r="BI46">
        <v>1</v>
      </c>
      <c r="BJ46">
        <v>1</v>
      </c>
      <c r="BK46">
        <v>1</v>
      </c>
      <c r="BL46">
        <v>0</v>
      </c>
      <c r="BO46">
        <v>0</v>
      </c>
      <c r="BP46">
        <v>0</v>
      </c>
      <c r="BW46" t="str">
        <f>"18:50:51.615"</f>
        <v>18:50:51.615</v>
      </c>
      <c r="BX46" t="s">
        <v>119</v>
      </c>
      <c r="BY46" t="s">
        <v>120</v>
      </c>
      <c r="CJ46">
        <v>0</v>
      </c>
      <c r="CK46">
        <v>0</v>
      </c>
      <c r="CL46">
        <v>0</v>
      </c>
      <c r="CM46">
        <v>2</v>
      </c>
      <c r="CN46">
        <v>0</v>
      </c>
      <c r="CO46">
        <v>7</v>
      </c>
      <c r="CP46" t="s">
        <v>121</v>
      </c>
      <c r="CQ46">
        <v>581</v>
      </c>
      <c r="CR46">
        <v>0</v>
      </c>
      <c r="CW46">
        <v>13058334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</row>
    <row r="47" spans="1:113" x14ac:dyDescent="0.3">
      <c r="A47" t="str">
        <f>"06/16/2022 18:50:57.027"</f>
        <v>06/16/2022 18:50:57.027</v>
      </c>
      <c r="C47" t="str">
        <f t="shared" si="0"/>
        <v>FFBF5BC0</v>
      </c>
      <c r="D47" t="s">
        <v>113</v>
      </c>
      <c r="E47">
        <v>8</v>
      </c>
      <c r="H47">
        <v>206</v>
      </c>
      <c r="I47" t="s">
        <v>114</v>
      </c>
      <c r="J47" t="s">
        <v>115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>"18:50:56.766"</f>
        <v>18:50:56.766</v>
      </c>
      <c r="T47" t="str">
        <f>"18:50:56.766"</f>
        <v>18:50:56.766</v>
      </c>
      <c r="U47" t="str">
        <f t="shared" si="1"/>
        <v>AB63B2</v>
      </c>
      <c r="V47">
        <v>0</v>
      </c>
      <c r="W47">
        <v>0</v>
      </c>
      <c r="X47">
        <v>6</v>
      </c>
      <c r="Z47">
        <v>0</v>
      </c>
      <c r="AA47">
        <v>8</v>
      </c>
      <c r="AB47">
        <v>3</v>
      </c>
      <c r="AC47">
        <v>0</v>
      </c>
      <c r="AD47">
        <v>9</v>
      </c>
      <c r="AE47">
        <v>0</v>
      </c>
      <c r="AF47">
        <v>0</v>
      </c>
      <c r="AG47">
        <v>2</v>
      </c>
      <c r="AH47">
        <v>0</v>
      </c>
      <c r="AI47" t="s">
        <v>122</v>
      </c>
      <c r="AJ47">
        <v>41.991506000000001</v>
      </c>
      <c r="AK47" t="s">
        <v>123</v>
      </c>
      <c r="AL47">
        <v>-87.891396999999998</v>
      </c>
      <c r="AS47">
        <v>1</v>
      </c>
      <c r="AT47" t="s">
        <v>118</v>
      </c>
      <c r="AU47" t="b">
        <v>1</v>
      </c>
      <c r="AV47">
        <v>357.19</v>
      </c>
      <c r="AW47">
        <v>0.125</v>
      </c>
      <c r="AX47">
        <v>1</v>
      </c>
      <c r="AZ47">
        <v>1200</v>
      </c>
      <c r="BA47">
        <v>1</v>
      </c>
      <c r="BB47" t="str">
        <f t="shared" si="2"/>
        <v xml:space="preserve">KAP400  </v>
      </c>
      <c r="BC47">
        <v>1</v>
      </c>
      <c r="BE47">
        <v>0</v>
      </c>
      <c r="BF47">
        <v>0</v>
      </c>
      <c r="BG47">
        <v>0</v>
      </c>
      <c r="BI47">
        <v>1</v>
      </c>
      <c r="BJ47">
        <v>1</v>
      </c>
      <c r="BK47">
        <v>1</v>
      </c>
      <c r="BL47">
        <v>0</v>
      </c>
      <c r="BO47">
        <v>0</v>
      </c>
      <c r="BP47">
        <v>0</v>
      </c>
      <c r="BW47" t="str">
        <f>"18:50:56.768"</f>
        <v>18:50:56.768</v>
      </c>
      <c r="BX47" t="s">
        <v>119</v>
      </c>
      <c r="BY47" t="s">
        <v>120</v>
      </c>
      <c r="CJ47">
        <v>0</v>
      </c>
      <c r="CK47">
        <v>0</v>
      </c>
      <c r="CL47">
        <v>0</v>
      </c>
      <c r="CM47">
        <v>2</v>
      </c>
      <c r="CN47">
        <v>0</v>
      </c>
      <c r="CO47">
        <v>7</v>
      </c>
      <c r="CP47" t="s">
        <v>121</v>
      </c>
      <c r="CQ47">
        <v>582</v>
      </c>
      <c r="CR47">
        <v>0</v>
      </c>
      <c r="CW47">
        <v>4145855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</row>
    <row r="48" spans="1:113" x14ac:dyDescent="0.3">
      <c r="A48" t="str">
        <f>"06/16/2022 18:51:01.809"</f>
        <v>06/16/2022 18:51:01.809</v>
      </c>
      <c r="C48" t="str">
        <f t="shared" si="0"/>
        <v>FFBF5BC0</v>
      </c>
      <c r="D48" t="s">
        <v>113</v>
      </c>
      <c r="E48">
        <v>8</v>
      </c>
      <c r="H48">
        <v>206</v>
      </c>
      <c r="I48" t="s">
        <v>114</v>
      </c>
      <c r="J48" t="s">
        <v>115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"18:51:01.594"</f>
        <v>18:51:01.594</v>
      </c>
      <c r="T48" t="str">
        <f>"18:51:01.594"</f>
        <v>18:51:01.594</v>
      </c>
      <c r="U48" t="str">
        <f t="shared" si="1"/>
        <v>AB63B2</v>
      </c>
      <c r="V48">
        <v>0</v>
      </c>
      <c r="W48">
        <v>0</v>
      </c>
      <c r="X48">
        <v>6</v>
      </c>
      <c r="Z48">
        <v>0</v>
      </c>
      <c r="AA48">
        <v>8</v>
      </c>
      <c r="AB48">
        <v>3</v>
      </c>
      <c r="AC48">
        <v>0</v>
      </c>
      <c r="AD48">
        <v>9</v>
      </c>
      <c r="AE48">
        <v>0</v>
      </c>
      <c r="AF48">
        <v>0</v>
      </c>
      <c r="AG48">
        <v>2</v>
      </c>
      <c r="AH48">
        <v>0</v>
      </c>
      <c r="AI48" t="s">
        <v>122</v>
      </c>
      <c r="AJ48">
        <v>41.991506000000001</v>
      </c>
      <c r="AK48" t="s">
        <v>123</v>
      </c>
      <c r="AL48">
        <v>-87.891396999999998</v>
      </c>
      <c r="AS48">
        <v>1</v>
      </c>
      <c r="AT48" t="s">
        <v>118</v>
      </c>
      <c r="AU48" t="b">
        <v>1</v>
      </c>
      <c r="AV48">
        <v>357.19</v>
      </c>
      <c r="AW48">
        <v>0.125</v>
      </c>
      <c r="AX48">
        <v>1</v>
      </c>
      <c r="AZ48">
        <v>1200</v>
      </c>
      <c r="BA48">
        <v>1</v>
      </c>
      <c r="BB48" t="str">
        <f t="shared" si="2"/>
        <v xml:space="preserve">KAP400  </v>
      </c>
      <c r="BC48">
        <v>1</v>
      </c>
      <c r="BE48">
        <v>0</v>
      </c>
      <c r="BF48">
        <v>0</v>
      </c>
      <c r="BG48">
        <v>0</v>
      </c>
      <c r="BI48">
        <v>1</v>
      </c>
      <c r="BJ48">
        <v>1</v>
      </c>
      <c r="BK48">
        <v>1</v>
      </c>
      <c r="BL48">
        <v>0</v>
      </c>
      <c r="BO48">
        <v>0</v>
      </c>
      <c r="BP48">
        <v>0</v>
      </c>
      <c r="BW48" t="str">
        <f>"18:51:01.600"</f>
        <v>18:51:01.600</v>
      </c>
      <c r="BX48" t="s">
        <v>119</v>
      </c>
      <c r="BY48" t="s">
        <v>120</v>
      </c>
      <c r="CJ48">
        <v>0</v>
      </c>
      <c r="CK48">
        <v>0</v>
      </c>
      <c r="CL48">
        <v>0</v>
      </c>
      <c r="CM48">
        <v>2</v>
      </c>
      <c r="CN48">
        <v>0</v>
      </c>
      <c r="CO48">
        <v>7</v>
      </c>
      <c r="CP48" t="s">
        <v>121</v>
      </c>
      <c r="CQ48">
        <v>581</v>
      </c>
      <c r="CR48">
        <v>0</v>
      </c>
      <c r="CW48">
        <v>13075884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</row>
    <row r="49" spans="1:113" x14ac:dyDescent="0.3">
      <c r="A49" t="str">
        <f>"06/16/2022 18:51:06.965"</f>
        <v>06/16/2022 18:51:06.965</v>
      </c>
      <c r="C49" t="str">
        <f t="shared" si="0"/>
        <v>FFBF5BC0</v>
      </c>
      <c r="D49" t="s">
        <v>113</v>
      </c>
      <c r="E49">
        <v>8</v>
      </c>
      <c r="H49">
        <v>206</v>
      </c>
      <c r="I49" t="s">
        <v>114</v>
      </c>
      <c r="J49" t="s">
        <v>115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"18:51:06.695"</f>
        <v>18:51:06.695</v>
      </c>
      <c r="T49" t="str">
        <f>"18:51:06.695"</f>
        <v>18:51:06.695</v>
      </c>
      <c r="U49" t="str">
        <f t="shared" si="1"/>
        <v>AB63B2</v>
      </c>
      <c r="V49">
        <v>0</v>
      </c>
      <c r="W49">
        <v>0</v>
      </c>
      <c r="X49">
        <v>6</v>
      </c>
      <c r="Z49">
        <v>0</v>
      </c>
      <c r="AA49">
        <v>8</v>
      </c>
      <c r="AB49">
        <v>3</v>
      </c>
      <c r="AC49">
        <v>0</v>
      </c>
      <c r="AD49">
        <v>9</v>
      </c>
      <c r="AE49">
        <v>0</v>
      </c>
      <c r="AF49">
        <v>0</v>
      </c>
      <c r="AG49">
        <v>2</v>
      </c>
      <c r="AH49">
        <v>0</v>
      </c>
      <c r="AI49" t="s">
        <v>122</v>
      </c>
      <c r="AJ49">
        <v>41.991506000000001</v>
      </c>
      <c r="AK49" t="s">
        <v>123</v>
      </c>
      <c r="AL49">
        <v>-87.891396999999998</v>
      </c>
      <c r="AS49">
        <v>1</v>
      </c>
      <c r="AT49" t="s">
        <v>118</v>
      </c>
      <c r="AU49" t="b">
        <v>1</v>
      </c>
      <c r="AV49">
        <v>357.19</v>
      </c>
      <c r="AW49">
        <v>0.125</v>
      </c>
      <c r="AX49">
        <v>1</v>
      </c>
      <c r="AZ49">
        <v>1200</v>
      </c>
      <c r="BA49">
        <v>1</v>
      </c>
      <c r="BB49" t="str">
        <f t="shared" si="2"/>
        <v xml:space="preserve">KAP400  </v>
      </c>
      <c r="BC49">
        <v>1</v>
      </c>
      <c r="BE49">
        <v>0</v>
      </c>
      <c r="BF49">
        <v>0</v>
      </c>
      <c r="BG49">
        <v>0</v>
      </c>
      <c r="BI49">
        <v>1</v>
      </c>
      <c r="BJ49">
        <v>1</v>
      </c>
      <c r="BK49">
        <v>1</v>
      </c>
      <c r="BL49">
        <v>0</v>
      </c>
      <c r="BO49">
        <v>0</v>
      </c>
      <c r="BP49">
        <v>0</v>
      </c>
      <c r="BW49" t="str">
        <f>"18:51:06.702"</f>
        <v>18:51:06.702</v>
      </c>
      <c r="BX49" t="s">
        <v>119</v>
      </c>
      <c r="BY49" t="s">
        <v>120</v>
      </c>
      <c r="CJ49">
        <v>0</v>
      </c>
      <c r="CK49">
        <v>0</v>
      </c>
      <c r="CL49">
        <v>0</v>
      </c>
      <c r="CM49">
        <v>2</v>
      </c>
      <c r="CN49">
        <v>0</v>
      </c>
      <c r="CO49">
        <v>7</v>
      </c>
      <c r="CP49" t="s">
        <v>121</v>
      </c>
      <c r="CQ49">
        <v>582</v>
      </c>
      <c r="CR49">
        <v>0</v>
      </c>
      <c r="CW49">
        <v>4162045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</row>
    <row r="50" spans="1:113" x14ac:dyDescent="0.3">
      <c r="A50" t="str">
        <f>"06/16/2022 18:51:12.058"</f>
        <v>06/16/2022 18:51:12.058</v>
      </c>
      <c r="C50" t="str">
        <f t="shared" si="0"/>
        <v>FFBF5BC0</v>
      </c>
      <c r="D50" t="s">
        <v>113</v>
      </c>
      <c r="E50">
        <v>8</v>
      </c>
      <c r="H50">
        <v>206</v>
      </c>
      <c r="I50" t="s">
        <v>114</v>
      </c>
      <c r="J50" t="s">
        <v>115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>"18:51:11.820"</f>
        <v>18:51:11.820</v>
      </c>
      <c r="T50" t="str">
        <f>"18:51:11.820"</f>
        <v>18:51:11.820</v>
      </c>
      <c r="U50" t="str">
        <f t="shared" si="1"/>
        <v>AB63B2</v>
      </c>
      <c r="V50">
        <v>0</v>
      </c>
      <c r="W50">
        <v>0</v>
      </c>
      <c r="X50">
        <v>6</v>
      </c>
      <c r="Z50">
        <v>0</v>
      </c>
      <c r="AA50">
        <v>8</v>
      </c>
      <c r="AB50">
        <v>3</v>
      </c>
      <c r="AC50">
        <v>0</v>
      </c>
      <c r="AD50">
        <v>9</v>
      </c>
      <c r="AE50">
        <v>0</v>
      </c>
      <c r="AF50">
        <v>0</v>
      </c>
      <c r="AG50">
        <v>2</v>
      </c>
      <c r="AH50">
        <v>0</v>
      </c>
      <c r="AI50" t="s">
        <v>122</v>
      </c>
      <c r="AJ50">
        <v>41.991506000000001</v>
      </c>
      <c r="AK50" t="s">
        <v>123</v>
      </c>
      <c r="AL50">
        <v>-87.891396999999998</v>
      </c>
      <c r="AS50">
        <v>1</v>
      </c>
      <c r="AT50" t="s">
        <v>118</v>
      </c>
      <c r="AU50" t="b">
        <v>1</v>
      </c>
      <c r="AV50">
        <v>357.19</v>
      </c>
      <c r="AW50">
        <v>0.125</v>
      </c>
      <c r="AX50">
        <v>1</v>
      </c>
      <c r="AZ50">
        <v>1200</v>
      </c>
      <c r="BA50">
        <v>1</v>
      </c>
      <c r="BB50" t="str">
        <f t="shared" si="2"/>
        <v xml:space="preserve">KAP400  </v>
      </c>
      <c r="BC50">
        <v>1</v>
      </c>
      <c r="BE50">
        <v>0</v>
      </c>
      <c r="BF50">
        <v>0</v>
      </c>
      <c r="BG50">
        <v>0</v>
      </c>
      <c r="BI50">
        <v>1</v>
      </c>
      <c r="BJ50">
        <v>1</v>
      </c>
      <c r="BK50">
        <v>1</v>
      </c>
      <c r="BL50">
        <v>0</v>
      </c>
      <c r="BO50">
        <v>0</v>
      </c>
      <c r="BP50">
        <v>0</v>
      </c>
      <c r="BW50" t="str">
        <f>"18:51:11.824"</f>
        <v>18:51:11.824</v>
      </c>
      <c r="BX50" t="s">
        <v>119</v>
      </c>
      <c r="BY50" t="s">
        <v>120</v>
      </c>
      <c r="CJ50">
        <v>0</v>
      </c>
      <c r="CK50">
        <v>0</v>
      </c>
      <c r="CL50">
        <v>0</v>
      </c>
      <c r="CM50">
        <v>2</v>
      </c>
      <c r="CN50">
        <v>0</v>
      </c>
      <c r="CO50">
        <v>7</v>
      </c>
      <c r="CP50" t="s">
        <v>121</v>
      </c>
      <c r="CQ50">
        <v>581</v>
      </c>
      <c r="CR50">
        <v>0</v>
      </c>
      <c r="CW50">
        <v>13094008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</row>
    <row r="51" spans="1:113" x14ac:dyDescent="0.3">
      <c r="A51" t="str">
        <f>"06/16/2022 18:51:16.934"</f>
        <v>06/16/2022 18:51:16.934</v>
      </c>
      <c r="C51" t="str">
        <f t="shared" si="0"/>
        <v>FFBF5BC0</v>
      </c>
      <c r="D51" t="s">
        <v>113</v>
      </c>
      <c r="E51">
        <v>8</v>
      </c>
      <c r="H51">
        <v>206</v>
      </c>
      <c r="I51" t="s">
        <v>114</v>
      </c>
      <c r="J51" t="s">
        <v>115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"18:51:16.633"</f>
        <v>18:51:16.633</v>
      </c>
      <c r="T51" t="str">
        <f>"18:51:16.633"</f>
        <v>18:51:16.633</v>
      </c>
      <c r="U51" t="str">
        <f t="shared" si="1"/>
        <v>AB63B2</v>
      </c>
      <c r="V51">
        <v>0</v>
      </c>
      <c r="W51">
        <v>0</v>
      </c>
      <c r="X51">
        <v>6</v>
      </c>
      <c r="Z51">
        <v>0</v>
      </c>
      <c r="AA51">
        <v>8</v>
      </c>
      <c r="AB51">
        <v>3</v>
      </c>
      <c r="AC51">
        <v>0</v>
      </c>
      <c r="AD51">
        <v>9</v>
      </c>
      <c r="AE51">
        <v>0</v>
      </c>
      <c r="AF51">
        <v>0</v>
      </c>
      <c r="AG51">
        <v>2</v>
      </c>
      <c r="AH51">
        <v>0</v>
      </c>
      <c r="AI51" t="s">
        <v>122</v>
      </c>
      <c r="AJ51">
        <v>41.991506000000001</v>
      </c>
      <c r="AK51" t="s">
        <v>123</v>
      </c>
      <c r="AL51">
        <v>-87.891396999999998</v>
      </c>
      <c r="AS51">
        <v>1</v>
      </c>
      <c r="AT51" t="s">
        <v>118</v>
      </c>
      <c r="AU51" t="b">
        <v>1</v>
      </c>
      <c r="AV51">
        <v>357.19</v>
      </c>
      <c r="AW51">
        <v>0.125</v>
      </c>
      <c r="AX51">
        <v>1</v>
      </c>
      <c r="AZ51">
        <v>1200</v>
      </c>
      <c r="BA51">
        <v>1</v>
      </c>
      <c r="BB51" t="str">
        <f t="shared" si="2"/>
        <v xml:space="preserve">KAP400  </v>
      </c>
      <c r="BC51">
        <v>1</v>
      </c>
      <c r="BE51">
        <v>0</v>
      </c>
      <c r="BF51">
        <v>0</v>
      </c>
      <c r="BG51">
        <v>0</v>
      </c>
      <c r="BI51">
        <v>1</v>
      </c>
      <c r="BJ51">
        <v>1</v>
      </c>
      <c r="BK51">
        <v>1</v>
      </c>
      <c r="BL51">
        <v>0</v>
      </c>
      <c r="BO51">
        <v>0</v>
      </c>
      <c r="BP51">
        <v>0</v>
      </c>
      <c r="BW51" t="str">
        <f>"18:51:16.636"</f>
        <v>18:51:16.636</v>
      </c>
      <c r="BX51" t="s">
        <v>119</v>
      </c>
      <c r="BY51" t="s">
        <v>120</v>
      </c>
      <c r="CJ51">
        <v>0</v>
      </c>
      <c r="CK51">
        <v>0</v>
      </c>
      <c r="CL51">
        <v>0</v>
      </c>
      <c r="CM51">
        <v>2</v>
      </c>
      <c r="CN51">
        <v>0</v>
      </c>
      <c r="CO51">
        <v>7</v>
      </c>
      <c r="CP51" t="s">
        <v>121</v>
      </c>
      <c r="CQ51">
        <v>582</v>
      </c>
      <c r="CR51">
        <v>0</v>
      </c>
      <c r="CW51">
        <v>4178354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</row>
    <row r="52" spans="1:113" x14ac:dyDescent="0.3">
      <c r="A52" t="str">
        <f>"06/16/2022 18:51:21.830"</f>
        <v>06/16/2022 18:51:21.830</v>
      </c>
      <c r="C52" t="str">
        <f t="shared" si="0"/>
        <v>FFBF5BC0</v>
      </c>
      <c r="D52" t="s">
        <v>113</v>
      </c>
      <c r="E52">
        <v>8</v>
      </c>
      <c r="H52">
        <v>206</v>
      </c>
      <c r="I52" t="s">
        <v>114</v>
      </c>
      <c r="J52" t="s">
        <v>115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"18:51:21.492"</f>
        <v>18:51:21.492</v>
      </c>
      <c r="T52" t="str">
        <f>"18:51:21.492"</f>
        <v>18:51:21.492</v>
      </c>
      <c r="U52" t="str">
        <f t="shared" si="1"/>
        <v>AB63B2</v>
      </c>
      <c r="V52">
        <v>0</v>
      </c>
      <c r="W52">
        <v>0</v>
      </c>
      <c r="X52">
        <v>6</v>
      </c>
      <c r="Z52">
        <v>0</v>
      </c>
      <c r="AA52">
        <v>8</v>
      </c>
      <c r="AB52">
        <v>3</v>
      </c>
      <c r="AC52">
        <v>0</v>
      </c>
      <c r="AD52">
        <v>9</v>
      </c>
      <c r="AE52">
        <v>0</v>
      </c>
      <c r="AF52">
        <v>0</v>
      </c>
      <c r="AG52">
        <v>2</v>
      </c>
      <c r="AH52">
        <v>0</v>
      </c>
      <c r="AI52" t="s">
        <v>122</v>
      </c>
      <c r="AJ52">
        <v>41.991506000000001</v>
      </c>
      <c r="AK52" t="s">
        <v>123</v>
      </c>
      <c r="AL52">
        <v>-87.891396999999998</v>
      </c>
      <c r="AS52">
        <v>1</v>
      </c>
      <c r="AT52" t="s">
        <v>118</v>
      </c>
      <c r="AU52" t="b">
        <v>1</v>
      </c>
      <c r="AV52">
        <v>357.19</v>
      </c>
      <c r="AW52">
        <v>0.125</v>
      </c>
      <c r="AX52">
        <v>1</v>
      </c>
      <c r="AZ52">
        <v>1200</v>
      </c>
      <c r="BA52">
        <v>1</v>
      </c>
      <c r="BB52" t="str">
        <f t="shared" si="2"/>
        <v xml:space="preserve">KAP400  </v>
      </c>
      <c r="BC52">
        <v>1</v>
      </c>
      <c r="BE52">
        <v>0</v>
      </c>
      <c r="BF52">
        <v>0</v>
      </c>
      <c r="BG52">
        <v>0</v>
      </c>
      <c r="BI52">
        <v>1</v>
      </c>
      <c r="BJ52">
        <v>1</v>
      </c>
      <c r="BK52">
        <v>1</v>
      </c>
      <c r="BL52">
        <v>0</v>
      </c>
      <c r="BO52">
        <v>0</v>
      </c>
      <c r="BP52">
        <v>0</v>
      </c>
      <c r="BW52" t="str">
        <f>"18:51:21.494"</f>
        <v>18:51:21.494</v>
      </c>
      <c r="BX52" t="s">
        <v>119</v>
      </c>
      <c r="BY52" t="s">
        <v>120</v>
      </c>
      <c r="CJ52">
        <v>0</v>
      </c>
      <c r="CK52">
        <v>0</v>
      </c>
      <c r="CL52">
        <v>0</v>
      </c>
      <c r="CM52">
        <v>2</v>
      </c>
      <c r="CN52">
        <v>0</v>
      </c>
      <c r="CO52">
        <v>7</v>
      </c>
      <c r="CP52" t="s">
        <v>121</v>
      </c>
      <c r="CQ52">
        <v>581</v>
      </c>
      <c r="CR52">
        <v>0</v>
      </c>
      <c r="CW52">
        <v>13111155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</row>
    <row r="53" spans="1:113" x14ac:dyDescent="0.3">
      <c r="A53" t="str">
        <f>"06/16/2022 18:51:26.778"</f>
        <v>06/16/2022 18:51:26.778</v>
      </c>
      <c r="C53" t="str">
        <f t="shared" si="0"/>
        <v>FFBF5BC0</v>
      </c>
      <c r="D53" t="s">
        <v>113</v>
      </c>
      <c r="E53">
        <v>8</v>
      </c>
      <c r="H53">
        <v>206</v>
      </c>
      <c r="I53" t="s">
        <v>114</v>
      </c>
      <c r="J53" t="s">
        <v>115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"18:51:26.547"</f>
        <v>18:51:26.547</v>
      </c>
      <c r="T53" t="str">
        <f>"18:51:26.547"</f>
        <v>18:51:26.547</v>
      </c>
      <c r="U53" t="str">
        <f t="shared" si="1"/>
        <v>AB63B2</v>
      </c>
      <c r="V53">
        <v>0</v>
      </c>
      <c r="W53">
        <v>0</v>
      </c>
      <c r="X53">
        <v>6</v>
      </c>
      <c r="Z53">
        <v>0</v>
      </c>
      <c r="AA53">
        <v>8</v>
      </c>
      <c r="AB53">
        <v>3</v>
      </c>
      <c r="AC53">
        <v>0</v>
      </c>
      <c r="AD53">
        <v>9</v>
      </c>
      <c r="AE53">
        <v>0</v>
      </c>
      <c r="AF53">
        <v>0</v>
      </c>
      <c r="AG53">
        <v>2</v>
      </c>
      <c r="AH53">
        <v>0</v>
      </c>
      <c r="AI53" t="s">
        <v>122</v>
      </c>
      <c r="AJ53">
        <v>41.991506000000001</v>
      </c>
      <c r="AK53" t="s">
        <v>123</v>
      </c>
      <c r="AL53">
        <v>-87.891396999999998</v>
      </c>
      <c r="AS53">
        <v>1</v>
      </c>
      <c r="AT53" t="s">
        <v>118</v>
      </c>
      <c r="AU53" t="b">
        <v>1</v>
      </c>
      <c r="AV53">
        <v>357.19</v>
      </c>
      <c r="AW53">
        <v>0.125</v>
      </c>
      <c r="AX53">
        <v>1</v>
      </c>
      <c r="AZ53">
        <v>1200</v>
      </c>
      <c r="BA53">
        <v>1</v>
      </c>
      <c r="BB53" t="str">
        <f t="shared" si="2"/>
        <v xml:space="preserve">KAP400  </v>
      </c>
      <c r="BC53">
        <v>1</v>
      </c>
      <c r="BE53">
        <v>0</v>
      </c>
      <c r="BF53">
        <v>0</v>
      </c>
      <c r="BG53">
        <v>0</v>
      </c>
      <c r="BI53">
        <v>1</v>
      </c>
      <c r="BJ53">
        <v>1</v>
      </c>
      <c r="BK53">
        <v>1</v>
      </c>
      <c r="BL53">
        <v>0</v>
      </c>
      <c r="BO53">
        <v>0</v>
      </c>
      <c r="BP53">
        <v>0</v>
      </c>
      <c r="BW53" t="str">
        <f>"18:51:26.548"</f>
        <v>18:51:26.548</v>
      </c>
      <c r="BX53" t="s">
        <v>119</v>
      </c>
      <c r="BY53" t="s">
        <v>120</v>
      </c>
      <c r="CJ53">
        <v>0</v>
      </c>
      <c r="CK53">
        <v>0</v>
      </c>
      <c r="CL53">
        <v>0</v>
      </c>
      <c r="CM53">
        <v>2</v>
      </c>
      <c r="CN53">
        <v>0</v>
      </c>
      <c r="CO53">
        <v>7</v>
      </c>
      <c r="CP53" t="s">
        <v>121</v>
      </c>
      <c r="CQ53">
        <v>582</v>
      </c>
      <c r="CR53">
        <v>0</v>
      </c>
      <c r="CW53">
        <v>4194581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</row>
    <row r="54" spans="1:113" x14ac:dyDescent="0.3">
      <c r="A54" t="str">
        <f>"06/16/2022 18:51:31.887"</f>
        <v>06/16/2022 18:51:31.887</v>
      </c>
      <c r="C54" t="str">
        <f t="shared" si="0"/>
        <v>FFBF5BC0</v>
      </c>
      <c r="D54" t="s">
        <v>113</v>
      </c>
      <c r="E54">
        <v>8</v>
      </c>
      <c r="H54">
        <v>206</v>
      </c>
      <c r="I54" t="s">
        <v>114</v>
      </c>
      <c r="J54" t="s">
        <v>115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"18:51:31.656"</f>
        <v>18:51:31.656</v>
      </c>
      <c r="T54" t="str">
        <f>"18:51:31.656"</f>
        <v>18:51:31.656</v>
      </c>
      <c r="U54" t="str">
        <f t="shared" si="1"/>
        <v>AB63B2</v>
      </c>
      <c r="V54">
        <v>0</v>
      </c>
      <c r="W54">
        <v>0</v>
      </c>
      <c r="X54">
        <v>6</v>
      </c>
      <c r="Z54">
        <v>0</v>
      </c>
      <c r="AA54">
        <v>8</v>
      </c>
      <c r="AB54">
        <v>3</v>
      </c>
      <c r="AC54">
        <v>0</v>
      </c>
      <c r="AD54">
        <v>9</v>
      </c>
      <c r="AE54">
        <v>0</v>
      </c>
      <c r="AF54">
        <v>0</v>
      </c>
      <c r="AG54">
        <v>2</v>
      </c>
      <c r="AH54">
        <v>0</v>
      </c>
      <c r="AI54" t="s">
        <v>122</v>
      </c>
      <c r="AJ54">
        <v>41.991506000000001</v>
      </c>
      <c r="AK54" t="s">
        <v>123</v>
      </c>
      <c r="AL54">
        <v>-87.891396999999998</v>
      </c>
      <c r="AS54">
        <v>1</v>
      </c>
      <c r="AT54" t="s">
        <v>118</v>
      </c>
      <c r="AU54" t="b">
        <v>1</v>
      </c>
      <c r="AV54">
        <v>357.19</v>
      </c>
      <c r="AW54">
        <v>0.125</v>
      </c>
      <c r="AX54">
        <v>1</v>
      </c>
      <c r="AZ54">
        <v>1200</v>
      </c>
      <c r="BA54">
        <v>1</v>
      </c>
      <c r="BB54" t="str">
        <f t="shared" si="2"/>
        <v xml:space="preserve">KAP400  </v>
      </c>
      <c r="BC54">
        <v>1</v>
      </c>
      <c r="BE54">
        <v>0</v>
      </c>
      <c r="BF54">
        <v>0</v>
      </c>
      <c r="BG54">
        <v>0</v>
      </c>
      <c r="BI54">
        <v>1</v>
      </c>
      <c r="BJ54">
        <v>1</v>
      </c>
      <c r="BK54">
        <v>1</v>
      </c>
      <c r="BL54">
        <v>0</v>
      </c>
      <c r="BO54">
        <v>0</v>
      </c>
      <c r="BP54">
        <v>0</v>
      </c>
      <c r="BW54" t="str">
        <f>"18:51:31.660"</f>
        <v>18:51:31.660</v>
      </c>
      <c r="BX54" t="s">
        <v>119</v>
      </c>
      <c r="BY54" t="s">
        <v>120</v>
      </c>
      <c r="CJ54">
        <v>0</v>
      </c>
      <c r="CK54">
        <v>0</v>
      </c>
      <c r="CL54">
        <v>0</v>
      </c>
      <c r="CM54">
        <v>2</v>
      </c>
      <c r="CN54">
        <v>0</v>
      </c>
      <c r="CO54">
        <v>7</v>
      </c>
      <c r="CP54" t="s">
        <v>121</v>
      </c>
      <c r="CQ54">
        <v>581</v>
      </c>
      <c r="CR54">
        <v>0</v>
      </c>
      <c r="CW54">
        <v>13128916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</row>
    <row r="55" spans="1:113" x14ac:dyDescent="0.3">
      <c r="A55" t="str">
        <f>"06/16/2022 18:51:36.685"</f>
        <v>06/16/2022 18:51:36.685</v>
      </c>
      <c r="C55" t="str">
        <f t="shared" si="0"/>
        <v>FFBF5BC0</v>
      </c>
      <c r="D55" t="s">
        <v>113</v>
      </c>
      <c r="E55">
        <v>8</v>
      </c>
      <c r="H55">
        <v>206</v>
      </c>
      <c r="I55" t="s">
        <v>114</v>
      </c>
      <c r="J55" t="s">
        <v>115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"18:51:36.508"</f>
        <v>18:51:36.508</v>
      </c>
      <c r="T55" t="str">
        <f>"18:51:36.508"</f>
        <v>18:51:36.508</v>
      </c>
      <c r="U55" t="str">
        <f t="shared" si="1"/>
        <v>AB63B2</v>
      </c>
      <c r="V55">
        <v>0</v>
      </c>
      <c r="W55">
        <v>0</v>
      </c>
      <c r="X55">
        <v>6</v>
      </c>
      <c r="Z55">
        <v>0</v>
      </c>
      <c r="AA55">
        <v>8</v>
      </c>
      <c r="AB55">
        <v>3</v>
      </c>
      <c r="AC55">
        <v>0</v>
      </c>
      <c r="AD55">
        <v>9</v>
      </c>
      <c r="AE55">
        <v>0</v>
      </c>
      <c r="AF55">
        <v>0</v>
      </c>
      <c r="AG55">
        <v>2</v>
      </c>
      <c r="AH55">
        <v>0</v>
      </c>
      <c r="AI55" t="s">
        <v>122</v>
      </c>
      <c r="AJ55">
        <v>41.991506000000001</v>
      </c>
      <c r="AK55" t="s">
        <v>123</v>
      </c>
      <c r="AL55">
        <v>-87.891396999999998</v>
      </c>
      <c r="AS55">
        <v>1</v>
      </c>
      <c r="AT55" t="s">
        <v>118</v>
      </c>
      <c r="AU55" t="b">
        <v>1</v>
      </c>
      <c r="AV55">
        <v>357.19</v>
      </c>
      <c r="AW55">
        <v>0.125</v>
      </c>
      <c r="AX55">
        <v>1</v>
      </c>
      <c r="AZ55">
        <v>1200</v>
      </c>
      <c r="BA55">
        <v>1</v>
      </c>
      <c r="BB55" t="str">
        <f t="shared" si="2"/>
        <v xml:space="preserve">KAP400  </v>
      </c>
      <c r="BC55">
        <v>1</v>
      </c>
      <c r="BE55">
        <v>0</v>
      </c>
      <c r="BF55">
        <v>0</v>
      </c>
      <c r="BG55">
        <v>0</v>
      </c>
      <c r="BI55">
        <v>1</v>
      </c>
      <c r="BJ55">
        <v>1</v>
      </c>
      <c r="BK55">
        <v>1</v>
      </c>
      <c r="BL55">
        <v>0</v>
      </c>
      <c r="BO55">
        <v>0</v>
      </c>
      <c r="BP55">
        <v>0</v>
      </c>
      <c r="BW55" t="str">
        <f>"18:51:36.513"</f>
        <v>18:51:36.513</v>
      </c>
      <c r="BX55" t="s">
        <v>119</v>
      </c>
      <c r="BY55" t="s">
        <v>120</v>
      </c>
      <c r="CJ55">
        <v>0</v>
      </c>
      <c r="CK55">
        <v>0</v>
      </c>
      <c r="CL55">
        <v>0</v>
      </c>
      <c r="CM55">
        <v>2</v>
      </c>
      <c r="CN55">
        <v>0</v>
      </c>
      <c r="CO55">
        <v>7</v>
      </c>
      <c r="CP55" t="s">
        <v>121</v>
      </c>
      <c r="CQ55">
        <v>581</v>
      </c>
      <c r="CR55">
        <v>0</v>
      </c>
      <c r="CW55">
        <v>13137491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</row>
    <row r="56" spans="1:113" x14ac:dyDescent="0.3">
      <c r="A56" t="str">
        <f>"06/16/2022 18:51:41.669"</f>
        <v>06/16/2022 18:51:41.669</v>
      </c>
      <c r="C56" t="str">
        <f t="shared" si="0"/>
        <v>FFBF5BC0</v>
      </c>
      <c r="D56" t="s">
        <v>113</v>
      </c>
      <c r="E56">
        <v>8</v>
      </c>
      <c r="H56">
        <v>206</v>
      </c>
      <c r="I56" t="s">
        <v>114</v>
      </c>
      <c r="J56" t="s">
        <v>115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"18:51:41.445"</f>
        <v>18:51:41.445</v>
      </c>
      <c r="T56" t="str">
        <f>"18:51:41.445"</f>
        <v>18:51:41.445</v>
      </c>
      <c r="U56" t="str">
        <f t="shared" si="1"/>
        <v>AB63B2</v>
      </c>
      <c r="V56">
        <v>0</v>
      </c>
      <c r="W56">
        <v>0</v>
      </c>
      <c r="X56">
        <v>6</v>
      </c>
      <c r="Z56">
        <v>0</v>
      </c>
      <c r="AA56">
        <v>8</v>
      </c>
      <c r="AB56">
        <v>3</v>
      </c>
      <c r="AC56">
        <v>0</v>
      </c>
      <c r="AD56">
        <v>9</v>
      </c>
      <c r="AE56">
        <v>0</v>
      </c>
      <c r="AF56">
        <v>0</v>
      </c>
      <c r="AG56">
        <v>2</v>
      </c>
      <c r="AH56">
        <v>0</v>
      </c>
      <c r="AI56" t="s">
        <v>122</v>
      </c>
      <c r="AJ56">
        <v>41.991506000000001</v>
      </c>
      <c r="AK56" t="s">
        <v>123</v>
      </c>
      <c r="AL56">
        <v>-87.891396999999998</v>
      </c>
      <c r="AS56">
        <v>1</v>
      </c>
      <c r="AT56" t="s">
        <v>118</v>
      </c>
      <c r="AU56" t="b">
        <v>1</v>
      </c>
      <c r="AV56">
        <v>357.19</v>
      </c>
      <c r="AW56">
        <v>0.125</v>
      </c>
      <c r="AX56">
        <v>1</v>
      </c>
      <c r="AZ56">
        <v>1200</v>
      </c>
      <c r="BA56">
        <v>1</v>
      </c>
      <c r="BB56" t="str">
        <f t="shared" si="2"/>
        <v xml:space="preserve">KAP400  </v>
      </c>
      <c r="BC56">
        <v>1</v>
      </c>
      <c r="BE56">
        <v>0</v>
      </c>
      <c r="BF56">
        <v>0</v>
      </c>
      <c r="BG56">
        <v>0</v>
      </c>
      <c r="BI56">
        <v>1</v>
      </c>
      <c r="BJ56">
        <v>1</v>
      </c>
      <c r="BK56">
        <v>1</v>
      </c>
      <c r="BL56">
        <v>0</v>
      </c>
      <c r="BO56">
        <v>0</v>
      </c>
      <c r="BP56">
        <v>0</v>
      </c>
      <c r="BW56" t="str">
        <f>"18:51:41.446"</f>
        <v>18:51:41.446</v>
      </c>
      <c r="BX56" t="s">
        <v>119</v>
      </c>
      <c r="BY56" t="s">
        <v>120</v>
      </c>
      <c r="CJ56">
        <v>0</v>
      </c>
      <c r="CK56">
        <v>0</v>
      </c>
      <c r="CL56">
        <v>0</v>
      </c>
      <c r="CM56">
        <v>2</v>
      </c>
      <c r="CN56">
        <v>0</v>
      </c>
      <c r="CO56">
        <v>7</v>
      </c>
      <c r="CP56" t="s">
        <v>121</v>
      </c>
      <c r="CQ56">
        <v>582</v>
      </c>
      <c r="CR56">
        <v>0</v>
      </c>
      <c r="CW56">
        <v>4219059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</row>
    <row r="57" spans="1:113" x14ac:dyDescent="0.3">
      <c r="A57" t="str">
        <f>"06/16/2022 18:51:46.671"</f>
        <v>06/16/2022 18:51:46.671</v>
      </c>
      <c r="C57" t="str">
        <f t="shared" si="0"/>
        <v>FFBF5BC0</v>
      </c>
      <c r="D57" t="s">
        <v>113</v>
      </c>
      <c r="E57">
        <v>8</v>
      </c>
      <c r="H57">
        <v>206</v>
      </c>
      <c r="I57" t="s">
        <v>114</v>
      </c>
      <c r="J57" t="s">
        <v>115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"18:51:46.492"</f>
        <v>18:51:46.492</v>
      </c>
      <c r="T57" t="str">
        <f>"18:51:46.492"</f>
        <v>18:51:46.492</v>
      </c>
      <c r="U57" t="str">
        <f t="shared" si="1"/>
        <v>AB63B2</v>
      </c>
      <c r="V57">
        <v>0</v>
      </c>
      <c r="W57">
        <v>0</v>
      </c>
      <c r="X57">
        <v>6</v>
      </c>
      <c r="Z57">
        <v>0</v>
      </c>
      <c r="AA57">
        <v>8</v>
      </c>
      <c r="AB57">
        <v>3</v>
      </c>
      <c r="AC57">
        <v>0</v>
      </c>
      <c r="AD57">
        <v>9</v>
      </c>
      <c r="AE57">
        <v>0</v>
      </c>
      <c r="AF57">
        <v>0</v>
      </c>
      <c r="AG57">
        <v>2</v>
      </c>
      <c r="AH57">
        <v>0</v>
      </c>
      <c r="AI57" t="s">
        <v>122</v>
      </c>
      <c r="AJ57">
        <v>41.991506000000001</v>
      </c>
      <c r="AK57" t="s">
        <v>123</v>
      </c>
      <c r="AL57">
        <v>-87.891396999999998</v>
      </c>
      <c r="AS57">
        <v>1</v>
      </c>
      <c r="AT57" t="s">
        <v>118</v>
      </c>
      <c r="AU57" t="b">
        <v>1</v>
      </c>
      <c r="AV57">
        <v>357.19</v>
      </c>
      <c r="AW57">
        <v>0.125</v>
      </c>
      <c r="AX57">
        <v>1</v>
      </c>
      <c r="AZ57">
        <v>1200</v>
      </c>
      <c r="BA57">
        <v>1</v>
      </c>
      <c r="BB57" t="str">
        <f t="shared" si="2"/>
        <v xml:space="preserve">KAP400  </v>
      </c>
      <c r="BC57">
        <v>1</v>
      </c>
      <c r="BE57">
        <v>0</v>
      </c>
      <c r="BF57">
        <v>0</v>
      </c>
      <c r="BG57">
        <v>0</v>
      </c>
      <c r="BI57">
        <v>1</v>
      </c>
      <c r="BJ57">
        <v>1</v>
      </c>
      <c r="BK57">
        <v>1</v>
      </c>
      <c r="BL57">
        <v>0</v>
      </c>
      <c r="BO57">
        <v>0</v>
      </c>
      <c r="BP57">
        <v>0</v>
      </c>
      <c r="BW57" t="str">
        <f>"18:51:46.496"</f>
        <v>18:51:46.496</v>
      </c>
      <c r="BX57" t="s">
        <v>119</v>
      </c>
      <c r="BY57" t="s">
        <v>120</v>
      </c>
      <c r="CJ57">
        <v>0</v>
      </c>
      <c r="CK57">
        <v>0</v>
      </c>
      <c r="CL57">
        <v>0</v>
      </c>
      <c r="CM57">
        <v>2</v>
      </c>
      <c r="CN57">
        <v>0</v>
      </c>
      <c r="CO57">
        <v>7</v>
      </c>
      <c r="CP57" t="s">
        <v>121</v>
      </c>
      <c r="CQ57">
        <v>581</v>
      </c>
      <c r="CR57">
        <v>0</v>
      </c>
      <c r="CW57">
        <v>13155215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</row>
    <row r="58" spans="1:113" x14ac:dyDescent="0.3">
      <c r="A58" t="str">
        <f>"06/16/2022 18:51:51.844"</f>
        <v>06/16/2022 18:51:51.844</v>
      </c>
      <c r="C58" t="str">
        <f t="shared" si="0"/>
        <v>FFBF5BC0</v>
      </c>
      <c r="D58" t="s">
        <v>113</v>
      </c>
      <c r="E58">
        <v>8</v>
      </c>
      <c r="H58">
        <v>206</v>
      </c>
      <c r="I58" t="s">
        <v>114</v>
      </c>
      <c r="J58" t="s">
        <v>115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"18:51:51.500"</f>
        <v>18:51:51.500</v>
      </c>
      <c r="T58" t="str">
        <f>"18:51:51.500"</f>
        <v>18:51:51.500</v>
      </c>
      <c r="U58" t="str">
        <f t="shared" si="1"/>
        <v>AB63B2</v>
      </c>
      <c r="V58">
        <v>0</v>
      </c>
      <c r="W58">
        <v>0</v>
      </c>
      <c r="X58">
        <v>6</v>
      </c>
      <c r="Z58">
        <v>0</v>
      </c>
      <c r="AA58">
        <v>8</v>
      </c>
      <c r="AB58">
        <v>3</v>
      </c>
      <c r="AC58">
        <v>0</v>
      </c>
      <c r="AD58">
        <v>9</v>
      </c>
      <c r="AE58">
        <v>0</v>
      </c>
      <c r="AF58">
        <v>0</v>
      </c>
      <c r="AG58">
        <v>2</v>
      </c>
      <c r="AH58">
        <v>0</v>
      </c>
      <c r="AI58" t="s">
        <v>122</v>
      </c>
      <c r="AJ58">
        <v>41.991506000000001</v>
      </c>
      <c r="AK58" t="s">
        <v>123</v>
      </c>
      <c r="AL58">
        <v>-87.891396999999998</v>
      </c>
      <c r="AS58">
        <v>1</v>
      </c>
      <c r="AT58" t="s">
        <v>118</v>
      </c>
      <c r="AU58" t="b">
        <v>1</v>
      </c>
      <c r="AV58">
        <v>357.19</v>
      </c>
      <c r="AW58">
        <v>0.125</v>
      </c>
      <c r="AX58">
        <v>1</v>
      </c>
      <c r="AZ58">
        <v>1200</v>
      </c>
      <c r="BA58">
        <v>1</v>
      </c>
      <c r="BB58" t="str">
        <f t="shared" si="2"/>
        <v xml:space="preserve">KAP400  </v>
      </c>
      <c r="BC58">
        <v>1</v>
      </c>
      <c r="BE58">
        <v>0</v>
      </c>
      <c r="BF58">
        <v>0</v>
      </c>
      <c r="BG58">
        <v>0</v>
      </c>
      <c r="BI58">
        <v>1</v>
      </c>
      <c r="BJ58">
        <v>1</v>
      </c>
      <c r="BK58">
        <v>1</v>
      </c>
      <c r="BL58">
        <v>0</v>
      </c>
      <c r="BO58">
        <v>0</v>
      </c>
      <c r="BP58">
        <v>0</v>
      </c>
      <c r="BW58" t="str">
        <f>"18:51:51.505"</f>
        <v>18:51:51.505</v>
      </c>
      <c r="BX58" t="s">
        <v>119</v>
      </c>
      <c r="BY58" t="s">
        <v>120</v>
      </c>
      <c r="CJ58">
        <v>0</v>
      </c>
      <c r="CK58">
        <v>0</v>
      </c>
      <c r="CL58">
        <v>0</v>
      </c>
      <c r="CM58">
        <v>2</v>
      </c>
      <c r="CN58">
        <v>0</v>
      </c>
      <c r="CO58">
        <v>7</v>
      </c>
      <c r="CP58" t="s">
        <v>121</v>
      </c>
      <c r="CQ58">
        <v>581</v>
      </c>
      <c r="CR58">
        <v>0</v>
      </c>
      <c r="CW58">
        <v>13164399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</row>
    <row r="59" spans="1:113" x14ac:dyDescent="0.3">
      <c r="A59" t="str">
        <f>"06/16/2022 18:51:56.544"</f>
        <v>06/16/2022 18:51:56.544</v>
      </c>
      <c r="C59" t="str">
        <f t="shared" si="0"/>
        <v>FFBF5BC0</v>
      </c>
      <c r="D59" t="s">
        <v>113</v>
      </c>
      <c r="E59">
        <v>8</v>
      </c>
      <c r="H59">
        <v>206</v>
      </c>
      <c r="I59" t="s">
        <v>114</v>
      </c>
      <c r="J59" t="s">
        <v>115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"18:51:56.320"</f>
        <v>18:51:56.320</v>
      </c>
      <c r="T59" t="str">
        <f>"18:51:56.320"</f>
        <v>18:51:56.320</v>
      </c>
      <c r="U59" t="str">
        <f t="shared" si="1"/>
        <v>AB63B2</v>
      </c>
      <c r="V59">
        <v>0</v>
      </c>
      <c r="W59">
        <v>0</v>
      </c>
      <c r="X59">
        <v>6</v>
      </c>
      <c r="Z59">
        <v>0</v>
      </c>
      <c r="AA59">
        <v>8</v>
      </c>
      <c r="AB59">
        <v>3</v>
      </c>
      <c r="AC59">
        <v>0</v>
      </c>
      <c r="AD59">
        <v>9</v>
      </c>
      <c r="AE59">
        <v>0</v>
      </c>
      <c r="AF59">
        <v>0</v>
      </c>
      <c r="AG59">
        <v>2</v>
      </c>
      <c r="AH59">
        <v>0</v>
      </c>
      <c r="AI59" t="s">
        <v>122</v>
      </c>
      <c r="AJ59">
        <v>41.991506000000001</v>
      </c>
      <c r="AK59" t="s">
        <v>123</v>
      </c>
      <c r="AL59">
        <v>-87.891396999999998</v>
      </c>
      <c r="AS59">
        <v>1</v>
      </c>
      <c r="AT59" t="s">
        <v>118</v>
      </c>
      <c r="AU59" t="b">
        <v>1</v>
      </c>
      <c r="AV59">
        <v>357.19</v>
      </c>
      <c r="AW59">
        <v>0.125</v>
      </c>
      <c r="AX59">
        <v>1</v>
      </c>
      <c r="AZ59">
        <v>1200</v>
      </c>
      <c r="BA59">
        <v>1</v>
      </c>
      <c r="BB59" t="str">
        <f t="shared" si="2"/>
        <v xml:space="preserve">KAP400  </v>
      </c>
      <c r="BC59">
        <v>1</v>
      </c>
      <c r="BE59">
        <v>0</v>
      </c>
      <c r="BF59">
        <v>0</v>
      </c>
      <c r="BG59">
        <v>0</v>
      </c>
      <c r="BI59">
        <v>1</v>
      </c>
      <c r="BJ59">
        <v>1</v>
      </c>
      <c r="BK59">
        <v>1</v>
      </c>
      <c r="BL59">
        <v>0</v>
      </c>
      <c r="BO59">
        <v>0</v>
      </c>
      <c r="BP59">
        <v>0</v>
      </c>
      <c r="BW59" t="str">
        <f>"18:51:56.322"</f>
        <v>18:51:56.322</v>
      </c>
      <c r="BX59" t="s">
        <v>119</v>
      </c>
      <c r="BY59" t="s">
        <v>120</v>
      </c>
      <c r="CJ59">
        <v>0</v>
      </c>
      <c r="CK59">
        <v>0</v>
      </c>
      <c r="CL59">
        <v>0</v>
      </c>
      <c r="CM59">
        <v>2</v>
      </c>
      <c r="CN59">
        <v>0</v>
      </c>
      <c r="CO59">
        <v>7</v>
      </c>
      <c r="CP59" t="s">
        <v>121</v>
      </c>
      <c r="CQ59">
        <v>581</v>
      </c>
      <c r="CR59">
        <v>0</v>
      </c>
      <c r="CW59">
        <v>13173047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</row>
    <row r="60" spans="1:113" x14ac:dyDescent="0.3">
      <c r="A60" t="str">
        <f>"06/16/2022 18:52:01.654"</f>
        <v>06/16/2022 18:52:01.654</v>
      </c>
      <c r="C60" t="str">
        <f t="shared" si="0"/>
        <v>FFBF5BC0</v>
      </c>
      <c r="D60" t="s">
        <v>113</v>
      </c>
      <c r="E60">
        <v>8</v>
      </c>
      <c r="H60">
        <v>206</v>
      </c>
      <c r="I60" t="s">
        <v>114</v>
      </c>
      <c r="J60" t="s">
        <v>115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"18:52:01.430"</f>
        <v>18:52:01.430</v>
      </c>
      <c r="T60" t="str">
        <f>"18:52:01.430"</f>
        <v>18:52:01.430</v>
      </c>
      <c r="U60" t="str">
        <f t="shared" si="1"/>
        <v>AB63B2</v>
      </c>
      <c r="V60">
        <v>0</v>
      </c>
      <c r="W60">
        <v>0</v>
      </c>
      <c r="X60">
        <v>6</v>
      </c>
      <c r="Z60">
        <v>0</v>
      </c>
      <c r="AA60">
        <v>8</v>
      </c>
      <c r="AB60">
        <v>3</v>
      </c>
      <c r="AC60">
        <v>0</v>
      </c>
      <c r="AD60">
        <v>9</v>
      </c>
      <c r="AE60">
        <v>0</v>
      </c>
      <c r="AF60">
        <v>0</v>
      </c>
      <c r="AG60">
        <v>2</v>
      </c>
      <c r="AH60">
        <v>0</v>
      </c>
      <c r="AI60" t="s">
        <v>122</v>
      </c>
      <c r="AJ60">
        <v>41.991506000000001</v>
      </c>
      <c r="AK60" t="s">
        <v>123</v>
      </c>
      <c r="AL60">
        <v>-87.891396999999998</v>
      </c>
      <c r="AS60">
        <v>1</v>
      </c>
      <c r="AT60" t="s">
        <v>118</v>
      </c>
      <c r="AU60" t="b">
        <v>1</v>
      </c>
      <c r="AV60">
        <v>357.19</v>
      </c>
      <c r="AW60">
        <v>0.125</v>
      </c>
      <c r="AX60">
        <v>1</v>
      </c>
      <c r="AZ60">
        <v>1200</v>
      </c>
      <c r="BA60">
        <v>1</v>
      </c>
      <c r="BB60" t="str">
        <f t="shared" si="2"/>
        <v xml:space="preserve">KAP400  </v>
      </c>
      <c r="BC60">
        <v>1</v>
      </c>
      <c r="BE60">
        <v>0</v>
      </c>
      <c r="BF60">
        <v>0</v>
      </c>
      <c r="BG60">
        <v>0</v>
      </c>
      <c r="BI60">
        <v>1</v>
      </c>
      <c r="BJ60">
        <v>1</v>
      </c>
      <c r="BK60">
        <v>1</v>
      </c>
      <c r="BL60">
        <v>0</v>
      </c>
      <c r="BO60">
        <v>0</v>
      </c>
      <c r="BP60">
        <v>0</v>
      </c>
      <c r="BW60" t="str">
        <f>"18:52:01.432"</f>
        <v>18:52:01.432</v>
      </c>
      <c r="BX60" t="s">
        <v>119</v>
      </c>
      <c r="BY60" t="s">
        <v>120</v>
      </c>
      <c r="CJ60">
        <v>0</v>
      </c>
      <c r="CK60">
        <v>0</v>
      </c>
      <c r="CL60">
        <v>0</v>
      </c>
      <c r="CM60">
        <v>2</v>
      </c>
      <c r="CN60">
        <v>0</v>
      </c>
      <c r="CO60">
        <v>7</v>
      </c>
      <c r="CP60" t="s">
        <v>121</v>
      </c>
      <c r="CQ60">
        <v>582</v>
      </c>
      <c r="CR60">
        <v>0</v>
      </c>
      <c r="CW60">
        <v>4251941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</row>
    <row r="61" spans="1:113" x14ac:dyDescent="0.3">
      <c r="A61" t="str">
        <f>"06/16/2022 18:52:06.855"</f>
        <v>06/16/2022 18:52:06.855</v>
      </c>
      <c r="C61" t="str">
        <f t="shared" si="0"/>
        <v>FFBF5BC0</v>
      </c>
      <c r="D61" t="s">
        <v>113</v>
      </c>
      <c r="E61">
        <v>8</v>
      </c>
      <c r="H61">
        <v>206</v>
      </c>
      <c r="I61" t="s">
        <v>114</v>
      </c>
      <c r="J61" t="s">
        <v>115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"18:52:06.563"</f>
        <v>18:52:06.563</v>
      </c>
      <c r="T61" t="str">
        <f>"18:52:06.563"</f>
        <v>18:52:06.563</v>
      </c>
      <c r="U61" t="str">
        <f t="shared" si="1"/>
        <v>AB63B2</v>
      </c>
      <c r="V61">
        <v>0</v>
      </c>
      <c r="W61">
        <v>0</v>
      </c>
      <c r="X61">
        <v>6</v>
      </c>
      <c r="Z61">
        <v>0</v>
      </c>
      <c r="AA61">
        <v>8</v>
      </c>
      <c r="AB61">
        <v>3</v>
      </c>
      <c r="AC61">
        <v>0</v>
      </c>
      <c r="AD61">
        <v>9</v>
      </c>
      <c r="AE61">
        <v>0</v>
      </c>
      <c r="AF61">
        <v>0</v>
      </c>
      <c r="AG61">
        <v>2</v>
      </c>
      <c r="AH61">
        <v>0</v>
      </c>
      <c r="AI61" t="s">
        <v>122</v>
      </c>
      <c r="AJ61">
        <v>41.991506000000001</v>
      </c>
      <c r="AK61" t="s">
        <v>123</v>
      </c>
      <c r="AL61">
        <v>-87.891396999999998</v>
      </c>
      <c r="AS61">
        <v>1</v>
      </c>
      <c r="AT61" t="s">
        <v>118</v>
      </c>
      <c r="AU61" t="b">
        <v>1</v>
      </c>
      <c r="AV61">
        <v>357.19</v>
      </c>
      <c r="AW61">
        <v>0.125</v>
      </c>
      <c r="AX61">
        <v>1</v>
      </c>
      <c r="AZ61">
        <v>1200</v>
      </c>
      <c r="BA61">
        <v>1</v>
      </c>
      <c r="BB61" t="str">
        <f t="shared" si="2"/>
        <v xml:space="preserve">KAP400  </v>
      </c>
      <c r="BC61">
        <v>1</v>
      </c>
      <c r="BE61">
        <v>0</v>
      </c>
      <c r="BF61">
        <v>0</v>
      </c>
      <c r="BG61">
        <v>0</v>
      </c>
      <c r="BI61">
        <v>1</v>
      </c>
      <c r="BJ61">
        <v>1</v>
      </c>
      <c r="BK61">
        <v>1</v>
      </c>
      <c r="BL61">
        <v>0</v>
      </c>
      <c r="BO61">
        <v>0</v>
      </c>
      <c r="BP61">
        <v>0</v>
      </c>
      <c r="BW61" t="str">
        <f>"18:52:06.567"</f>
        <v>18:52:06.567</v>
      </c>
      <c r="BX61" t="s">
        <v>119</v>
      </c>
      <c r="BY61" t="s">
        <v>120</v>
      </c>
      <c r="CJ61">
        <v>0</v>
      </c>
      <c r="CK61">
        <v>0</v>
      </c>
      <c r="CL61">
        <v>0</v>
      </c>
      <c r="CM61">
        <v>2</v>
      </c>
      <c r="CN61">
        <v>0</v>
      </c>
      <c r="CO61">
        <v>7</v>
      </c>
      <c r="CP61" t="s">
        <v>121</v>
      </c>
      <c r="CQ61">
        <v>581</v>
      </c>
      <c r="CR61">
        <v>0</v>
      </c>
      <c r="CW61">
        <v>13191043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</row>
    <row r="62" spans="1:113" x14ac:dyDescent="0.3">
      <c r="A62" t="str">
        <f>"06/16/2022 18:52:11.871"</f>
        <v>06/16/2022 18:52:11.871</v>
      </c>
      <c r="C62" t="str">
        <f t="shared" si="0"/>
        <v>FFBF5BC0</v>
      </c>
      <c r="D62" t="s">
        <v>113</v>
      </c>
      <c r="E62">
        <v>8</v>
      </c>
      <c r="H62">
        <v>206</v>
      </c>
      <c r="I62" t="s">
        <v>114</v>
      </c>
      <c r="J62" t="s">
        <v>115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"18:52:11.586"</f>
        <v>18:52:11.586</v>
      </c>
      <c r="T62" t="str">
        <f>"18:52:11.586"</f>
        <v>18:52:11.586</v>
      </c>
      <c r="U62" t="str">
        <f t="shared" si="1"/>
        <v>AB63B2</v>
      </c>
      <c r="V62">
        <v>0</v>
      </c>
      <c r="W62">
        <v>0</v>
      </c>
      <c r="X62">
        <v>6</v>
      </c>
      <c r="Z62">
        <v>0</v>
      </c>
      <c r="AA62">
        <v>8</v>
      </c>
      <c r="AB62">
        <v>3</v>
      </c>
      <c r="AC62">
        <v>0</v>
      </c>
      <c r="AD62">
        <v>9</v>
      </c>
      <c r="AE62">
        <v>0</v>
      </c>
      <c r="AF62">
        <v>0</v>
      </c>
      <c r="AG62">
        <v>2</v>
      </c>
      <c r="AH62">
        <v>0</v>
      </c>
      <c r="AI62" t="s">
        <v>122</v>
      </c>
      <c r="AJ62">
        <v>41.991506000000001</v>
      </c>
      <c r="AK62" t="s">
        <v>123</v>
      </c>
      <c r="AL62">
        <v>-87.891396999999998</v>
      </c>
      <c r="AS62">
        <v>1</v>
      </c>
      <c r="AT62" t="s">
        <v>118</v>
      </c>
      <c r="AU62" t="b">
        <v>1</v>
      </c>
      <c r="AV62">
        <v>357.19</v>
      </c>
      <c r="AW62">
        <v>0.125</v>
      </c>
      <c r="AX62">
        <v>1</v>
      </c>
      <c r="AZ62">
        <v>1200</v>
      </c>
      <c r="BA62">
        <v>1</v>
      </c>
      <c r="BB62" t="str">
        <f t="shared" si="2"/>
        <v xml:space="preserve">KAP400  </v>
      </c>
      <c r="BC62">
        <v>1</v>
      </c>
      <c r="BE62">
        <v>0</v>
      </c>
      <c r="BF62">
        <v>0</v>
      </c>
      <c r="BG62">
        <v>0</v>
      </c>
      <c r="BI62">
        <v>1</v>
      </c>
      <c r="BJ62">
        <v>1</v>
      </c>
      <c r="BK62">
        <v>1</v>
      </c>
      <c r="BL62">
        <v>0</v>
      </c>
      <c r="BO62">
        <v>0</v>
      </c>
      <c r="BP62">
        <v>0</v>
      </c>
      <c r="BW62" t="str">
        <f>"18:52:11.589"</f>
        <v>18:52:11.589</v>
      </c>
      <c r="BX62" t="s">
        <v>119</v>
      </c>
      <c r="BY62" t="s">
        <v>120</v>
      </c>
      <c r="CJ62">
        <v>0</v>
      </c>
      <c r="CK62">
        <v>0</v>
      </c>
      <c r="CL62">
        <v>0</v>
      </c>
      <c r="CM62">
        <v>2</v>
      </c>
      <c r="CN62">
        <v>0</v>
      </c>
      <c r="CO62">
        <v>7</v>
      </c>
      <c r="CP62" t="s">
        <v>121</v>
      </c>
      <c r="CQ62">
        <v>581</v>
      </c>
      <c r="CR62">
        <v>0</v>
      </c>
      <c r="CW62">
        <v>13199825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</row>
    <row r="63" spans="1:113" x14ac:dyDescent="0.3">
      <c r="A63" t="str">
        <f>"06/16/2022 18:52:16.717"</f>
        <v>06/16/2022 18:52:16.717</v>
      </c>
      <c r="C63" t="str">
        <f t="shared" si="0"/>
        <v>FFBF5BC0</v>
      </c>
      <c r="D63" t="s">
        <v>113</v>
      </c>
      <c r="E63">
        <v>8</v>
      </c>
      <c r="H63">
        <v>206</v>
      </c>
      <c r="I63" t="s">
        <v>114</v>
      </c>
      <c r="J63" t="s">
        <v>115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>"18:52:16.445"</f>
        <v>18:52:16.445</v>
      </c>
      <c r="T63" t="str">
        <f>"18:52:16.445"</f>
        <v>18:52:16.445</v>
      </c>
      <c r="U63" t="str">
        <f t="shared" si="1"/>
        <v>AB63B2</v>
      </c>
      <c r="V63">
        <v>0</v>
      </c>
      <c r="W63">
        <v>0</v>
      </c>
      <c r="X63">
        <v>6</v>
      </c>
      <c r="Z63">
        <v>0</v>
      </c>
      <c r="AA63">
        <v>8</v>
      </c>
      <c r="AB63">
        <v>3</v>
      </c>
      <c r="AC63">
        <v>0</v>
      </c>
      <c r="AD63">
        <v>9</v>
      </c>
      <c r="AE63">
        <v>0</v>
      </c>
      <c r="AF63">
        <v>0</v>
      </c>
      <c r="AG63">
        <v>2</v>
      </c>
      <c r="AH63">
        <v>0</v>
      </c>
      <c r="AI63" t="s">
        <v>122</v>
      </c>
      <c r="AJ63">
        <v>41.991506000000001</v>
      </c>
      <c r="AK63" t="s">
        <v>123</v>
      </c>
      <c r="AL63">
        <v>-87.891396999999998</v>
      </c>
      <c r="AS63">
        <v>1</v>
      </c>
      <c r="AT63" t="s">
        <v>118</v>
      </c>
      <c r="AU63" t="b">
        <v>1</v>
      </c>
      <c r="AV63">
        <v>357.19</v>
      </c>
      <c r="AW63">
        <v>0.125</v>
      </c>
      <c r="AX63">
        <v>1</v>
      </c>
      <c r="AZ63">
        <v>1200</v>
      </c>
      <c r="BA63">
        <v>1</v>
      </c>
      <c r="BB63" t="str">
        <f t="shared" si="2"/>
        <v xml:space="preserve">KAP400  </v>
      </c>
      <c r="BC63">
        <v>1</v>
      </c>
      <c r="BE63">
        <v>0</v>
      </c>
      <c r="BF63">
        <v>0</v>
      </c>
      <c r="BG63">
        <v>0</v>
      </c>
      <c r="BI63">
        <v>1</v>
      </c>
      <c r="BJ63">
        <v>1</v>
      </c>
      <c r="BK63">
        <v>1</v>
      </c>
      <c r="BL63">
        <v>0</v>
      </c>
      <c r="BO63">
        <v>0</v>
      </c>
      <c r="BP63">
        <v>0</v>
      </c>
      <c r="BW63" t="str">
        <f>"18:52:16.448"</f>
        <v>18:52:16.448</v>
      </c>
      <c r="BX63" t="s">
        <v>119</v>
      </c>
      <c r="BY63" t="s">
        <v>120</v>
      </c>
      <c r="CJ63">
        <v>0</v>
      </c>
      <c r="CK63">
        <v>0</v>
      </c>
      <c r="CL63">
        <v>0</v>
      </c>
      <c r="CM63">
        <v>2</v>
      </c>
      <c r="CN63">
        <v>0</v>
      </c>
      <c r="CO63">
        <v>7</v>
      </c>
      <c r="CP63" t="s">
        <v>121</v>
      </c>
      <c r="CQ63">
        <v>579</v>
      </c>
      <c r="CR63">
        <v>0</v>
      </c>
      <c r="CW63">
        <v>15571998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</row>
    <row r="64" spans="1:113" x14ac:dyDescent="0.3">
      <c r="A64" t="str">
        <f>"06/16/2022 18:52:36.529"</f>
        <v>06/16/2022 18:52:36.529</v>
      </c>
      <c r="C64" t="str">
        <f t="shared" si="0"/>
        <v>FFBF5BC0</v>
      </c>
      <c r="D64" t="s">
        <v>113</v>
      </c>
      <c r="E64">
        <v>8</v>
      </c>
      <c r="H64">
        <v>206</v>
      </c>
      <c r="I64" t="s">
        <v>114</v>
      </c>
      <c r="J64" t="s">
        <v>115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"18:52:36.289"</f>
        <v>18:52:36.289</v>
      </c>
      <c r="T64" t="str">
        <f>"18:52:36.289"</f>
        <v>18:52:36.289</v>
      </c>
      <c r="U64" t="str">
        <f t="shared" si="1"/>
        <v>AB63B2</v>
      </c>
      <c r="V64">
        <v>0</v>
      </c>
      <c r="W64">
        <v>0</v>
      </c>
      <c r="X64">
        <v>6</v>
      </c>
      <c r="Z64">
        <v>0</v>
      </c>
      <c r="AA64">
        <v>8</v>
      </c>
      <c r="AB64">
        <v>3</v>
      </c>
      <c r="AC64">
        <v>0</v>
      </c>
      <c r="AD64">
        <v>9</v>
      </c>
      <c r="AE64">
        <v>0</v>
      </c>
      <c r="AF64">
        <v>0</v>
      </c>
      <c r="AG64">
        <v>2</v>
      </c>
      <c r="AH64">
        <v>0</v>
      </c>
      <c r="AI64" t="s">
        <v>122</v>
      </c>
      <c r="AJ64">
        <v>41.991506000000001</v>
      </c>
      <c r="AK64" t="s">
        <v>123</v>
      </c>
      <c r="AL64">
        <v>-87.891396999999998</v>
      </c>
      <c r="AS64">
        <v>1</v>
      </c>
      <c r="AT64" t="s">
        <v>118</v>
      </c>
      <c r="AU64" t="b">
        <v>1</v>
      </c>
      <c r="AV64">
        <v>357.19</v>
      </c>
      <c r="AW64">
        <v>0.125</v>
      </c>
      <c r="AX64">
        <v>1</v>
      </c>
      <c r="AZ64">
        <v>1200</v>
      </c>
      <c r="BA64">
        <v>1</v>
      </c>
      <c r="BB64" t="str">
        <f t="shared" si="2"/>
        <v xml:space="preserve">KAP400  </v>
      </c>
      <c r="BC64">
        <v>1</v>
      </c>
      <c r="BE64">
        <v>0</v>
      </c>
      <c r="BF64">
        <v>0</v>
      </c>
      <c r="BG64">
        <v>0</v>
      </c>
      <c r="BI64">
        <v>1</v>
      </c>
      <c r="BJ64">
        <v>1</v>
      </c>
      <c r="BK64">
        <v>1</v>
      </c>
      <c r="BL64">
        <v>0</v>
      </c>
      <c r="BO64">
        <v>0</v>
      </c>
      <c r="BP64">
        <v>0</v>
      </c>
      <c r="BW64" t="str">
        <f>"18:52:36.296"</f>
        <v>18:52:36.296</v>
      </c>
      <c r="BX64" t="s">
        <v>119</v>
      </c>
      <c r="BY64" t="s">
        <v>120</v>
      </c>
      <c r="CJ64">
        <v>0</v>
      </c>
      <c r="CK64">
        <v>0</v>
      </c>
      <c r="CL64">
        <v>0</v>
      </c>
      <c r="CM64">
        <v>2</v>
      </c>
      <c r="CN64">
        <v>0</v>
      </c>
      <c r="CO64">
        <v>7</v>
      </c>
      <c r="CP64" t="s">
        <v>121</v>
      </c>
      <c r="CQ64">
        <v>582</v>
      </c>
      <c r="CR64">
        <v>0</v>
      </c>
      <c r="CW64">
        <v>4308225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</row>
    <row r="65" spans="1:113" x14ac:dyDescent="0.3">
      <c r="A65" t="str">
        <f>"06/16/2022 18:52:41.372"</f>
        <v>06/16/2022 18:52:41.372</v>
      </c>
      <c r="C65" t="str">
        <f t="shared" si="0"/>
        <v>FFBF5BC0</v>
      </c>
      <c r="D65" t="s">
        <v>113</v>
      </c>
      <c r="E65">
        <v>8</v>
      </c>
      <c r="H65">
        <v>206</v>
      </c>
      <c r="I65" t="s">
        <v>114</v>
      </c>
      <c r="J65" t="s">
        <v>115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"18:52:41.125"</f>
        <v>18:52:41.125</v>
      </c>
      <c r="T65" t="str">
        <f>"18:52:41.125"</f>
        <v>18:52:41.125</v>
      </c>
      <c r="U65" t="str">
        <f t="shared" si="1"/>
        <v>AB63B2</v>
      </c>
      <c r="V65">
        <v>0</v>
      </c>
      <c r="W65">
        <v>0</v>
      </c>
      <c r="X65">
        <v>6</v>
      </c>
      <c r="Z65">
        <v>0</v>
      </c>
      <c r="AA65">
        <v>8</v>
      </c>
      <c r="AB65">
        <v>3</v>
      </c>
      <c r="AC65">
        <v>0</v>
      </c>
      <c r="AD65">
        <v>9</v>
      </c>
      <c r="AE65">
        <v>0</v>
      </c>
      <c r="AF65">
        <v>0</v>
      </c>
      <c r="AG65">
        <v>2</v>
      </c>
      <c r="AH65">
        <v>0</v>
      </c>
      <c r="AI65" t="s">
        <v>122</v>
      </c>
      <c r="AJ65">
        <v>41.991506000000001</v>
      </c>
      <c r="AK65" t="s">
        <v>123</v>
      </c>
      <c r="AL65">
        <v>-87.891396999999998</v>
      </c>
      <c r="AS65">
        <v>1</v>
      </c>
      <c r="AT65" t="s">
        <v>118</v>
      </c>
      <c r="AU65" t="b">
        <v>1</v>
      </c>
      <c r="AV65">
        <v>357.19</v>
      </c>
      <c r="AW65">
        <v>0.125</v>
      </c>
      <c r="AX65">
        <v>1</v>
      </c>
      <c r="AZ65">
        <v>1200</v>
      </c>
      <c r="BA65">
        <v>1</v>
      </c>
      <c r="BB65" t="str">
        <f t="shared" si="2"/>
        <v xml:space="preserve">KAP400  </v>
      </c>
      <c r="BC65">
        <v>1</v>
      </c>
      <c r="BE65">
        <v>0</v>
      </c>
      <c r="BF65">
        <v>0</v>
      </c>
      <c r="BG65">
        <v>0</v>
      </c>
      <c r="BI65">
        <v>1</v>
      </c>
      <c r="BJ65">
        <v>1</v>
      </c>
      <c r="BK65">
        <v>1</v>
      </c>
      <c r="BL65">
        <v>0</v>
      </c>
      <c r="BO65">
        <v>0</v>
      </c>
      <c r="BP65">
        <v>0</v>
      </c>
      <c r="BW65" t="str">
        <f>"18:52:41.133"</f>
        <v>18:52:41.133</v>
      </c>
      <c r="BX65" t="s">
        <v>119</v>
      </c>
      <c r="BY65" t="s">
        <v>120</v>
      </c>
      <c r="CJ65">
        <v>0</v>
      </c>
      <c r="CK65">
        <v>0</v>
      </c>
      <c r="CL65">
        <v>0</v>
      </c>
      <c r="CM65">
        <v>2</v>
      </c>
      <c r="CN65">
        <v>0</v>
      </c>
      <c r="CO65">
        <v>7</v>
      </c>
      <c r="CP65" t="s">
        <v>121</v>
      </c>
      <c r="CQ65">
        <v>579</v>
      </c>
      <c r="CR65">
        <v>0</v>
      </c>
      <c r="CW65">
        <v>15625956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</row>
    <row r="66" spans="1:113" x14ac:dyDescent="0.3">
      <c r="A66" t="str">
        <f>"06/16/2022 18:52:46.216"</f>
        <v>06/16/2022 18:52:46.216</v>
      </c>
      <c r="C66" t="str">
        <f t="shared" ref="C66:C129" si="3">"FFBF5BC0"</f>
        <v>FFBF5BC0</v>
      </c>
      <c r="D66" t="s">
        <v>113</v>
      </c>
      <c r="E66">
        <v>8</v>
      </c>
      <c r="H66">
        <v>206</v>
      </c>
      <c r="I66" t="s">
        <v>114</v>
      </c>
      <c r="J66" t="s">
        <v>115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>"18:52:45.984"</f>
        <v>18:52:45.984</v>
      </c>
      <c r="T66" t="str">
        <f>"18:52:45.984"</f>
        <v>18:52:45.984</v>
      </c>
      <c r="U66" t="str">
        <f t="shared" ref="U66:U129" si="4">"AB63B2"</f>
        <v>AB63B2</v>
      </c>
      <c r="V66">
        <v>0</v>
      </c>
      <c r="W66">
        <v>0</v>
      </c>
      <c r="X66">
        <v>6</v>
      </c>
      <c r="Z66">
        <v>0</v>
      </c>
      <c r="AA66">
        <v>8</v>
      </c>
      <c r="AB66">
        <v>3</v>
      </c>
      <c r="AC66">
        <v>0</v>
      </c>
      <c r="AD66">
        <v>9</v>
      </c>
      <c r="AE66">
        <v>0</v>
      </c>
      <c r="AF66">
        <v>0</v>
      </c>
      <c r="AG66">
        <v>2</v>
      </c>
      <c r="AH66">
        <v>0</v>
      </c>
      <c r="AI66" t="s">
        <v>122</v>
      </c>
      <c r="AJ66">
        <v>41.991506000000001</v>
      </c>
      <c r="AK66" t="s">
        <v>123</v>
      </c>
      <c r="AL66">
        <v>-87.891396999999998</v>
      </c>
      <c r="AS66">
        <v>1</v>
      </c>
      <c r="AT66" t="s">
        <v>118</v>
      </c>
      <c r="AU66" t="b">
        <v>1</v>
      </c>
      <c r="AV66">
        <v>357.19</v>
      </c>
      <c r="AW66">
        <v>0.125</v>
      </c>
      <c r="AX66">
        <v>1</v>
      </c>
      <c r="AZ66">
        <v>1200</v>
      </c>
      <c r="BA66">
        <v>1</v>
      </c>
      <c r="BB66" t="str">
        <f t="shared" ref="BB66:BB129" si="5">"KAP400  "</f>
        <v xml:space="preserve">KAP400  </v>
      </c>
      <c r="BC66">
        <v>1</v>
      </c>
      <c r="BE66">
        <v>0</v>
      </c>
      <c r="BF66">
        <v>0</v>
      </c>
      <c r="BG66">
        <v>0</v>
      </c>
      <c r="BI66">
        <v>1</v>
      </c>
      <c r="BJ66">
        <v>1</v>
      </c>
      <c r="BK66">
        <v>1</v>
      </c>
      <c r="BL66">
        <v>0</v>
      </c>
      <c r="BO66">
        <v>0</v>
      </c>
      <c r="BP66">
        <v>0</v>
      </c>
      <c r="BW66" t="str">
        <f>"18:52:45.986"</f>
        <v>18:52:45.986</v>
      </c>
      <c r="BX66" t="s">
        <v>119</v>
      </c>
      <c r="BY66" t="s">
        <v>120</v>
      </c>
      <c r="CJ66">
        <v>0</v>
      </c>
      <c r="CK66">
        <v>0</v>
      </c>
      <c r="CL66">
        <v>0</v>
      </c>
      <c r="CM66">
        <v>2</v>
      </c>
      <c r="CN66">
        <v>0</v>
      </c>
      <c r="CO66">
        <v>7</v>
      </c>
      <c r="CP66" t="s">
        <v>121</v>
      </c>
      <c r="CQ66">
        <v>582</v>
      </c>
      <c r="CR66">
        <v>0</v>
      </c>
      <c r="CW66">
        <v>4323538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</row>
    <row r="67" spans="1:113" x14ac:dyDescent="0.3">
      <c r="A67" t="str">
        <f>"06/16/2022 18:52:51.404"</f>
        <v>06/16/2022 18:52:51.404</v>
      </c>
      <c r="C67" t="str">
        <f t="shared" si="3"/>
        <v>FFBF5BC0</v>
      </c>
      <c r="D67" t="s">
        <v>113</v>
      </c>
      <c r="E67">
        <v>8</v>
      </c>
      <c r="H67">
        <v>206</v>
      </c>
      <c r="I67" t="s">
        <v>114</v>
      </c>
      <c r="J67" t="s">
        <v>115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"18:52:51.148"</f>
        <v>18:52:51.148</v>
      </c>
      <c r="T67" t="str">
        <f>"18:52:51.148"</f>
        <v>18:52:51.148</v>
      </c>
      <c r="U67" t="str">
        <f t="shared" si="4"/>
        <v>AB63B2</v>
      </c>
      <c r="V67">
        <v>0</v>
      </c>
      <c r="W67">
        <v>0</v>
      </c>
      <c r="X67">
        <v>6</v>
      </c>
      <c r="Z67">
        <v>0</v>
      </c>
      <c r="AA67">
        <v>8</v>
      </c>
      <c r="AB67">
        <v>3</v>
      </c>
      <c r="AC67">
        <v>0</v>
      </c>
      <c r="AD67">
        <v>9</v>
      </c>
      <c r="AE67">
        <v>0</v>
      </c>
      <c r="AF67">
        <v>0</v>
      </c>
      <c r="AG67">
        <v>2</v>
      </c>
      <c r="AH67">
        <v>0</v>
      </c>
      <c r="AI67" t="s">
        <v>122</v>
      </c>
      <c r="AJ67">
        <v>41.991506000000001</v>
      </c>
      <c r="AK67" t="s">
        <v>123</v>
      </c>
      <c r="AL67">
        <v>-87.891396999999998</v>
      </c>
      <c r="AS67">
        <v>1</v>
      </c>
      <c r="AT67" t="s">
        <v>118</v>
      </c>
      <c r="AU67" t="b">
        <v>1</v>
      </c>
      <c r="AV67">
        <v>357.19</v>
      </c>
      <c r="AW67">
        <v>0.125</v>
      </c>
      <c r="AX67">
        <v>1</v>
      </c>
      <c r="AZ67">
        <v>1200</v>
      </c>
      <c r="BA67">
        <v>1</v>
      </c>
      <c r="BB67" t="str">
        <f t="shared" si="5"/>
        <v xml:space="preserve">KAP400  </v>
      </c>
      <c r="BC67">
        <v>1</v>
      </c>
      <c r="BE67">
        <v>0</v>
      </c>
      <c r="BF67">
        <v>0</v>
      </c>
      <c r="BG67">
        <v>0</v>
      </c>
      <c r="BI67">
        <v>1</v>
      </c>
      <c r="BJ67">
        <v>1</v>
      </c>
      <c r="BK67">
        <v>1</v>
      </c>
      <c r="BL67">
        <v>0</v>
      </c>
      <c r="BO67">
        <v>0</v>
      </c>
      <c r="BP67">
        <v>0</v>
      </c>
      <c r="BW67" t="str">
        <f>"18:52:51.148"</f>
        <v>18:52:51.148</v>
      </c>
      <c r="BX67" t="s">
        <v>119</v>
      </c>
      <c r="BY67" t="s">
        <v>120</v>
      </c>
      <c r="CJ67">
        <v>0</v>
      </c>
      <c r="CK67">
        <v>0</v>
      </c>
      <c r="CL67">
        <v>0</v>
      </c>
      <c r="CM67">
        <v>2</v>
      </c>
      <c r="CN67">
        <v>0</v>
      </c>
      <c r="CO67">
        <v>7</v>
      </c>
      <c r="CP67" t="s">
        <v>121</v>
      </c>
      <c r="CQ67">
        <v>582</v>
      </c>
      <c r="CR67">
        <v>0</v>
      </c>
      <c r="CW67">
        <v>4331475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</row>
    <row r="68" spans="1:113" x14ac:dyDescent="0.3">
      <c r="A68" t="str">
        <f>"06/16/2022 18:52:56.373"</f>
        <v>06/16/2022 18:52:56.373</v>
      </c>
      <c r="C68" t="str">
        <f t="shared" si="3"/>
        <v>FFBF5BC0</v>
      </c>
      <c r="D68" t="s">
        <v>113</v>
      </c>
      <c r="E68">
        <v>8</v>
      </c>
      <c r="H68">
        <v>206</v>
      </c>
      <c r="I68" t="s">
        <v>114</v>
      </c>
      <c r="J68" t="s">
        <v>115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"18:52:56.141"</f>
        <v>18:52:56.141</v>
      </c>
      <c r="T68" t="str">
        <f>"18:52:56.141"</f>
        <v>18:52:56.141</v>
      </c>
      <c r="U68" t="str">
        <f t="shared" si="4"/>
        <v>AB63B2</v>
      </c>
      <c r="V68">
        <v>0</v>
      </c>
      <c r="W68">
        <v>0</v>
      </c>
      <c r="X68">
        <v>6</v>
      </c>
      <c r="Z68">
        <v>0</v>
      </c>
      <c r="AA68">
        <v>9</v>
      </c>
      <c r="AB68">
        <v>3</v>
      </c>
      <c r="AC68">
        <v>0</v>
      </c>
      <c r="AD68">
        <v>10</v>
      </c>
      <c r="AE68">
        <v>0</v>
      </c>
      <c r="AF68">
        <v>0</v>
      </c>
      <c r="AG68">
        <v>2</v>
      </c>
      <c r="AH68">
        <v>0</v>
      </c>
      <c r="AI68" t="s">
        <v>122</v>
      </c>
      <c r="AJ68">
        <v>41.991506000000001</v>
      </c>
      <c r="AK68" t="s">
        <v>123</v>
      </c>
      <c r="AL68">
        <v>-87.891396999999998</v>
      </c>
      <c r="AS68">
        <v>1</v>
      </c>
      <c r="AT68" t="s">
        <v>118</v>
      </c>
      <c r="AU68" t="b">
        <v>1</v>
      </c>
      <c r="AV68">
        <v>357.19</v>
      </c>
      <c r="AW68">
        <v>0.125</v>
      </c>
      <c r="AX68">
        <v>1</v>
      </c>
      <c r="AZ68">
        <v>1200</v>
      </c>
      <c r="BA68">
        <v>1</v>
      </c>
      <c r="BB68" t="str">
        <f t="shared" si="5"/>
        <v xml:space="preserve">KAP400  </v>
      </c>
      <c r="BC68">
        <v>1</v>
      </c>
      <c r="BE68">
        <v>0</v>
      </c>
      <c r="BF68">
        <v>0</v>
      </c>
      <c r="BG68">
        <v>0</v>
      </c>
      <c r="BI68">
        <v>1</v>
      </c>
      <c r="BJ68">
        <v>1</v>
      </c>
      <c r="BK68">
        <v>1</v>
      </c>
      <c r="BL68">
        <v>0</v>
      </c>
      <c r="BO68">
        <v>0</v>
      </c>
      <c r="BP68">
        <v>0</v>
      </c>
      <c r="BW68" t="str">
        <f>"18:52:56.142"</f>
        <v>18:52:56.142</v>
      </c>
      <c r="BX68" t="s">
        <v>119</v>
      </c>
      <c r="BY68" t="s">
        <v>120</v>
      </c>
      <c r="CJ68">
        <v>0</v>
      </c>
      <c r="CK68">
        <v>0</v>
      </c>
      <c r="CL68">
        <v>0</v>
      </c>
      <c r="CM68">
        <v>2</v>
      </c>
      <c r="CN68">
        <v>0</v>
      </c>
      <c r="CO68">
        <v>7</v>
      </c>
      <c r="CP68" t="s">
        <v>121</v>
      </c>
      <c r="CQ68">
        <v>582</v>
      </c>
      <c r="CR68">
        <v>0</v>
      </c>
      <c r="CW68">
        <v>4338982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</row>
    <row r="69" spans="1:113" x14ac:dyDescent="0.3">
      <c r="A69" t="str">
        <f>"06/16/2022 18:53:01.342"</f>
        <v>06/16/2022 18:53:01.342</v>
      </c>
      <c r="C69" t="str">
        <f t="shared" si="3"/>
        <v>FFBF5BC0</v>
      </c>
      <c r="D69" t="s">
        <v>113</v>
      </c>
      <c r="E69">
        <v>8</v>
      </c>
      <c r="H69">
        <v>206</v>
      </c>
      <c r="I69" t="s">
        <v>114</v>
      </c>
      <c r="J69" t="s">
        <v>115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>"18:53:01.102"</f>
        <v>18:53:01.102</v>
      </c>
      <c r="T69" t="str">
        <f>"18:53:01.102"</f>
        <v>18:53:01.102</v>
      </c>
      <c r="U69" t="str">
        <f t="shared" si="4"/>
        <v>AB63B2</v>
      </c>
      <c r="V69">
        <v>0</v>
      </c>
      <c r="W69">
        <v>0</v>
      </c>
      <c r="X69">
        <v>6</v>
      </c>
      <c r="Z69">
        <v>0</v>
      </c>
      <c r="AA69">
        <v>9</v>
      </c>
      <c r="AB69">
        <v>3</v>
      </c>
      <c r="AC69">
        <v>0</v>
      </c>
      <c r="AD69">
        <v>10</v>
      </c>
      <c r="AE69">
        <v>0</v>
      </c>
      <c r="AF69">
        <v>0</v>
      </c>
      <c r="AG69">
        <v>2</v>
      </c>
      <c r="AH69">
        <v>0</v>
      </c>
      <c r="AI69" t="s">
        <v>122</v>
      </c>
      <c r="AJ69">
        <v>41.991506000000001</v>
      </c>
      <c r="AK69" t="s">
        <v>123</v>
      </c>
      <c r="AL69">
        <v>-87.891396999999998</v>
      </c>
      <c r="AS69">
        <v>1</v>
      </c>
      <c r="AT69" t="s">
        <v>118</v>
      </c>
      <c r="AU69" t="b">
        <v>1</v>
      </c>
      <c r="AV69">
        <v>357.19</v>
      </c>
      <c r="AW69">
        <v>0.125</v>
      </c>
      <c r="AX69">
        <v>1</v>
      </c>
      <c r="AZ69">
        <v>1200</v>
      </c>
      <c r="BA69">
        <v>1</v>
      </c>
      <c r="BB69" t="str">
        <f t="shared" si="5"/>
        <v xml:space="preserve">KAP400  </v>
      </c>
      <c r="BC69">
        <v>1</v>
      </c>
      <c r="BE69">
        <v>0</v>
      </c>
      <c r="BF69">
        <v>0</v>
      </c>
      <c r="BG69">
        <v>0</v>
      </c>
      <c r="BI69">
        <v>1</v>
      </c>
      <c r="BJ69">
        <v>1</v>
      </c>
      <c r="BK69">
        <v>1</v>
      </c>
      <c r="BL69">
        <v>0</v>
      </c>
      <c r="BO69">
        <v>0</v>
      </c>
      <c r="BP69">
        <v>0</v>
      </c>
      <c r="BW69" t="str">
        <f>"18:53:01.108"</f>
        <v>18:53:01.108</v>
      </c>
      <c r="BX69" t="s">
        <v>119</v>
      </c>
      <c r="BY69" t="s">
        <v>120</v>
      </c>
      <c r="CJ69">
        <v>0</v>
      </c>
      <c r="CK69">
        <v>0</v>
      </c>
      <c r="CL69">
        <v>0</v>
      </c>
      <c r="CM69">
        <v>2</v>
      </c>
      <c r="CN69">
        <v>0</v>
      </c>
      <c r="CO69">
        <v>7</v>
      </c>
      <c r="CP69" t="s">
        <v>121</v>
      </c>
      <c r="CQ69">
        <v>581</v>
      </c>
      <c r="CR69">
        <v>0</v>
      </c>
      <c r="CW69">
        <v>13284263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</row>
    <row r="70" spans="1:113" x14ac:dyDescent="0.3">
      <c r="A70" t="str">
        <f>"06/16/2022 18:53:11.201"</f>
        <v>06/16/2022 18:53:11.201</v>
      </c>
      <c r="C70" t="str">
        <f t="shared" si="3"/>
        <v>FFBF5BC0</v>
      </c>
      <c r="D70" t="s">
        <v>113</v>
      </c>
      <c r="E70">
        <v>8</v>
      </c>
      <c r="H70">
        <v>206</v>
      </c>
      <c r="I70" t="s">
        <v>114</v>
      </c>
      <c r="J70" t="s">
        <v>115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"18:53:10.977"</f>
        <v>18:53:10.977</v>
      </c>
      <c r="T70" t="str">
        <f>"18:53:10.977"</f>
        <v>18:53:10.977</v>
      </c>
      <c r="U70" t="str">
        <f t="shared" si="4"/>
        <v>AB63B2</v>
      </c>
      <c r="V70">
        <v>0</v>
      </c>
      <c r="W70">
        <v>0</v>
      </c>
      <c r="X70">
        <v>6</v>
      </c>
      <c r="Z70">
        <v>0</v>
      </c>
      <c r="AA70">
        <v>9</v>
      </c>
      <c r="AB70">
        <v>3</v>
      </c>
      <c r="AC70">
        <v>0</v>
      </c>
      <c r="AD70">
        <v>10</v>
      </c>
      <c r="AE70">
        <v>0</v>
      </c>
      <c r="AF70">
        <v>0</v>
      </c>
      <c r="AG70">
        <v>2</v>
      </c>
      <c r="AH70">
        <v>0</v>
      </c>
      <c r="AI70" t="s">
        <v>122</v>
      </c>
      <c r="AJ70">
        <v>41.991506000000001</v>
      </c>
      <c r="AK70" t="s">
        <v>123</v>
      </c>
      <c r="AL70">
        <v>-87.891396999999998</v>
      </c>
      <c r="AS70">
        <v>1</v>
      </c>
      <c r="AT70" t="s">
        <v>118</v>
      </c>
      <c r="AU70" t="b">
        <v>1</v>
      </c>
      <c r="AV70">
        <v>357.19</v>
      </c>
      <c r="AW70">
        <v>0.125</v>
      </c>
      <c r="AX70">
        <v>1</v>
      </c>
      <c r="AZ70">
        <v>1200</v>
      </c>
      <c r="BA70">
        <v>1</v>
      </c>
      <c r="BB70" t="str">
        <f t="shared" si="5"/>
        <v xml:space="preserve">KAP400  </v>
      </c>
      <c r="BC70">
        <v>1</v>
      </c>
      <c r="BE70">
        <v>0</v>
      </c>
      <c r="BF70">
        <v>0</v>
      </c>
      <c r="BG70">
        <v>0</v>
      </c>
      <c r="BI70">
        <v>1</v>
      </c>
      <c r="BJ70">
        <v>1</v>
      </c>
      <c r="BK70">
        <v>1</v>
      </c>
      <c r="BL70">
        <v>0</v>
      </c>
      <c r="BO70">
        <v>0</v>
      </c>
      <c r="BP70">
        <v>0</v>
      </c>
      <c r="BW70" t="str">
        <f>"18:53:10.977"</f>
        <v>18:53:10.977</v>
      </c>
      <c r="BX70" t="s">
        <v>119</v>
      </c>
      <c r="BY70" t="s">
        <v>120</v>
      </c>
      <c r="CJ70">
        <v>0</v>
      </c>
      <c r="CK70">
        <v>0</v>
      </c>
      <c r="CL70">
        <v>0</v>
      </c>
      <c r="CM70">
        <v>2</v>
      </c>
      <c r="CN70">
        <v>0</v>
      </c>
      <c r="CO70">
        <v>7</v>
      </c>
      <c r="CP70" t="s">
        <v>121</v>
      </c>
      <c r="CQ70">
        <v>581</v>
      </c>
      <c r="CR70">
        <v>0</v>
      </c>
      <c r="CW70">
        <v>13300849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</row>
    <row r="71" spans="1:113" x14ac:dyDescent="0.3">
      <c r="A71" t="str">
        <f>"06/16/2022 18:53:16.091"</f>
        <v>06/16/2022 18:53:16.091</v>
      </c>
      <c r="C71" t="str">
        <f t="shared" si="3"/>
        <v>FFBF5BC0</v>
      </c>
      <c r="D71" t="s">
        <v>113</v>
      </c>
      <c r="E71">
        <v>8</v>
      </c>
      <c r="H71">
        <v>206</v>
      </c>
      <c r="I71" t="s">
        <v>114</v>
      </c>
      <c r="J71" t="s">
        <v>115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>"18:53:15.805"</f>
        <v>18:53:15.805</v>
      </c>
      <c r="T71" t="str">
        <f>"18:53:15.805"</f>
        <v>18:53:15.805</v>
      </c>
      <c r="U71" t="str">
        <f t="shared" si="4"/>
        <v>AB63B2</v>
      </c>
      <c r="V71">
        <v>0</v>
      </c>
      <c r="W71">
        <v>0</v>
      </c>
      <c r="X71">
        <v>6</v>
      </c>
      <c r="Z71">
        <v>0</v>
      </c>
      <c r="AA71">
        <v>9</v>
      </c>
      <c r="AB71">
        <v>3</v>
      </c>
      <c r="AC71">
        <v>0</v>
      </c>
      <c r="AD71">
        <v>10</v>
      </c>
      <c r="AE71">
        <v>0</v>
      </c>
      <c r="AF71">
        <v>0</v>
      </c>
      <c r="AG71">
        <v>2</v>
      </c>
      <c r="AH71">
        <v>0</v>
      </c>
      <c r="AI71" t="s">
        <v>122</v>
      </c>
      <c r="AJ71">
        <v>41.991506000000001</v>
      </c>
      <c r="AK71" t="s">
        <v>123</v>
      </c>
      <c r="AL71">
        <v>-87.891396999999998</v>
      </c>
      <c r="AS71">
        <v>1</v>
      </c>
      <c r="AT71" t="s">
        <v>118</v>
      </c>
      <c r="AU71" t="b">
        <v>1</v>
      </c>
      <c r="AV71">
        <v>357.19</v>
      </c>
      <c r="AW71">
        <v>0.125</v>
      </c>
      <c r="AX71">
        <v>1</v>
      </c>
      <c r="AZ71">
        <v>1200</v>
      </c>
      <c r="BA71">
        <v>1</v>
      </c>
      <c r="BB71" t="str">
        <f t="shared" si="5"/>
        <v xml:space="preserve">KAP400  </v>
      </c>
      <c r="BC71">
        <v>1</v>
      </c>
      <c r="BE71">
        <v>0</v>
      </c>
      <c r="BF71">
        <v>0</v>
      </c>
      <c r="BG71">
        <v>0</v>
      </c>
      <c r="BI71">
        <v>1</v>
      </c>
      <c r="BJ71">
        <v>1</v>
      </c>
      <c r="BK71">
        <v>1</v>
      </c>
      <c r="BL71">
        <v>0</v>
      </c>
      <c r="BO71">
        <v>0</v>
      </c>
      <c r="BP71">
        <v>0</v>
      </c>
      <c r="BW71" t="str">
        <f>"18:53:15.812"</f>
        <v>18:53:15.812</v>
      </c>
      <c r="BX71" t="s">
        <v>119</v>
      </c>
      <c r="BY71" t="s">
        <v>120</v>
      </c>
      <c r="CJ71">
        <v>0</v>
      </c>
      <c r="CK71">
        <v>0</v>
      </c>
      <c r="CL71">
        <v>0</v>
      </c>
      <c r="CM71">
        <v>2</v>
      </c>
      <c r="CN71">
        <v>0</v>
      </c>
      <c r="CO71">
        <v>7</v>
      </c>
      <c r="CP71" t="s">
        <v>121</v>
      </c>
      <c r="CQ71">
        <v>582</v>
      </c>
      <c r="CR71">
        <v>0</v>
      </c>
      <c r="CW71">
        <v>4369245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</row>
    <row r="72" spans="1:113" x14ac:dyDescent="0.3">
      <c r="A72" t="str">
        <f>"06/16/2022 18:53:21.029"</f>
        <v>06/16/2022 18:53:21.029</v>
      </c>
      <c r="C72" t="str">
        <f t="shared" si="3"/>
        <v>FFBF5BC0</v>
      </c>
      <c r="D72" t="s">
        <v>113</v>
      </c>
      <c r="E72">
        <v>8</v>
      </c>
      <c r="H72">
        <v>206</v>
      </c>
      <c r="I72" t="s">
        <v>114</v>
      </c>
      <c r="J72" t="s">
        <v>115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"18:53:20.719"</f>
        <v>18:53:20.719</v>
      </c>
      <c r="T72" t="str">
        <f>"18:53:20.719"</f>
        <v>18:53:20.719</v>
      </c>
      <c r="U72" t="str">
        <f t="shared" si="4"/>
        <v>AB63B2</v>
      </c>
      <c r="V72">
        <v>0</v>
      </c>
      <c r="W72">
        <v>0</v>
      </c>
      <c r="X72">
        <v>6</v>
      </c>
      <c r="Z72">
        <v>0</v>
      </c>
      <c r="AA72">
        <v>9</v>
      </c>
      <c r="AB72">
        <v>3</v>
      </c>
      <c r="AC72">
        <v>0</v>
      </c>
      <c r="AD72">
        <v>10</v>
      </c>
      <c r="AE72">
        <v>0</v>
      </c>
      <c r="AF72">
        <v>0</v>
      </c>
      <c r="AG72">
        <v>2</v>
      </c>
      <c r="AH72">
        <v>0</v>
      </c>
      <c r="AI72" t="s">
        <v>122</v>
      </c>
      <c r="AJ72">
        <v>41.991506000000001</v>
      </c>
      <c r="AK72" t="s">
        <v>123</v>
      </c>
      <c r="AL72">
        <v>-87.891396999999998</v>
      </c>
      <c r="AS72">
        <v>1</v>
      </c>
      <c r="AT72" t="s">
        <v>118</v>
      </c>
      <c r="AU72" t="b">
        <v>1</v>
      </c>
      <c r="AV72">
        <v>357.19</v>
      </c>
      <c r="AW72">
        <v>0.125</v>
      </c>
      <c r="AX72">
        <v>1</v>
      </c>
      <c r="AZ72">
        <v>1200</v>
      </c>
      <c r="BA72">
        <v>1</v>
      </c>
      <c r="BB72" t="str">
        <f t="shared" si="5"/>
        <v xml:space="preserve">KAP400  </v>
      </c>
      <c r="BC72">
        <v>1</v>
      </c>
      <c r="BE72">
        <v>0</v>
      </c>
      <c r="BF72">
        <v>0</v>
      </c>
      <c r="BG72">
        <v>0</v>
      </c>
      <c r="BI72">
        <v>1</v>
      </c>
      <c r="BJ72">
        <v>1</v>
      </c>
      <c r="BK72">
        <v>1</v>
      </c>
      <c r="BL72">
        <v>0</v>
      </c>
      <c r="BO72">
        <v>0</v>
      </c>
      <c r="BP72">
        <v>0</v>
      </c>
      <c r="BW72" t="str">
        <f>"18:53:20.719"</f>
        <v>18:53:20.719</v>
      </c>
      <c r="BX72" t="s">
        <v>119</v>
      </c>
      <c r="BY72" t="s">
        <v>120</v>
      </c>
      <c r="CJ72">
        <v>0</v>
      </c>
      <c r="CK72">
        <v>0</v>
      </c>
      <c r="CL72">
        <v>0</v>
      </c>
      <c r="CM72">
        <v>2</v>
      </c>
      <c r="CN72">
        <v>0</v>
      </c>
      <c r="CO72">
        <v>7</v>
      </c>
      <c r="CP72" t="s">
        <v>121</v>
      </c>
      <c r="CQ72">
        <v>581</v>
      </c>
      <c r="CR72">
        <v>0</v>
      </c>
      <c r="CW72">
        <v>13317133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</row>
    <row r="73" spans="1:113" x14ac:dyDescent="0.3">
      <c r="A73" t="str">
        <f>"06/16/2022 18:53:25.779"</f>
        <v>06/16/2022 18:53:25.779</v>
      </c>
      <c r="C73" t="str">
        <f t="shared" si="3"/>
        <v>FFBF5BC0</v>
      </c>
      <c r="D73" t="s">
        <v>113</v>
      </c>
      <c r="E73">
        <v>8</v>
      </c>
      <c r="H73">
        <v>206</v>
      </c>
      <c r="I73" t="s">
        <v>114</v>
      </c>
      <c r="J73" t="s">
        <v>115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"18:53:25.531"</f>
        <v>18:53:25.531</v>
      </c>
      <c r="T73" t="str">
        <f>"18:53:25.531"</f>
        <v>18:53:25.531</v>
      </c>
      <c r="U73" t="str">
        <f t="shared" si="4"/>
        <v>AB63B2</v>
      </c>
      <c r="V73">
        <v>0</v>
      </c>
      <c r="W73">
        <v>0</v>
      </c>
      <c r="X73">
        <v>6</v>
      </c>
      <c r="Z73">
        <v>0</v>
      </c>
      <c r="AA73">
        <v>9</v>
      </c>
      <c r="AB73">
        <v>3</v>
      </c>
      <c r="AC73">
        <v>0</v>
      </c>
      <c r="AD73">
        <v>10</v>
      </c>
      <c r="AE73">
        <v>0</v>
      </c>
      <c r="AF73">
        <v>0</v>
      </c>
      <c r="AG73">
        <v>2</v>
      </c>
      <c r="AH73">
        <v>0</v>
      </c>
      <c r="AI73" t="s">
        <v>122</v>
      </c>
      <c r="AJ73">
        <v>41.991506000000001</v>
      </c>
      <c r="AK73" t="s">
        <v>123</v>
      </c>
      <c r="AL73">
        <v>-87.891396999999998</v>
      </c>
      <c r="AS73">
        <v>1</v>
      </c>
      <c r="AT73" t="s">
        <v>118</v>
      </c>
      <c r="AU73" t="b">
        <v>1</v>
      </c>
      <c r="AV73">
        <v>357.19</v>
      </c>
      <c r="AW73">
        <v>0.125</v>
      </c>
      <c r="AX73">
        <v>1</v>
      </c>
      <c r="AZ73">
        <v>1200</v>
      </c>
      <c r="BA73">
        <v>1</v>
      </c>
      <c r="BB73" t="str">
        <f t="shared" si="5"/>
        <v xml:space="preserve">KAP400  </v>
      </c>
      <c r="BC73">
        <v>1</v>
      </c>
      <c r="BE73">
        <v>0</v>
      </c>
      <c r="BF73">
        <v>0</v>
      </c>
      <c r="BG73">
        <v>0</v>
      </c>
      <c r="BI73">
        <v>1</v>
      </c>
      <c r="BJ73">
        <v>1</v>
      </c>
      <c r="BK73">
        <v>1</v>
      </c>
      <c r="BL73">
        <v>0</v>
      </c>
      <c r="BO73">
        <v>0</v>
      </c>
      <c r="BP73">
        <v>0</v>
      </c>
      <c r="BW73" t="str">
        <f>"18:53:25.539"</f>
        <v>18:53:25.539</v>
      </c>
      <c r="BX73" t="s">
        <v>119</v>
      </c>
      <c r="BY73" t="s">
        <v>120</v>
      </c>
      <c r="CJ73">
        <v>0</v>
      </c>
      <c r="CK73">
        <v>0</v>
      </c>
      <c r="CL73">
        <v>0</v>
      </c>
      <c r="CM73">
        <v>2</v>
      </c>
      <c r="CN73">
        <v>0</v>
      </c>
      <c r="CO73">
        <v>7</v>
      </c>
      <c r="CP73" t="s">
        <v>121</v>
      </c>
      <c r="CQ73">
        <v>579</v>
      </c>
      <c r="CR73">
        <v>0</v>
      </c>
      <c r="CW73">
        <v>15719969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</row>
    <row r="74" spans="1:113" x14ac:dyDescent="0.3">
      <c r="A74" t="str">
        <f>"06/16/2022 18:53:30.560"</f>
        <v>06/16/2022 18:53:30.560</v>
      </c>
      <c r="C74" t="str">
        <f t="shared" si="3"/>
        <v>FFBF5BC0</v>
      </c>
      <c r="D74" t="s">
        <v>113</v>
      </c>
      <c r="E74">
        <v>8</v>
      </c>
      <c r="H74">
        <v>206</v>
      </c>
      <c r="I74" t="s">
        <v>114</v>
      </c>
      <c r="J74" t="s">
        <v>115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"18:53:30.336"</f>
        <v>18:53:30.336</v>
      </c>
      <c r="T74" t="str">
        <f>"18:53:30.336"</f>
        <v>18:53:30.336</v>
      </c>
      <c r="U74" t="str">
        <f t="shared" si="4"/>
        <v>AB63B2</v>
      </c>
      <c r="V74">
        <v>0</v>
      </c>
      <c r="W74">
        <v>0</v>
      </c>
      <c r="X74">
        <v>6</v>
      </c>
      <c r="Z74">
        <v>0</v>
      </c>
      <c r="AA74">
        <v>9</v>
      </c>
      <c r="AB74">
        <v>3</v>
      </c>
      <c r="AC74">
        <v>0</v>
      </c>
      <c r="AD74">
        <v>10</v>
      </c>
      <c r="AE74">
        <v>0</v>
      </c>
      <c r="AF74">
        <v>0</v>
      </c>
      <c r="AG74">
        <v>2</v>
      </c>
      <c r="AH74">
        <v>0</v>
      </c>
      <c r="AI74" t="s">
        <v>122</v>
      </c>
      <c r="AJ74">
        <v>41.991506000000001</v>
      </c>
      <c r="AK74" t="s">
        <v>123</v>
      </c>
      <c r="AL74">
        <v>-87.891396999999998</v>
      </c>
      <c r="AS74">
        <v>1</v>
      </c>
      <c r="AT74" t="s">
        <v>118</v>
      </c>
      <c r="AU74" t="b">
        <v>1</v>
      </c>
      <c r="AV74">
        <v>357.19</v>
      </c>
      <c r="AW74">
        <v>0.125</v>
      </c>
      <c r="AX74">
        <v>1</v>
      </c>
      <c r="AZ74">
        <v>1200</v>
      </c>
      <c r="BA74">
        <v>1</v>
      </c>
      <c r="BB74" t="str">
        <f t="shared" si="5"/>
        <v xml:space="preserve">KAP400  </v>
      </c>
      <c r="BC74">
        <v>1</v>
      </c>
      <c r="BE74">
        <v>0</v>
      </c>
      <c r="BF74">
        <v>0</v>
      </c>
      <c r="BG74">
        <v>0</v>
      </c>
      <c r="BI74">
        <v>1</v>
      </c>
      <c r="BJ74">
        <v>1</v>
      </c>
      <c r="BK74">
        <v>1</v>
      </c>
      <c r="BL74">
        <v>0</v>
      </c>
      <c r="BO74">
        <v>0</v>
      </c>
      <c r="BP74">
        <v>0</v>
      </c>
      <c r="BW74" t="str">
        <f>"18:53:30.343"</f>
        <v>18:53:30.343</v>
      </c>
      <c r="BX74" t="s">
        <v>119</v>
      </c>
      <c r="BY74" t="s">
        <v>120</v>
      </c>
      <c r="CJ74">
        <v>0</v>
      </c>
      <c r="CK74">
        <v>0</v>
      </c>
      <c r="CL74">
        <v>0</v>
      </c>
      <c r="CM74">
        <v>2</v>
      </c>
      <c r="CN74">
        <v>0</v>
      </c>
      <c r="CO74">
        <v>7</v>
      </c>
      <c r="CP74" t="s">
        <v>121</v>
      </c>
      <c r="CQ74">
        <v>581</v>
      </c>
      <c r="CR74">
        <v>0</v>
      </c>
      <c r="CW74">
        <v>13333156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</row>
    <row r="75" spans="1:113" x14ac:dyDescent="0.3">
      <c r="A75" t="str">
        <f>"06/16/2022 18:53:35.529"</f>
        <v>06/16/2022 18:53:35.529</v>
      </c>
      <c r="C75" t="str">
        <f t="shared" si="3"/>
        <v>FFBF5BC0</v>
      </c>
      <c r="D75" t="s">
        <v>113</v>
      </c>
      <c r="E75">
        <v>8</v>
      </c>
      <c r="H75">
        <v>206</v>
      </c>
      <c r="I75" t="s">
        <v>114</v>
      </c>
      <c r="J75" t="s">
        <v>115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"18:53:35.313"</f>
        <v>18:53:35.313</v>
      </c>
      <c r="T75" t="str">
        <f>"18:53:35.313"</f>
        <v>18:53:35.313</v>
      </c>
      <c r="U75" t="str">
        <f t="shared" si="4"/>
        <v>AB63B2</v>
      </c>
      <c r="V75">
        <v>0</v>
      </c>
      <c r="W75">
        <v>0</v>
      </c>
      <c r="X75">
        <v>6</v>
      </c>
      <c r="Z75">
        <v>0</v>
      </c>
      <c r="AA75">
        <v>9</v>
      </c>
      <c r="AB75">
        <v>3</v>
      </c>
      <c r="AC75">
        <v>0</v>
      </c>
      <c r="AD75">
        <v>10</v>
      </c>
      <c r="AE75">
        <v>0</v>
      </c>
      <c r="AF75">
        <v>0</v>
      </c>
      <c r="AG75">
        <v>2</v>
      </c>
      <c r="AH75">
        <v>0</v>
      </c>
      <c r="AI75" t="s">
        <v>122</v>
      </c>
      <c r="AJ75">
        <v>41.991506000000001</v>
      </c>
      <c r="AK75" t="s">
        <v>123</v>
      </c>
      <c r="AL75">
        <v>-87.891396999999998</v>
      </c>
      <c r="AS75">
        <v>1</v>
      </c>
      <c r="AT75" t="s">
        <v>118</v>
      </c>
      <c r="AU75" t="b">
        <v>1</v>
      </c>
      <c r="AV75">
        <v>357.19</v>
      </c>
      <c r="AW75">
        <v>0.125</v>
      </c>
      <c r="AX75">
        <v>1</v>
      </c>
      <c r="AZ75">
        <v>1200</v>
      </c>
      <c r="BA75">
        <v>1</v>
      </c>
      <c r="BB75" t="str">
        <f t="shared" si="5"/>
        <v xml:space="preserve">KAP400  </v>
      </c>
      <c r="BC75">
        <v>1</v>
      </c>
      <c r="BE75">
        <v>0</v>
      </c>
      <c r="BF75">
        <v>0</v>
      </c>
      <c r="BG75">
        <v>0</v>
      </c>
      <c r="BI75">
        <v>1</v>
      </c>
      <c r="BJ75">
        <v>1</v>
      </c>
      <c r="BK75">
        <v>1</v>
      </c>
      <c r="BL75">
        <v>0</v>
      </c>
      <c r="BO75">
        <v>0</v>
      </c>
      <c r="BP75">
        <v>0</v>
      </c>
      <c r="BW75" t="str">
        <f>"18:53:35.319"</f>
        <v>18:53:35.319</v>
      </c>
      <c r="BX75" t="s">
        <v>119</v>
      </c>
      <c r="BY75" t="s">
        <v>120</v>
      </c>
      <c r="CJ75">
        <v>0</v>
      </c>
      <c r="CK75">
        <v>0</v>
      </c>
      <c r="CL75">
        <v>0</v>
      </c>
      <c r="CM75">
        <v>2</v>
      </c>
      <c r="CN75">
        <v>0</v>
      </c>
      <c r="CO75">
        <v>7</v>
      </c>
      <c r="CP75" t="s">
        <v>121</v>
      </c>
      <c r="CQ75">
        <v>581</v>
      </c>
      <c r="CR75">
        <v>0</v>
      </c>
      <c r="CW75">
        <v>13341450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</row>
    <row r="76" spans="1:113" x14ac:dyDescent="0.3">
      <c r="A76" t="str">
        <f>"06/16/2022 18:53:40.701"</f>
        <v>06/16/2022 18:53:40.701</v>
      </c>
      <c r="C76" t="str">
        <f t="shared" si="3"/>
        <v>FFBF5BC0</v>
      </c>
      <c r="D76" t="s">
        <v>113</v>
      </c>
      <c r="E76">
        <v>8</v>
      </c>
      <c r="H76">
        <v>206</v>
      </c>
      <c r="I76" t="s">
        <v>114</v>
      </c>
      <c r="J76" t="s">
        <v>115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"18:53:40.484"</f>
        <v>18:53:40.484</v>
      </c>
      <c r="T76" t="str">
        <f>"18:53:40.484"</f>
        <v>18:53:40.484</v>
      </c>
      <c r="U76" t="str">
        <f t="shared" si="4"/>
        <v>AB63B2</v>
      </c>
      <c r="V76">
        <v>0</v>
      </c>
      <c r="W76">
        <v>0</v>
      </c>
      <c r="X76">
        <v>6</v>
      </c>
      <c r="Z76">
        <v>0</v>
      </c>
      <c r="AA76">
        <v>9</v>
      </c>
      <c r="AB76">
        <v>3</v>
      </c>
      <c r="AC76">
        <v>0</v>
      </c>
      <c r="AD76">
        <v>10</v>
      </c>
      <c r="AE76">
        <v>0</v>
      </c>
      <c r="AF76">
        <v>0</v>
      </c>
      <c r="AG76">
        <v>2</v>
      </c>
      <c r="AH76">
        <v>0</v>
      </c>
      <c r="AI76" t="s">
        <v>122</v>
      </c>
      <c r="AJ76">
        <v>41.991506000000001</v>
      </c>
      <c r="AK76" t="s">
        <v>123</v>
      </c>
      <c r="AL76">
        <v>-87.891396999999998</v>
      </c>
      <c r="AS76">
        <v>1</v>
      </c>
      <c r="AT76" t="s">
        <v>118</v>
      </c>
      <c r="AU76" t="b">
        <v>1</v>
      </c>
      <c r="AV76">
        <v>357.19</v>
      </c>
      <c r="AW76">
        <v>0.125</v>
      </c>
      <c r="AX76">
        <v>1</v>
      </c>
      <c r="AZ76">
        <v>1200</v>
      </c>
      <c r="BA76">
        <v>1</v>
      </c>
      <c r="BB76" t="str">
        <f t="shared" si="5"/>
        <v xml:space="preserve">KAP400  </v>
      </c>
      <c r="BC76">
        <v>1</v>
      </c>
      <c r="BE76">
        <v>0</v>
      </c>
      <c r="BF76">
        <v>0</v>
      </c>
      <c r="BG76">
        <v>0</v>
      </c>
      <c r="BI76">
        <v>1</v>
      </c>
      <c r="BJ76">
        <v>1</v>
      </c>
      <c r="BK76">
        <v>1</v>
      </c>
      <c r="BL76">
        <v>0</v>
      </c>
      <c r="BO76">
        <v>0</v>
      </c>
      <c r="BP76">
        <v>0</v>
      </c>
      <c r="BW76" t="str">
        <f>"18:53:40.488"</f>
        <v>18:53:40.488</v>
      </c>
      <c r="BX76" t="s">
        <v>119</v>
      </c>
      <c r="BY76" t="s">
        <v>120</v>
      </c>
      <c r="CJ76">
        <v>0</v>
      </c>
      <c r="CK76">
        <v>0</v>
      </c>
      <c r="CL76">
        <v>0</v>
      </c>
      <c r="CM76">
        <v>2</v>
      </c>
      <c r="CN76">
        <v>0</v>
      </c>
      <c r="CO76">
        <v>7</v>
      </c>
      <c r="CP76" t="s">
        <v>121</v>
      </c>
      <c r="CQ76">
        <v>582</v>
      </c>
      <c r="CR76">
        <v>0</v>
      </c>
      <c r="CW76">
        <v>4407172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</row>
    <row r="77" spans="1:113" x14ac:dyDescent="0.3">
      <c r="A77" t="str">
        <f>"06/16/2022 18:53:45.590"</f>
        <v>06/16/2022 18:53:45.590</v>
      </c>
      <c r="C77" t="str">
        <f t="shared" si="3"/>
        <v>FFBF5BC0</v>
      </c>
      <c r="D77" t="s">
        <v>113</v>
      </c>
      <c r="E77">
        <v>8</v>
      </c>
      <c r="H77">
        <v>206</v>
      </c>
      <c r="I77" t="s">
        <v>114</v>
      </c>
      <c r="J77" t="s">
        <v>115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>"18:53:45.305"</f>
        <v>18:53:45.305</v>
      </c>
      <c r="T77" t="str">
        <f>"18:53:45.305"</f>
        <v>18:53:45.305</v>
      </c>
      <c r="U77" t="str">
        <f t="shared" si="4"/>
        <v>AB63B2</v>
      </c>
      <c r="V77">
        <v>0</v>
      </c>
      <c r="W77">
        <v>0</v>
      </c>
      <c r="X77">
        <v>6</v>
      </c>
      <c r="Z77">
        <v>0</v>
      </c>
      <c r="AA77">
        <v>9</v>
      </c>
      <c r="AB77">
        <v>3</v>
      </c>
      <c r="AC77">
        <v>0</v>
      </c>
      <c r="AD77">
        <v>10</v>
      </c>
      <c r="AE77">
        <v>0</v>
      </c>
      <c r="AF77">
        <v>0</v>
      </c>
      <c r="AG77">
        <v>2</v>
      </c>
      <c r="AH77">
        <v>0</v>
      </c>
      <c r="AI77" t="s">
        <v>122</v>
      </c>
      <c r="AJ77">
        <v>41.991506000000001</v>
      </c>
      <c r="AK77" t="s">
        <v>123</v>
      </c>
      <c r="AL77">
        <v>-87.891396999999998</v>
      </c>
      <c r="AS77">
        <v>1</v>
      </c>
      <c r="AT77" t="s">
        <v>118</v>
      </c>
      <c r="AU77" t="b">
        <v>1</v>
      </c>
      <c r="AV77">
        <v>357.19</v>
      </c>
      <c r="AW77">
        <v>0.125</v>
      </c>
      <c r="AX77">
        <v>1</v>
      </c>
      <c r="AZ77">
        <v>1200</v>
      </c>
      <c r="BA77">
        <v>1</v>
      </c>
      <c r="BB77" t="str">
        <f t="shared" si="5"/>
        <v xml:space="preserve">KAP400  </v>
      </c>
      <c r="BC77">
        <v>1</v>
      </c>
      <c r="BE77">
        <v>0</v>
      </c>
      <c r="BF77">
        <v>0</v>
      </c>
      <c r="BG77">
        <v>0</v>
      </c>
      <c r="BI77">
        <v>1</v>
      </c>
      <c r="BJ77">
        <v>1</v>
      </c>
      <c r="BK77">
        <v>1</v>
      </c>
      <c r="BL77">
        <v>0</v>
      </c>
      <c r="BO77">
        <v>0</v>
      </c>
      <c r="BP77">
        <v>0</v>
      </c>
      <c r="BW77" t="str">
        <f>"18:53:45.310"</f>
        <v>18:53:45.310</v>
      </c>
      <c r="BX77" t="s">
        <v>119</v>
      </c>
      <c r="BY77" t="s">
        <v>120</v>
      </c>
      <c r="CJ77">
        <v>0</v>
      </c>
      <c r="CK77">
        <v>0</v>
      </c>
      <c r="CL77">
        <v>0</v>
      </c>
      <c r="CM77">
        <v>2</v>
      </c>
      <c r="CN77">
        <v>0</v>
      </c>
      <c r="CO77">
        <v>7</v>
      </c>
      <c r="CP77" t="s">
        <v>121</v>
      </c>
      <c r="CQ77">
        <v>582</v>
      </c>
      <c r="CR77">
        <v>0</v>
      </c>
      <c r="CW77">
        <v>4414507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</row>
    <row r="78" spans="1:113" x14ac:dyDescent="0.3">
      <c r="A78" t="str">
        <f>"06/16/2022 18:53:50.721"</f>
        <v>06/16/2022 18:53:50.721</v>
      </c>
      <c r="C78" t="str">
        <f t="shared" si="3"/>
        <v>FFBF5BC0</v>
      </c>
      <c r="D78" t="s">
        <v>113</v>
      </c>
      <c r="E78">
        <v>8</v>
      </c>
      <c r="H78">
        <v>206</v>
      </c>
      <c r="I78" t="s">
        <v>114</v>
      </c>
      <c r="J78" t="s">
        <v>115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"18:53:50.500"</f>
        <v>18:53:50.500</v>
      </c>
      <c r="T78" t="str">
        <f>"18:53:50.500"</f>
        <v>18:53:50.500</v>
      </c>
      <c r="U78" t="str">
        <f t="shared" si="4"/>
        <v>AB63B2</v>
      </c>
      <c r="V78">
        <v>0</v>
      </c>
      <c r="W78">
        <v>0</v>
      </c>
      <c r="X78">
        <v>6</v>
      </c>
      <c r="Z78">
        <v>0</v>
      </c>
      <c r="AA78">
        <v>9</v>
      </c>
      <c r="AB78">
        <v>3</v>
      </c>
      <c r="AC78">
        <v>0</v>
      </c>
      <c r="AD78">
        <v>10</v>
      </c>
      <c r="AE78">
        <v>0</v>
      </c>
      <c r="AF78">
        <v>0</v>
      </c>
      <c r="AG78">
        <v>2</v>
      </c>
      <c r="AH78">
        <v>0</v>
      </c>
      <c r="AI78" t="s">
        <v>122</v>
      </c>
      <c r="AJ78">
        <v>41.991506000000001</v>
      </c>
      <c r="AK78" t="s">
        <v>123</v>
      </c>
      <c r="AL78">
        <v>-87.891396999999998</v>
      </c>
      <c r="AS78">
        <v>1</v>
      </c>
      <c r="AT78" t="s">
        <v>118</v>
      </c>
      <c r="AU78" t="b">
        <v>1</v>
      </c>
      <c r="AV78">
        <v>357.19</v>
      </c>
      <c r="AW78">
        <v>0.125</v>
      </c>
      <c r="AX78">
        <v>1</v>
      </c>
      <c r="AZ78">
        <v>1200</v>
      </c>
      <c r="BA78">
        <v>1</v>
      </c>
      <c r="BB78" t="str">
        <f t="shared" si="5"/>
        <v xml:space="preserve">KAP400  </v>
      </c>
      <c r="BC78">
        <v>1</v>
      </c>
      <c r="BE78">
        <v>0</v>
      </c>
      <c r="BF78">
        <v>0</v>
      </c>
      <c r="BG78">
        <v>0</v>
      </c>
      <c r="BI78">
        <v>1</v>
      </c>
      <c r="BJ78">
        <v>1</v>
      </c>
      <c r="BK78">
        <v>1</v>
      </c>
      <c r="BL78">
        <v>0</v>
      </c>
      <c r="BO78">
        <v>0</v>
      </c>
      <c r="BP78">
        <v>0</v>
      </c>
      <c r="BW78" t="str">
        <f>"18:53:50.505"</f>
        <v>18:53:50.505</v>
      </c>
      <c r="BX78" t="s">
        <v>119</v>
      </c>
      <c r="BY78" t="s">
        <v>120</v>
      </c>
      <c r="CJ78">
        <v>0</v>
      </c>
      <c r="CK78">
        <v>0</v>
      </c>
      <c r="CL78">
        <v>0</v>
      </c>
      <c r="CM78">
        <v>2</v>
      </c>
      <c r="CN78">
        <v>0</v>
      </c>
      <c r="CO78">
        <v>7</v>
      </c>
      <c r="CP78" t="s">
        <v>121</v>
      </c>
      <c r="CQ78">
        <v>582</v>
      </c>
      <c r="CR78">
        <v>0</v>
      </c>
      <c r="CW78">
        <v>4422548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</row>
    <row r="79" spans="1:113" x14ac:dyDescent="0.3">
      <c r="A79" t="str">
        <f>"06/16/2022 18:53:55.623"</f>
        <v>06/16/2022 18:53:55.623</v>
      </c>
      <c r="C79" t="str">
        <f t="shared" si="3"/>
        <v>FFBF5BC0</v>
      </c>
      <c r="D79" t="s">
        <v>113</v>
      </c>
      <c r="E79">
        <v>8</v>
      </c>
      <c r="H79">
        <v>206</v>
      </c>
      <c r="I79" t="s">
        <v>114</v>
      </c>
      <c r="J79" t="s">
        <v>115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"18:53:55.359"</f>
        <v>18:53:55.359</v>
      </c>
      <c r="T79" t="str">
        <f>"18:53:55.359"</f>
        <v>18:53:55.359</v>
      </c>
      <c r="U79" t="str">
        <f t="shared" si="4"/>
        <v>AB63B2</v>
      </c>
      <c r="V79">
        <v>0</v>
      </c>
      <c r="W79">
        <v>0</v>
      </c>
      <c r="X79">
        <v>6</v>
      </c>
      <c r="Z79">
        <v>0</v>
      </c>
      <c r="AA79">
        <v>9</v>
      </c>
      <c r="AB79">
        <v>3</v>
      </c>
      <c r="AC79">
        <v>0</v>
      </c>
      <c r="AD79">
        <v>10</v>
      </c>
      <c r="AE79">
        <v>0</v>
      </c>
      <c r="AF79">
        <v>0</v>
      </c>
      <c r="AG79">
        <v>2</v>
      </c>
      <c r="AH79">
        <v>0</v>
      </c>
      <c r="AI79" t="s">
        <v>122</v>
      </c>
      <c r="AJ79">
        <v>41.991506000000001</v>
      </c>
      <c r="AK79" t="s">
        <v>123</v>
      </c>
      <c r="AL79">
        <v>-87.891396999999998</v>
      </c>
      <c r="AS79">
        <v>1</v>
      </c>
      <c r="AT79" t="s">
        <v>118</v>
      </c>
      <c r="AU79" t="b">
        <v>1</v>
      </c>
      <c r="AV79">
        <v>357.19</v>
      </c>
      <c r="AW79">
        <v>0.125</v>
      </c>
      <c r="AX79">
        <v>1</v>
      </c>
      <c r="AZ79">
        <v>1200</v>
      </c>
      <c r="BA79">
        <v>1</v>
      </c>
      <c r="BB79" t="str">
        <f t="shared" si="5"/>
        <v xml:space="preserve">KAP400  </v>
      </c>
      <c r="BC79">
        <v>1</v>
      </c>
      <c r="BE79">
        <v>0</v>
      </c>
      <c r="BF79">
        <v>0</v>
      </c>
      <c r="BG79">
        <v>0</v>
      </c>
      <c r="BI79">
        <v>1</v>
      </c>
      <c r="BJ79">
        <v>1</v>
      </c>
      <c r="BK79">
        <v>1</v>
      </c>
      <c r="BL79">
        <v>0</v>
      </c>
      <c r="BO79">
        <v>0</v>
      </c>
      <c r="BP79">
        <v>0</v>
      </c>
      <c r="BW79" t="str">
        <f>"18:53:55.367"</f>
        <v>18:53:55.367</v>
      </c>
      <c r="BX79" t="s">
        <v>119</v>
      </c>
      <c r="BY79" t="s">
        <v>120</v>
      </c>
      <c r="CJ79">
        <v>0</v>
      </c>
      <c r="CK79">
        <v>0</v>
      </c>
      <c r="CL79">
        <v>0</v>
      </c>
      <c r="CM79">
        <v>2</v>
      </c>
      <c r="CN79">
        <v>0</v>
      </c>
      <c r="CO79">
        <v>7</v>
      </c>
      <c r="CP79" t="s">
        <v>121</v>
      </c>
      <c r="CQ79">
        <v>579</v>
      </c>
      <c r="CR79">
        <v>0</v>
      </c>
      <c r="CW79">
        <v>15782909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</row>
    <row r="80" spans="1:113" x14ac:dyDescent="0.3">
      <c r="A80" t="str">
        <f>"06/16/2022 18:54:00.607"</f>
        <v>06/16/2022 18:54:00.607</v>
      </c>
      <c r="C80" t="str">
        <f t="shared" si="3"/>
        <v>FFBF5BC0</v>
      </c>
      <c r="D80" t="s">
        <v>113</v>
      </c>
      <c r="E80">
        <v>8</v>
      </c>
      <c r="H80">
        <v>206</v>
      </c>
      <c r="I80" t="s">
        <v>114</v>
      </c>
      <c r="J80" t="s">
        <v>115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>"18:54:00.313"</f>
        <v>18:54:00.313</v>
      </c>
      <c r="T80" t="str">
        <f>"18:54:00.313"</f>
        <v>18:54:00.313</v>
      </c>
      <c r="U80" t="str">
        <f t="shared" si="4"/>
        <v>AB63B2</v>
      </c>
      <c r="V80">
        <v>0</v>
      </c>
      <c r="W80">
        <v>0</v>
      </c>
      <c r="X80">
        <v>6</v>
      </c>
      <c r="Z80">
        <v>0</v>
      </c>
      <c r="AA80">
        <v>9</v>
      </c>
      <c r="AB80">
        <v>3</v>
      </c>
      <c r="AC80">
        <v>0</v>
      </c>
      <c r="AD80">
        <v>10</v>
      </c>
      <c r="AE80">
        <v>0</v>
      </c>
      <c r="AF80">
        <v>0</v>
      </c>
      <c r="AG80">
        <v>2</v>
      </c>
      <c r="AH80">
        <v>0</v>
      </c>
      <c r="AI80" t="s">
        <v>122</v>
      </c>
      <c r="AJ80">
        <v>41.991506000000001</v>
      </c>
      <c r="AK80" t="s">
        <v>123</v>
      </c>
      <c r="AL80">
        <v>-87.891396999999998</v>
      </c>
      <c r="AS80">
        <v>1</v>
      </c>
      <c r="AT80" t="s">
        <v>118</v>
      </c>
      <c r="AU80" t="b">
        <v>1</v>
      </c>
      <c r="AV80">
        <v>357.19</v>
      </c>
      <c r="AW80">
        <v>0.125</v>
      </c>
      <c r="AX80">
        <v>1</v>
      </c>
      <c r="AZ80">
        <v>1200</v>
      </c>
      <c r="BA80">
        <v>1</v>
      </c>
      <c r="BB80" t="str">
        <f t="shared" si="5"/>
        <v xml:space="preserve">KAP400  </v>
      </c>
      <c r="BC80">
        <v>1</v>
      </c>
      <c r="BE80">
        <v>0</v>
      </c>
      <c r="BF80">
        <v>0</v>
      </c>
      <c r="BG80">
        <v>0</v>
      </c>
      <c r="BI80">
        <v>1</v>
      </c>
      <c r="BJ80">
        <v>1</v>
      </c>
      <c r="BK80">
        <v>1</v>
      </c>
      <c r="BL80">
        <v>0</v>
      </c>
      <c r="BO80">
        <v>0</v>
      </c>
      <c r="BP80">
        <v>0</v>
      </c>
      <c r="BW80" t="str">
        <f>"18:54:00.313"</f>
        <v>18:54:00.313</v>
      </c>
      <c r="BX80" t="s">
        <v>119</v>
      </c>
      <c r="BY80" t="s">
        <v>120</v>
      </c>
      <c r="CJ80">
        <v>0</v>
      </c>
      <c r="CK80">
        <v>0</v>
      </c>
      <c r="CL80">
        <v>0</v>
      </c>
      <c r="CM80">
        <v>2</v>
      </c>
      <c r="CN80">
        <v>0</v>
      </c>
      <c r="CO80">
        <v>7</v>
      </c>
      <c r="CP80" t="s">
        <v>121</v>
      </c>
      <c r="CQ80">
        <v>581</v>
      </c>
      <c r="CR80">
        <v>0</v>
      </c>
      <c r="CW80">
        <v>13383076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</row>
    <row r="81" spans="1:113" x14ac:dyDescent="0.3">
      <c r="A81" t="str">
        <f>"06/16/2022 18:54:05.483"</f>
        <v>06/16/2022 18:54:05.483</v>
      </c>
      <c r="C81" t="str">
        <f t="shared" si="3"/>
        <v>FFBF5BC0</v>
      </c>
      <c r="D81" t="s">
        <v>113</v>
      </c>
      <c r="E81">
        <v>8</v>
      </c>
      <c r="H81">
        <v>206</v>
      </c>
      <c r="I81" t="s">
        <v>114</v>
      </c>
      <c r="J81" t="s">
        <v>115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>"18:54:05.266"</f>
        <v>18:54:05.266</v>
      </c>
      <c r="T81" t="str">
        <f>"18:54:05.266"</f>
        <v>18:54:05.266</v>
      </c>
      <c r="U81" t="str">
        <f t="shared" si="4"/>
        <v>AB63B2</v>
      </c>
      <c r="V81">
        <v>0</v>
      </c>
      <c r="W81">
        <v>0</v>
      </c>
      <c r="X81">
        <v>6</v>
      </c>
      <c r="Z81">
        <v>0</v>
      </c>
      <c r="AA81">
        <v>9</v>
      </c>
      <c r="AB81">
        <v>3</v>
      </c>
      <c r="AC81">
        <v>0</v>
      </c>
      <c r="AD81">
        <v>10</v>
      </c>
      <c r="AE81">
        <v>0</v>
      </c>
      <c r="AF81">
        <v>0</v>
      </c>
      <c r="AG81">
        <v>2</v>
      </c>
      <c r="AH81">
        <v>0</v>
      </c>
      <c r="AI81" t="s">
        <v>122</v>
      </c>
      <c r="AJ81">
        <v>41.991506000000001</v>
      </c>
      <c r="AK81" t="s">
        <v>123</v>
      </c>
      <c r="AL81">
        <v>-87.891396999999998</v>
      </c>
      <c r="AS81">
        <v>1</v>
      </c>
      <c r="AT81" t="s">
        <v>118</v>
      </c>
      <c r="AU81" t="b">
        <v>1</v>
      </c>
      <c r="AV81">
        <v>357.19</v>
      </c>
      <c r="AW81">
        <v>0.125</v>
      </c>
      <c r="AX81">
        <v>1</v>
      </c>
      <c r="AZ81">
        <v>1200</v>
      </c>
      <c r="BA81">
        <v>1</v>
      </c>
      <c r="BB81" t="str">
        <f t="shared" si="5"/>
        <v xml:space="preserve">KAP400  </v>
      </c>
      <c r="BC81">
        <v>1</v>
      </c>
      <c r="BE81">
        <v>0</v>
      </c>
      <c r="BF81">
        <v>0</v>
      </c>
      <c r="BG81">
        <v>0</v>
      </c>
      <c r="BI81">
        <v>1</v>
      </c>
      <c r="BJ81">
        <v>1</v>
      </c>
      <c r="BK81">
        <v>1</v>
      </c>
      <c r="BL81">
        <v>0</v>
      </c>
      <c r="BO81">
        <v>0</v>
      </c>
      <c r="BP81">
        <v>0</v>
      </c>
      <c r="BW81" t="str">
        <f>"18:54:05.268"</f>
        <v>18:54:05.268</v>
      </c>
      <c r="BX81" t="s">
        <v>119</v>
      </c>
      <c r="BY81" t="s">
        <v>120</v>
      </c>
      <c r="CJ81">
        <v>0</v>
      </c>
      <c r="CK81">
        <v>0</v>
      </c>
      <c r="CL81">
        <v>0</v>
      </c>
      <c r="CM81">
        <v>2</v>
      </c>
      <c r="CN81">
        <v>0</v>
      </c>
      <c r="CO81">
        <v>7</v>
      </c>
      <c r="CP81" t="s">
        <v>121</v>
      </c>
      <c r="CQ81">
        <v>582</v>
      </c>
      <c r="CR81">
        <v>0</v>
      </c>
      <c r="CW81">
        <v>4445586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</row>
    <row r="82" spans="1:113" x14ac:dyDescent="0.3">
      <c r="A82" t="str">
        <f>"06/16/2022 18:54:10.548"</f>
        <v>06/16/2022 18:54:10.548</v>
      </c>
      <c r="C82" t="str">
        <f t="shared" si="3"/>
        <v>FFBF5BC0</v>
      </c>
      <c r="D82" t="s">
        <v>113</v>
      </c>
      <c r="E82">
        <v>8</v>
      </c>
      <c r="H82">
        <v>206</v>
      </c>
      <c r="I82" t="s">
        <v>114</v>
      </c>
      <c r="J82" t="s">
        <v>115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>"18:54:10.234"</f>
        <v>18:54:10.234</v>
      </c>
      <c r="T82" t="str">
        <f>"18:54:10.234"</f>
        <v>18:54:10.234</v>
      </c>
      <c r="U82" t="str">
        <f t="shared" si="4"/>
        <v>AB63B2</v>
      </c>
      <c r="V82">
        <v>0</v>
      </c>
      <c r="W82">
        <v>0</v>
      </c>
      <c r="X82">
        <v>6</v>
      </c>
      <c r="Z82">
        <v>0</v>
      </c>
      <c r="AA82">
        <v>9</v>
      </c>
      <c r="AB82">
        <v>3</v>
      </c>
      <c r="AC82">
        <v>0</v>
      </c>
      <c r="AD82">
        <v>10</v>
      </c>
      <c r="AE82">
        <v>0</v>
      </c>
      <c r="AF82">
        <v>0</v>
      </c>
      <c r="AG82">
        <v>2</v>
      </c>
      <c r="AH82">
        <v>0</v>
      </c>
      <c r="AI82" t="s">
        <v>122</v>
      </c>
      <c r="AJ82">
        <v>41.991506000000001</v>
      </c>
      <c r="AK82" t="s">
        <v>123</v>
      </c>
      <c r="AL82">
        <v>-87.891396999999998</v>
      </c>
      <c r="AS82">
        <v>1</v>
      </c>
      <c r="AT82" t="s">
        <v>118</v>
      </c>
      <c r="AU82" t="b">
        <v>1</v>
      </c>
      <c r="AV82">
        <v>357.19</v>
      </c>
      <c r="AW82">
        <v>0.125</v>
      </c>
      <c r="AX82">
        <v>1</v>
      </c>
      <c r="AZ82">
        <v>1200</v>
      </c>
      <c r="BA82">
        <v>1</v>
      </c>
      <c r="BB82" t="str">
        <f t="shared" si="5"/>
        <v xml:space="preserve">KAP400  </v>
      </c>
      <c r="BC82">
        <v>1</v>
      </c>
      <c r="BE82">
        <v>0</v>
      </c>
      <c r="BF82">
        <v>0</v>
      </c>
      <c r="BG82">
        <v>0</v>
      </c>
      <c r="BI82">
        <v>1</v>
      </c>
      <c r="BJ82">
        <v>1</v>
      </c>
      <c r="BK82">
        <v>1</v>
      </c>
      <c r="BL82">
        <v>0</v>
      </c>
      <c r="BO82">
        <v>0</v>
      </c>
      <c r="BP82">
        <v>0</v>
      </c>
      <c r="BW82" t="str">
        <f>"18:54:10.235"</f>
        <v>18:54:10.235</v>
      </c>
      <c r="BX82" t="s">
        <v>119</v>
      </c>
      <c r="BY82" t="s">
        <v>120</v>
      </c>
      <c r="CJ82">
        <v>0</v>
      </c>
      <c r="CK82">
        <v>0</v>
      </c>
      <c r="CL82">
        <v>0</v>
      </c>
      <c r="CM82">
        <v>2</v>
      </c>
      <c r="CN82">
        <v>0</v>
      </c>
      <c r="CO82">
        <v>7</v>
      </c>
      <c r="CP82" t="s">
        <v>121</v>
      </c>
      <c r="CQ82">
        <v>579</v>
      </c>
      <c r="CR82">
        <v>0</v>
      </c>
      <c r="CW82">
        <v>15814712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</row>
    <row r="83" spans="1:113" x14ac:dyDescent="0.3">
      <c r="A83" t="str">
        <f>"06/16/2022 18:54:15.293"</f>
        <v>06/16/2022 18:54:15.293</v>
      </c>
      <c r="C83" t="str">
        <f t="shared" si="3"/>
        <v>FFBF5BC0</v>
      </c>
      <c r="D83" t="s">
        <v>113</v>
      </c>
      <c r="E83">
        <v>8</v>
      </c>
      <c r="H83">
        <v>206</v>
      </c>
      <c r="I83" t="s">
        <v>114</v>
      </c>
      <c r="J83" t="s">
        <v>115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"18:54:15.102"</f>
        <v>18:54:15.102</v>
      </c>
      <c r="T83" t="str">
        <f>"18:54:15.102"</f>
        <v>18:54:15.102</v>
      </c>
      <c r="U83" t="str">
        <f t="shared" si="4"/>
        <v>AB63B2</v>
      </c>
      <c r="V83">
        <v>0</v>
      </c>
      <c r="W83">
        <v>0</v>
      </c>
      <c r="X83">
        <v>6</v>
      </c>
      <c r="Z83">
        <v>0</v>
      </c>
      <c r="AA83">
        <v>9</v>
      </c>
      <c r="AB83">
        <v>3</v>
      </c>
      <c r="AC83">
        <v>0</v>
      </c>
      <c r="AD83">
        <v>10</v>
      </c>
      <c r="AE83">
        <v>0</v>
      </c>
      <c r="AF83">
        <v>0</v>
      </c>
      <c r="AG83">
        <v>2</v>
      </c>
      <c r="AH83">
        <v>0</v>
      </c>
      <c r="AI83" t="s">
        <v>122</v>
      </c>
      <c r="AJ83">
        <v>41.991506000000001</v>
      </c>
      <c r="AK83" t="s">
        <v>123</v>
      </c>
      <c r="AL83">
        <v>-87.891396999999998</v>
      </c>
      <c r="AS83">
        <v>1</v>
      </c>
      <c r="AT83" t="s">
        <v>118</v>
      </c>
      <c r="AU83" t="b">
        <v>1</v>
      </c>
      <c r="AV83">
        <v>357.19</v>
      </c>
      <c r="AW83">
        <v>0.125</v>
      </c>
      <c r="AX83">
        <v>1</v>
      </c>
      <c r="AZ83">
        <v>1200</v>
      </c>
      <c r="BA83">
        <v>1</v>
      </c>
      <c r="BB83" t="str">
        <f t="shared" si="5"/>
        <v xml:space="preserve">KAP400  </v>
      </c>
      <c r="BC83">
        <v>1</v>
      </c>
      <c r="BE83">
        <v>0</v>
      </c>
      <c r="BF83">
        <v>0</v>
      </c>
      <c r="BG83">
        <v>0</v>
      </c>
      <c r="BI83">
        <v>1</v>
      </c>
      <c r="BJ83">
        <v>1</v>
      </c>
      <c r="BK83">
        <v>1</v>
      </c>
      <c r="BL83">
        <v>0</v>
      </c>
      <c r="BO83">
        <v>0</v>
      </c>
      <c r="BP83">
        <v>0</v>
      </c>
      <c r="BW83" t="str">
        <f>"18:54:15.108"</f>
        <v>18:54:15.108</v>
      </c>
      <c r="BX83" t="s">
        <v>119</v>
      </c>
      <c r="BY83" t="s">
        <v>120</v>
      </c>
      <c r="CJ83">
        <v>0</v>
      </c>
      <c r="CK83">
        <v>0</v>
      </c>
      <c r="CL83">
        <v>0</v>
      </c>
      <c r="CM83">
        <v>2</v>
      </c>
      <c r="CN83">
        <v>0</v>
      </c>
      <c r="CO83">
        <v>7</v>
      </c>
      <c r="CP83" t="s">
        <v>121</v>
      </c>
      <c r="CQ83">
        <v>581</v>
      </c>
      <c r="CR83">
        <v>0</v>
      </c>
      <c r="CW83">
        <v>13407561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</row>
    <row r="84" spans="1:113" x14ac:dyDescent="0.3">
      <c r="A84" t="str">
        <f>"06/16/2022 18:54:20.451"</f>
        <v>06/16/2022 18:54:20.451</v>
      </c>
      <c r="C84" t="str">
        <f t="shared" si="3"/>
        <v>FFBF5BC0</v>
      </c>
      <c r="D84" t="s">
        <v>113</v>
      </c>
      <c r="E84">
        <v>8</v>
      </c>
      <c r="H84">
        <v>206</v>
      </c>
      <c r="I84" t="s">
        <v>114</v>
      </c>
      <c r="J84" t="s">
        <v>115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"18:54:20.242"</f>
        <v>18:54:20.242</v>
      </c>
      <c r="T84" t="str">
        <f>"18:54:20.242"</f>
        <v>18:54:20.242</v>
      </c>
      <c r="U84" t="str">
        <f t="shared" si="4"/>
        <v>AB63B2</v>
      </c>
      <c r="V84">
        <v>0</v>
      </c>
      <c r="W84">
        <v>0</v>
      </c>
      <c r="X84">
        <v>6</v>
      </c>
      <c r="Z84">
        <v>0</v>
      </c>
      <c r="AA84">
        <v>9</v>
      </c>
      <c r="AB84">
        <v>3</v>
      </c>
      <c r="AC84">
        <v>0</v>
      </c>
      <c r="AD84">
        <v>10</v>
      </c>
      <c r="AE84">
        <v>0</v>
      </c>
      <c r="AF84">
        <v>0</v>
      </c>
      <c r="AG84">
        <v>2</v>
      </c>
      <c r="AH84">
        <v>0</v>
      </c>
      <c r="AI84" t="s">
        <v>122</v>
      </c>
      <c r="AJ84">
        <v>41.991506000000001</v>
      </c>
      <c r="AK84" t="s">
        <v>123</v>
      </c>
      <c r="AL84">
        <v>-87.891396999999998</v>
      </c>
      <c r="AS84">
        <v>1</v>
      </c>
      <c r="AT84" t="s">
        <v>118</v>
      </c>
      <c r="AU84" t="b">
        <v>1</v>
      </c>
      <c r="AV84">
        <v>357.19</v>
      </c>
      <c r="AW84">
        <v>0.125</v>
      </c>
      <c r="AX84">
        <v>1</v>
      </c>
      <c r="AZ84">
        <v>1200</v>
      </c>
      <c r="BA84">
        <v>1</v>
      </c>
      <c r="BB84" t="str">
        <f t="shared" si="5"/>
        <v xml:space="preserve">KAP400  </v>
      </c>
      <c r="BC84">
        <v>1</v>
      </c>
      <c r="BE84">
        <v>0</v>
      </c>
      <c r="BF84">
        <v>0</v>
      </c>
      <c r="BG84">
        <v>0</v>
      </c>
      <c r="BI84">
        <v>1</v>
      </c>
      <c r="BJ84">
        <v>1</v>
      </c>
      <c r="BK84">
        <v>1</v>
      </c>
      <c r="BL84">
        <v>0</v>
      </c>
      <c r="BO84">
        <v>0</v>
      </c>
      <c r="BP84">
        <v>0</v>
      </c>
      <c r="BW84" t="str">
        <f>"18:54:20.243"</f>
        <v>18:54:20.243</v>
      </c>
      <c r="BX84" t="s">
        <v>119</v>
      </c>
      <c r="BY84" t="s">
        <v>120</v>
      </c>
      <c r="CJ84">
        <v>0</v>
      </c>
      <c r="CK84">
        <v>0</v>
      </c>
      <c r="CL84">
        <v>0</v>
      </c>
      <c r="CM84">
        <v>2</v>
      </c>
      <c r="CN84">
        <v>0</v>
      </c>
      <c r="CO84">
        <v>7</v>
      </c>
      <c r="CP84" t="s">
        <v>121</v>
      </c>
      <c r="CQ84">
        <v>581</v>
      </c>
      <c r="CR84">
        <v>0</v>
      </c>
      <c r="CW84">
        <v>13415842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</row>
    <row r="85" spans="1:113" x14ac:dyDescent="0.3">
      <c r="A85" t="str">
        <f>"06/16/2022 18:54:25.468"</f>
        <v>06/16/2022 18:54:25.468</v>
      </c>
      <c r="C85" t="str">
        <f t="shared" si="3"/>
        <v>FFBF5BC0</v>
      </c>
      <c r="D85" t="s">
        <v>113</v>
      </c>
      <c r="E85">
        <v>8</v>
      </c>
      <c r="H85">
        <v>206</v>
      </c>
      <c r="I85" t="s">
        <v>114</v>
      </c>
      <c r="J85" t="s">
        <v>115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"18:54:25.234"</f>
        <v>18:54:25.234</v>
      </c>
      <c r="T85" t="str">
        <f>"18:54:25.234"</f>
        <v>18:54:25.234</v>
      </c>
      <c r="U85" t="str">
        <f t="shared" si="4"/>
        <v>AB63B2</v>
      </c>
      <c r="V85">
        <v>0</v>
      </c>
      <c r="W85">
        <v>0</v>
      </c>
      <c r="X85">
        <v>6</v>
      </c>
      <c r="Z85">
        <v>0</v>
      </c>
      <c r="AA85">
        <v>9</v>
      </c>
      <c r="AB85">
        <v>3</v>
      </c>
      <c r="AC85">
        <v>0</v>
      </c>
      <c r="AD85">
        <v>10</v>
      </c>
      <c r="AE85">
        <v>0</v>
      </c>
      <c r="AF85">
        <v>0</v>
      </c>
      <c r="AG85">
        <v>2</v>
      </c>
      <c r="AH85">
        <v>0</v>
      </c>
      <c r="AI85" t="s">
        <v>122</v>
      </c>
      <c r="AJ85">
        <v>41.991506000000001</v>
      </c>
      <c r="AK85" t="s">
        <v>123</v>
      </c>
      <c r="AL85">
        <v>-87.891396999999998</v>
      </c>
      <c r="AS85">
        <v>1</v>
      </c>
      <c r="AT85" t="s">
        <v>118</v>
      </c>
      <c r="AU85" t="b">
        <v>1</v>
      </c>
      <c r="AV85">
        <v>357.19</v>
      </c>
      <c r="AW85">
        <v>0.125</v>
      </c>
      <c r="AX85">
        <v>1</v>
      </c>
      <c r="AZ85">
        <v>1200</v>
      </c>
      <c r="BA85">
        <v>1</v>
      </c>
      <c r="BB85" t="str">
        <f t="shared" si="5"/>
        <v xml:space="preserve">KAP400  </v>
      </c>
      <c r="BC85">
        <v>1</v>
      </c>
      <c r="BE85">
        <v>0</v>
      </c>
      <c r="BF85">
        <v>0</v>
      </c>
      <c r="BG85">
        <v>0</v>
      </c>
      <c r="BI85">
        <v>1</v>
      </c>
      <c r="BJ85">
        <v>1</v>
      </c>
      <c r="BK85">
        <v>1</v>
      </c>
      <c r="BL85">
        <v>0</v>
      </c>
      <c r="BO85">
        <v>0</v>
      </c>
      <c r="BP85">
        <v>0</v>
      </c>
      <c r="BW85" t="str">
        <f>"18:54:25.242"</f>
        <v>18:54:25.242</v>
      </c>
      <c r="BX85" t="s">
        <v>119</v>
      </c>
      <c r="BY85" t="s">
        <v>120</v>
      </c>
      <c r="CJ85">
        <v>0</v>
      </c>
      <c r="CK85">
        <v>0</v>
      </c>
      <c r="CL85">
        <v>0</v>
      </c>
      <c r="CM85">
        <v>2</v>
      </c>
      <c r="CN85">
        <v>0</v>
      </c>
      <c r="CO85">
        <v>7</v>
      </c>
      <c r="CP85" t="s">
        <v>121</v>
      </c>
      <c r="CQ85">
        <v>582</v>
      </c>
      <c r="CR85">
        <v>0</v>
      </c>
      <c r="CW85">
        <v>4476170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</row>
    <row r="86" spans="1:113" x14ac:dyDescent="0.3">
      <c r="A86" t="str">
        <f>"06/16/2022 18:54:44.809"</f>
        <v>06/16/2022 18:54:44.809</v>
      </c>
      <c r="C86" t="str">
        <f t="shared" si="3"/>
        <v>FFBF5BC0</v>
      </c>
      <c r="D86" t="s">
        <v>113</v>
      </c>
      <c r="E86">
        <v>8</v>
      </c>
      <c r="H86">
        <v>206</v>
      </c>
      <c r="I86" t="s">
        <v>114</v>
      </c>
      <c r="J86" t="s">
        <v>115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"18:54:44.602"</f>
        <v>18:54:44.602</v>
      </c>
      <c r="T86" t="str">
        <f>"18:54:44.602"</f>
        <v>18:54:44.602</v>
      </c>
      <c r="U86" t="str">
        <f t="shared" si="4"/>
        <v>AB63B2</v>
      </c>
      <c r="V86">
        <v>0</v>
      </c>
      <c r="W86">
        <v>0</v>
      </c>
      <c r="X86">
        <v>6</v>
      </c>
      <c r="Z86">
        <v>0</v>
      </c>
      <c r="AA86">
        <v>9</v>
      </c>
      <c r="AB86">
        <v>3</v>
      </c>
      <c r="AC86">
        <v>0</v>
      </c>
      <c r="AD86">
        <v>10</v>
      </c>
      <c r="AE86">
        <v>0</v>
      </c>
      <c r="AF86">
        <v>0</v>
      </c>
      <c r="AG86">
        <v>2</v>
      </c>
      <c r="AH86">
        <v>0</v>
      </c>
      <c r="AI86" t="s">
        <v>122</v>
      </c>
      <c r="AJ86">
        <v>41.991506000000001</v>
      </c>
      <c r="AK86" t="s">
        <v>123</v>
      </c>
      <c r="AL86">
        <v>-87.891396999999998</v>
      </c>
      <c r="AS86">
        <v>1</v>
      </c>
      <c r="AT86" t="s">
        <v>118</v>
      </c>
      <c r="AU86" t="b">
        <v>1</v>
      </c>
      <c r="AV86">
        <v>357.19</v>
      </c>
      <c r="AW86">
        <v>0.125</v>
      </c>
      <c r="AX86">
        <v>1</v>
      </c>
      <c r="AZ86">
        <v>1200</v>
      </c>
      <c r="BA86">
        <v>1</v>
      </c>
      <c r="BB86" t="str">
        <f t="shared" si="5"/>
        <v xml:space="preserve">KAP400  </v>
      </c>
      <c r="BC86">
        <v>1</v>
      </c>
      <c r="BE86">
        <v>0</v>
      </c>
      <c r="BF86">
        <v>0</v>
      </c>
      <c r="BG86">
        <v>0</v>
      </c>
      <c r="BI86">
        <v>1</v>
      </c>
      <c r="BJ86">
        <v>1</v>
      </c>
      <c r="BK86">
        <v>1</v>
      </c>
      <c r="BL86">
        <v>0</v>
      </c>
      <c r="BO86">
        <v>0</v>
      </c>
      <c r="BP86">
        <v>0</v>
      </c>
      <c r="BW86" t="str">
        <f>"18:54:44.605"</f>
        <v>18:54:44.605</v>
      </c>
      <c r="BX86" t="s">
        <v>119</v>
      </c>
      <c r="BY86" t="s">
        <v>120</v>
      </c>
      <c r="CJ86">
        <v>0</v>
      </c>
      <c r="CK86">
        <v>0</v>
      </c>
      <c r="CL86">
        <v>0</v>
      </c>
      <c r="CM86">
        <v>2</v>
      </c>
      <c r="CN86">
        <v>0</v>
      </c>
      <c r="CO86">
        <v>7</v>
      </c>
      <c r="CP86" t="s">
        <v>121</v>
      </c>
      <c r="CQ86">
        <v>581</v>
      </c>
      <c r="CR86">
        <v>0</v>
      </c>
      <c r="CW86">
        <v>13454452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</row>
    <row r="87" spans="1:113" x14ac:dyDescent="0.3">
      <c r="A87" t="str">
        <f>"06/16/2022 18:54:50.060"</f>
        <v>06/16/2022 18:54:50.060</v>
      </c>
      <c r="C87" t="str">
        <f t="shared" si="3"/>
        <v>FFBF5BC0</v>
      </c>
      <c r="D87" t="s">
        <v>113</v>
      </c>
      <c r="E87">
        <v>8</v>
      </c>
      <c r="H87">
        <v>206</v>
      </c>
      <c r="I87" t="s">
        <v>114</v>
      </c>
      <c r="J87" t="s">
        <v>115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>"18:54:49.789"</f>
        <v>18:54:49.789</v>
      </c>
      <c r="T87" t="str">
        <f>"18:54:49.789"</f>
        <v>18:54:49.789</v>
      </c>
      <c r="U87" t="str">
        <f t="shared" si="4"/>
        <v>AB63B2</v>
      </c>
      <c r="V87">
        <v>0</v>
      </c>
      <c r="W87">
        <v>0</v>
      </c>
      <c r="X87">
        <v>6</v>
      </c>
      <c r="Z87">
        <v>0</v>
      </c>
      <c r="AA87">
        <v>9</v>
      </c>
      <c r="AB87">
        <v>3</v>
      </c>
      <c r="AC87">
        <v>0</v>
      </c>
      <c r="AD87">
        <v>10</v>
      </c>
      <c r="AE87">
        <v>0</v>
      </c>
      <c r="AF87">
        <v>0</v>
      </c>
      <c r="AG87">
        <v>2</v>
      </c>
      <c r="AH87">
        <v>0</v>
      </c>
      <c r="AI87" t="s">
        <v>122</v>
      </c>
      <c r="AJ87">
        <v>41.991506000000001</v>
      </c>
      <c r="AK87" t="s">
        <v>123</v>
      </c>
      <c r="AL87">
        <v>-87.891396999999998</v>
      </c>
      <c r="AS87">
        <v>1</v>
      </c>
      <c r="AT87" t="s">
        <v>118</v>
      </c>
      <c r="AU87" t="b">
        <v>1</v>
      </c>
      <c r="AV87">
        <v>357.19</v>
      </c>
      <c r="AW87">
        <v>0.125</v>
      </c>
      <c r="AX87">
        <v>1</v>
      </c>
      <c r="AZ87">
        <v>1200</v>
      </c>
      <c r="BA87">
        <v>1</v>
      </c>
      <c r="BB87" t="str">
        <f t="shared" si="5"/>
        <v xml:space="preserve">KAP400  </v>
      </c>
      <c r="BC87">
        <v>1</v>
      </c>
      <c r="BE87">
        <v>0</v>
      </c>
      <c r="BF87">
        <v>0</v>
      </c>
      <c r="BG87">
        <v>0</v>
      </c>
      <c r="BI87">
        <v>1</v>
      </c>
      <c r="BJ87">
        <v>1</v>
      </c>
      <c r="BK87">
        <v>1</v>
      </c>
      <c r="BL87">
        <v>0</v>
      </c>
      <c r="BO87">
        <v>0</v>
      </c>
      <c r="BP87">
        <v>0</v>
      </c>
      <c r="BW87" t="str">
        <f>"18:54:49.795"</f>
        <v>18:54:49.795</v>
      </c>
      <c r="BX87" t="s">
        <v>119</v>
      </c>
      <c r="BY87" t="s">
        <v>120</v>
      </c>
      <c r="CJ87">
        <v>0</v>
      </c>
      <c r="CK87">
        <v>0</v>
      </c>
      <c r="CL87">
        <v>0</v>
      </c>
      <c r="CM87">
        <v>2</v>
      </c>
      <c r="CN87">
        <v>0</v>
      </c>
      <c r="CO87">
        <v>7</v>
      </c>
      <c r="CP87" t="s">
        <v>121</v>
      </c>
      <c r="CQ87">
        <v>582</v>
      </c>
      <c r="CR87">
        <v>0</v>
      </c>
      <c r="CW87">
        <v>4512739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</row>
    <row r="88" spans="1:113" x14ac:dyDescent="0.3">
      <c r="A88" t="str">
        <f>"06/16/2022 18:54:55.185"</f>
        <v>06/16/2022 18:54:55.185</v>
      </c>
      <c r="C88" t="str">
        <f t="shared" si="3"/>
        <v>FFBF5BC0</v>
      </c>
      <c r="D88" t="s">
        <v>113</v>
      </c>
      <c r="E88">
        <v>8</v>
      </c>
      <c r="H88">
        <v>206</v>
      </c>
      <c r="I88" t="s">
        <v>114</v>
      </c>
      <c r="J88" t="s">
        <v>115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>"18:54:54.813"</f>
        <v>18:54:54.813</v>
      </c>
      <c r="T88" t="str">
        <f>"18:54:54.813"</f>
        <v>18:54:54.813</v>
      </c>
      <c r="U88" t="str">
        <f t="shared" si="4"/>
        <v>AB63B2</v>
      </c>
      <c r="V88">
        <v>0</v>
      </c>
      <c r="W88">
        <v>0</v>
      </c>
      <c r="X88">
        <v>6</v>
      </c>
      <c r="Z88">
        <v>0</v>
      </c>
      <c r="AA88">
        <v>9</v>
      </c>
      <c r="AB88">
        <v>3</v>
      </c>
      <c r="AC88">
        <v>0</v>
      </c>
      <c r="AD88">
        <v>10</v>
      </c>
      <c r="AE88">
        <v>0</v>
      </c>
      <c r="AF88">
        <v>0</v>
      </c>
      <c r="AG88">
        <v>2</v>
      </c>
      <c r="AH88">
        <v>0</v>
      </c>
      <c r="AI88" t="s">
        <v>122</v>
      </c>
      <c r="AJ88">
        <v>41.991506000000001</v>
      </c>
      <c r="AK88" t="s">
        <v>123</v>
      </c>
      <c r="AL88">
        <v>-87.891396999999998</v>
      </c>
      <c r="AS88">
        <v>1</v>
      </c>
      <c r="AT88" t="s">
        <v>118</v>
      </c>
      <c r="AU88" t="b">
        <v>1</v>
      </c>
      <c r="AV88">
        <v>357.19</v>
      </c>
      <c r="AW88">
        <v>0.125</v>
      </c>
      <c r="AX88">
        <v>1</v>
      </c>
      <c r="AZ88">
        <v>1200</v>
      </c>
      <c r="BA88">
        <v>1</v>
      </c>
      <c r="BB88" t="str">
        <f t="shared" si="5"/>
        <v xml:space="preserve">KAP400  </v>
      </c>
      <c r="BC88">
        <v>1</v>
      </c>
      <c r="BE88">
        <v>0</v>
      </c>
      <c r="BF88">
        <v>0</v>
      </c>
      <c r="BG88">
        <v>0</v>
      </c>
      <c r="BI88">
        <v>1</v>
      </c>
      <c r="BJ88">
        <v>1</v>
      </c>
      <c r="BK88">
        <v>1</v>
      </c>
      <c r="BL88">
        <v>0</v>
      </c>
      <c r="BO88">
        <v>0</v>
      </c>
      <c r="BP88">
        <v>0</v>
      </c>
      <c r="BW88" t="str">
        <f>"18:54:54.819"</f>
        <v>18:54:54.819</v>
      </c>
      <c r="BX88" t="s">
        <v>119</v>
      </c>
      <c r="BY88" t="s">
        <v>120</v>
      </c>
      <c r="CJ88">
        <v>0</v>
      </c>
      <c r="CK88">
        <v>0</v>
      </c>
      <c r="CL88">
        <v>0</v>
      </c>
      <c r="CM88">
        <v>2</v>
      </c>
      <c r="CN88">
        <v>0</v>
      </c>
      <c r="CO88">
        <v>7</v>
      </c>
      <c r="CP88" t="s">
        <v>121</v>
      </c>
      <c r="CQ88">
        <v>581</v>
      </c>
      <c r="CR88">
        <v>0</v>
      </c>
      <c r="CW88">
        <v>13471239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</row>
    <row r="89" spans="1:113" x14ac:dyDescent="0.3">
      <c r="A89" t="str">
        <f>"06/16/2022 18:55:00.200"</f>
        <v>06/16/2022 18:55:00.200</v>
      </c>
      <c r="C89" t="str">
        <f t="shared" si="3"/>
        <v>FFBF5BC0</v>
      </c>
      <c r="D89" t="s">
        <v>113</v>
      </c>
      <c r="E89">
        <v>8</v>
      </c>
      <c r="H89">
        <v>206</v>
      </c>
      <c r="I89" t="s">
        <v>114</v>
      </c>
      <c r="J89" t="s">
        <v>115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>"18:54:59.992"</f>
        <v>18:54:59.992</v>
      </c>
      <c r="T89" t="str">
        <f>"18:54:59.992"</f>
        <v>18:54:59.992</v>
      </c>
      <c r="U89" t="str">
        <f t="shared" si="4"/>
        <v>AB63B2</v>
      </c>
      <c r="V89">
        <v>0</v>
      </c>
      <c r="W89">
        <v>0</v>
      </c>
      <c r="X89">
        <v>6</v>
      </c>
      <c r="Z89">
        <v>0</v>
      </c>
      <c r="AA89">
        <v>9</v>
      </c>
      <c r="AB89">
        <v>3</v>
      </c>
      <c r="AC89">
        <v>0</v>
      </c>
      <c r="AD89">
        <v>10</v>
      </c>
      <c r="AE89">
        <v>0</v>
      </c>
      <c r="AF89">
        <v>0</v>
      </c>
      <c r="AG89">
        <v>2</v>
      </c>
      <c r="AH89">
        <v>0</v>
      </c>
      <c r="AI89" t="s">
        <v>122</v>
      </c>
      <c r="AJ89">
        <v>41.991506000000001</v>
      </c>
      <c r="AK89" t="s">
        <v>123</v>
      </c>
      <c r="AL89">
        <v>-87.891396999999998</v>
      </c>
      <c r="AS89">
        <v>1</v>
      </c>
      <c r="AT89" t="s">
        <v>118</v>
      </c>
      <c r="AU89" t="b">
        <v>1</v>
      </c>
      <c r="AV89">
        <v>357.19</v>
      </c>
      <c r="AW89">
        <v>0.125</v>
      </c>
      <c r="AX89">
        <v>1</v>
      </c>
      <c r="AZ89">
        <v>1200</v>
      </c>
      <c r="BA89">
        <v>1</v>
      </c>
      <c r="BB89" t="str">
        <f t="shared" si="5"/>
        <v xml:space="preserve">KAP400  </v>
      </c>
      <c r="BC89">
        <v>1</v>
      </c>
      <c r="BE89">
        <v>0</v>
      </c>
      <c r="BF89">
        <v>0</v>
      </c>
      <c r="BG89">
        <v>0</v>
      </c>
      <c r="BI89">
        <v>1</v>
      </c>
      <c r="BJ89">
        <v>1</v>
      </c>
      <c r="BK89">
        <v>1</v>
      </c>
      <c r="BL89">
        <v>0</v>
      </c>
      <c r="BO89">
        <v>0</v>
      </c>
      <c r="BP89">
        <v>0</v>
      </c>
      <c r="BW89" t="str">
        <f>"18:54:59.999"</f>
        <v>18:54:59.999</v>
      </c>
      <c r="BX89" t="s">
        <v>119</v>
      </c>
      <c r="BY89" t="s">
        <v>120</v>
      </c>
      <c r="CJ89">
        <v>0</v>
      </c>
      <c r="CK89">
        <v>0</v>
      </c>
      <c r="CL89">
        <v>0</v>
      </c>
      <c r="CM89">
        <v>2</v>
      </c>
      <c r="CN89">
        <v>0</v>
      </c>
      <c r="CO89">
        <v>7</v>
      </c>
      <c r="CP89" t="s">
        <v>121</v>
      </c>
      <c r="CQ89">
        <v>582</v>
      </c>
      <c r="CR89">
        <v>0</v>
      </c>
      <c r="CW89">
        <v>4528220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</row>
    <row r="90" spans="1:113" x14ac:dyDescent="0.3">
      <c r="A90" t="str">
        <f>"06/16/2022 18:55:05.326"</f>
        <v>06/16/2022 18:55:05.326</v>
      </c>
      <c r="C90" t="str">
        <f t="shared" si="3"/>
        <v>FFBF5BC0</v>
      </c>
      <c r="D90" t="s">
        <v>113</v>
      </c>
      <c r="E90">
        <v>8</v>
      </c>
      <c r="H90">
        <v>206</v>
      </c>
      <c r="I90" t="s">
        <v>114</v>
      </c>
      <c r="J90" t="s">
        <v>115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>"18:55:05.055"</f>
        <v>18:55:05.055</v>
      </c>
      <c r="T90" t="str">
        <f>"18:55:05.055"</f>
        <v>18:55:05.055</v>
      </c>
      <c r="U90" t="str">
        <f t="shared" si="4"/>
        <v>AB63B2</v>
      </c>
      <c r="V90">
        <v>0</v>
      </c>
      <c r="W90">
        <v>0</v>
      </c>
      <c r="X90">
        <v>6</v>
      </c>
      <c r="Z90">
        <v>0</v>
      </c>
      <c r="AA90">
        <v>9</v>
      </c>
      <c r="AB90">
        <v>3</v>
      </c>
      <c r="AC90">
        <v>0</v>
      </c>
      <c r="AD90">
        <v>10</v>
      </c>
      <c r="AE90">
        <v>0</v>
      </c>
      <c r="AF90">
        <v>0</v>
      </c>
      <c r="AG90">
        <v>2</v>
      </c>
      <c r="AH90">
        <v>0</v>
      </c>
      <c r="AI90" t="s">
        <v>122</v>
      </c>
      <c r="AJ90">
        <v>41.991506000000001</v>
      </c>
      <c r="AK90" t="s">
        <v>123</v>
      </c>
      <c r="AL90">
        <v>-87.891396999999998</v>
      </c>
      <c r="AS90">
        <v>1</v>
      </c>
      <c r="AT90" t="s">
        <v>118</v>
      </c>
      <c r="AU90" t="b">
        <v>1</v>
      </c>
      <c r="AV90">
        <v>357.19</v>
      </c>
      <c r="AW90">
        <v>0.125</v>
      </c>
      <c r="AX90">
        <v>1</v>
      </c>
      <c r="AZ90">
        <v>1200</v>
      </c>
      <c r="BA90">
        <v>1</v>
      </c>
      <c r="BB90" t="str">
        <f t="shared" si="5"/>
        <v xml:space="preserve">KAP400  </v>
      </c>
      <c r="BC90">
        <v>1</v>
      </c>
      <c r="BE90">
        <v>0</v>
      </c>
      <c r="BF90">
        <v>0</v>
      </c>
      <c r="BG90">
        <v>0</v>
      </c>
      <c r="BI90">
        <v>1</v>
      </c>
      <c r="BJ90">
        <v>1</v>
      </c>
      <c r="BK90">
        <v>1</v>
      </c>
      <c r="BL90">
        <v>0</v>
      </c>
      <c r="BO90">
        <v>0</v>
      </c>
      <c r="BP90">
        <v>0</v>
      </c>
      <c r="BW90" t="str">
        <f>"18:55:05.057"</f>
        <v>18:55:05.057</v>
      </c>
      <c r="BX90" t="s">
        <v>119</v>
      </c>
      <c r="BY90" t="s">
        <v>120</v>
      </c>
      <c r="CJ90">
        <v>0</v>
      </c>
      <c r="CK90">
        <v>0</v>
      </c>
      <c r="CL90">
        <v>0</v>
      </c>
      <c r="CM90">
        <v>2</v>
      </c>
      <c r="CN90">
        <v>0</v>
      </c>
      <c r="CO90">
        <v>7</v>
      </c>
      <c r="CP90" t="s">
        <v>121</v>
      </c>
      <c r="CQ90">
        <v>581</v>
      </c>
      <c r="CR90">
        <v>0</v>
      </c>
      <c r="CW90">
        <v>13488441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</row>
    <row r="91" spans="1:113" x14ac:dyDescent="0.3">
      <c r="A91" t="str">
        <f>"06/16/2022 18:55:10.372"</f>
        <v>06/16/2022 18:55:10.372</v>
      </c>
      <c r="C91" t="str">
        <f t="shared" si="3"/>
        <v>FFBF5BC0</v>
      </c>
      <c r="D91" t="s">
        <v>113</v>
      </c>
      <c r="E91">
        <v>8</v>
      </c>
      <c r="H91">
        <v>206</v>
      </c>
      <c r="I91" t="s">
        <v>114</v>
      </c>
      <c r="J91" t="s">
        <v>115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>"18:55:10.055"</f>
        <v>18:55:10.055</v>
      </c>
      <c r="T91" t="str">
        <f>"18:55:10.055"</f>
        <v>18:55:10.055</v>
      </c>
      <c r="U91" t="str">
        <f t="shared" si="4"/>
        <v>AB63B2</v>
      </c>
      <c r="V91">
        <v>0</v>
      </c>
      <c r="W91">
        <v>0</v>
      </c>
      <c r="X91">
        <v>6</v>
      </c>
      <c r="Z91">
        <v>0</v>
      </c>
      <c r="AA91">
        <v>9</v>
      </c>
      <c r="AB91">
        <v>3</v>
      </c>
      <c r="AC91">
        <v>0</v>
      </c>
      <c r="AD91">
        <v>10</v>
      </c>
      <c r="AE91">
        <v>0</v>
      </c>
      <c r="AF91">
        <v>0</v>
      </c>
      <c r="AG91">
        <v>2</v>
      </c>
      <c r="AH91">
        <v>0</v>
      </c>
      <c r="AI91" t="s">
        <v>122</v>
      </c>
      <c r="AJ91">
        <v>41.991506000000001</v>
      </c>
      <c r="AK91" t="s">
        <v>123</v>
      </c>
      <c r="AL91">
        <v>-87.891396999999998</v>
      </c>
      <c r="AS91">
        <v>1</v>
      </c>
      <c r="AT91" t="s">
        <v>118</v>
      </c>
      <c r="AU91" t="b">
        <v>1</v>
      </c>
      <c r="AV91">
        <v>357.19</v>
      </c>
      <c r="AW91">
        <v>0.125</v>
      </c>
      <c r="AX91">
        <v>1</v>
      </c>
      <c r="AZ91">
        <v>1200</v>
      </c>
      <c r="BA91">
        <v>1</v>
      </c>
      <c r="BB91" t="str">
        <f t="shared" si="5"/>
        <v xml:space="preserve">KAP400  </v>
      </c>
      <c r="BC91">
        <v>1</v>
      </c>
      <c r="BE91">
        <v>0</v>
      </c>
      <c r="BF91">
        <v>0</v>
      </c>
      <c r="BG91">
        <v>0</v>
      </c>
      <c r="BI91">
        <v>1</v>
      </c>
      <c r="BJ91">
        <v>1</v>
      </c>
      <c r="BK91">
        <v>1</v>
      </c>
      <c r="BL91">
        <v>0</v>
      </c>
      <c r="BO91">
        <v>0</v>
      </c>
      <c r="BP91">
        <v>0</v>
      </c>
      <c r="BW91" t="str">
        <f>"18:55:10.061"</f>
        <v>18:55:10.061</v>
      </c>
      <c r="BX91" t="s">
        <v>119</v>
      </c>
      <c r="BY91" t="s">
        <v>120</v>
      </c>
      <c r="CJ91">
        <v>0</v>
      </c>
      <c r="CK91">
        <v>0</v>
      </c>
      <c r="CL91">
        <v>0</v>
      </c>
      <c r="CM91">
        <v>2</v>
      </c>
      <c r="CN91">
        <v>0</v>
      </c>
      <c r="CO91">
        <v>7</v>
      </c>
      <c r="CP91" t="s">
        <v>121</v>
      </c>
      <c r="CQ91">
        <v>581</v>
      </c>
      <c r="CR91">
        <v>0</v>
      </c>
      <c r="CW91">
        <v>13496566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</row>
    <row r="92" spans="1:113" x14ac:dyDescent="0.3">
      <c r="A92" t="str">
        <f>"06/16/2022 18:55:15.402"</f>
        <v>06/16/2022 18:55:15.402</v>
      </c>
      <c r="C92" t="str">
        <f t="shared" si="3"/>
        <v>FFBF5BC0</v>
      </c>
      <c r="D92" t="s">
        <v>113</v>
      </c>
      <c r="E92">
        <v>8</v>
      </c>
      <c r="H92">
        <v>206</v>
      </c>
      <c r="I92" t="s">
        <v>114</v>
      </c>
      <c r="J92" t="s">
        <v>115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>"18:55:15.109"</f>
        <v>18:55:15.109</v>
      </c>
      <c r="T92" t="str">
        <f>"18:55:15.109"</f>
        <v>18:55:15.109</v>
      </c>
      <c r="U92" t="str">
        <f t="shared" si="4"/>
        <v>AB63B2</v>
      </c>
      <c r="V92">
        <v>0</v>
      </c>
      <c r="W92">
        <v>0</v>
      </c>
      <c r="X92">
        <v>6</v>
      </c>
      <c r="Z92">
        <v>0</v>
      </c>
      <c r="AA92">
        <v>9</v>
      </c>
      <c r="AB92">
        <v>3</v>
      </c>
      <c r="AC92">
        <v>0</v>
      </c>
      <c r="AD92">
        <v>10</v>
      </c>
      <c r="AE92">
        <v>0</v>
      </c>
      <c r="AF92">
        <v>0</v>
      </c>
      <c r="AG92">
        <v>2</v>
      </c>
      <c r="AH92">
        <v>0</v>
      </c>
      <c r="AI92" t="s">
        <v>122</v>
      </c>
      <c r="AJ92">
        <v>41.991506000000001</v>
      </c>
      <c r="AK92" t="s">
        <v>123</v>
      </c>
      <c r="AL92">
        <v>-87.891396999999998</v>
      </c>
      <c r="AS92">
        <v>1</v>
      </c>
      <c r="AT92" t="s">
        <v>118</v>
      </c>
      <c r="AU92" t="b">
        <v>1</v>
      </c>
      <c r="AV92">
        <v>357.19</v>
      </c>
      <c r="AW92">
        <v>0.125</v>
      </c>
      <c r="AX92">
        <v>1</v>
      </c>
      <c r="AZ92">
        <v>1200</v>
      </c>
      <c r="BA92">
        <v>1</v>
      </c>
      <c r="BB92" t="str">
        <f t="shared" si="5"/>
        <v xml:space="preserve">KAP400  </v>
      </c>
      <c r="BC92">
        <v>1</v>
      </c>
      <c r="BE92">
        <v>0</v>
      </c>
      <c r="BF92">
        <v>0</v>
      </c>
      <c r="BG92">
        <v>0</v>
      </c>
      <c r="BI92">
        <v>1</v>
      </c>
      <c r="BJ92">
        <v>1</v>
      </c>
      <c r="BK92">
        <v>1</v>
      </c>
      <c r="BL92">
        <v>0</v>
      </c>
      <c r="BO92">
        <v>0</v>
      </c>
      <c r="BP92">
        <v>0</v>
      </c>
      <c r="BW92" t="str">
        <f>"18:55:15.110"</f>
        <v>18:55:15.110</v>
      </c>
      <c r="BX92" t="s">
        <v>119</v>
      </c>
      <c r="BY92" t="s">
        <v>120</v>
      </c>
      <c r="CJ92">
        <v>0</v>
      </c>
      <c r="CK92">
        <v>0</v>
      </c>
      <c r="CL92">
        <v>0</v>
      </c>
      <c r="CM92">
        <v>2</v>
      </c>
      <c r="CN92">
        <v>0</v>
      </c>
      <c r="CO92">
        <v>7</v>
      </c>
      <c r="CP92" t="s">
        <v>121</v>
      </c>
      <c r="CQ92">
        <v>582</v>
      </c>
      <c r="CR92">
        <v>0</v>
      </c>
      <c r="CW92">
        <v>4551552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</row>
    <row r="93" spans="1:113" x14ac:dyDescent="0.3">
      <c r="A93" t="str">
        <f>"06/16/2022 18:55:20.325"</f>
        <v>06/16/2022 18:55:20.325</v>
      </c>
      <c r="C93" t="str">
        <f t="shared" si="3"/>
        <v>FFBF5BC0</v>
      </c>
      <c r="D93" t="s">
        <v>113</v>
      </c>
      <c r="E93">
        <v>8</v>
      </c>
      <c r="H93">
        <v>206</v>
      </c>
      <c r="I93" t="s">
        <v>114</v>
      </c>
      <c r="J93" t="s">
        <v>115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>"18:55:20.094"</f>
        <v>18:55:20.094</v>
      </c>
      <c r="T93" t="str">
        <f>"18:55:20.094"</f>
        <v>18:55:20.094</v>
      </c>
      <c r="U93" t="str">
        <f t="shared" si="4"/>
        <v>AB63B2</v>
      </c>
      <c r="V93">
        <v>0</v>
      </c>
      <c r="W93">
        <v>0</v>
      </c>
      <c r="X93">
        <v>6</v>
      </c>
      <c r="Z93">
        <v>0</v>
      </c>
      <c r="AA93">
        <v>9</v>
      </c>
      <c r="AB93">
        <v>3</v>
      </c>
      <c r="AC93">
        <v>0</v>
      </c>
      <c r="AD93">
        <v>10</v>
      </c>
      <c r="AE93">
        <v>0</v>
      </c>
      <c r="AF93">
        <v>0</v>
      </c>
      <c r="AG93">
        <v>2</v>
      </c>
      <c r="AH93">
        <v>0</v>
      </c>
      <c r="AI93" t="s">
        <v>122</v>
      </c>
      <c r="AJ93">
        <v>41.991506000000001</v>
      </c>
      <c r="AK93" t="s">
        <v>123</v>
      </c>
      <c r="AL93">
        <v>-87.891396999999998</v>
      </c>
      <c r="AS93">
        <v>1</v>
      </c>
      <c r="AT93" t="s">
        <v>118</v>
      </c>
      <c r="AU93" t="b">
        <v>1</v>
      </c>
      <c r="AV93">
        <v>357.19</v>
      </c>
      <c r="AW93">
        <v>0.125</v>
      </c>
      <c r="AX93">
        <v>1</v>
      </c>
      <c r="AZ93">
        <v>1200</v>
      </c>
      <c r="BA93">
        <v>1</v>
      </c>
      <c r="BB93" t="str">
        <f t="shared" si="5"/>
        <v xml:space="preserve">KAP400  </v>
      </c>
      <c r="BC93">
        <v>1</v>
      </c>
      <c r="BE93">
        <v>0</v>
      </c>
      <c r="BF93">
        <v>0</v>
      </c>
      <c r="BG93">
        <v>0</v>
      </c>
      <c r="BI93">
        <v>1</v>
      </c>
      <c r="BJ93">
        <v>1</v>
      </c>
      <c r="BK93">
        <v>1</v>
      </c>
      <c r="BL93">
        <v>0</v>
      </c>
      <c r="BO93">
        <v>0</v>
      </c>
      <c r="BP93">
        <v>0</v>
      </c>
      <c r="BW93" t="str">
        <f>"18:55:20.101"</f>
        <v>18:55:20.101</v>
      </c>
      <c r="BX93" t="s">
        <v>119</v>
      </c>
      <c r="BY93" t="s">
        <v>120</v>
      </c>
      <c r="CJ93">
        <v>0</v>
      </c>
      <c r="CK93">
        <v>0</v>
      </c>
      <c r="CL93">
        <v>0</v>
      </c>
      <c r="CM93">
        <v>2</v>
      </c>
      <c r="CN93">
        <v>0</v>
      </c>
      <c r="CO93">
        <v>7</v>
      </c>
      <c r="CP93" t="s">
        <v>121</v>
      </c>
      <c r="CQ93">
        <v>582</v>
      </c>
      <c r="CR93">
        <v>0</v>
      </c>
      <c r="CW93">
        <v>4559242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</row>
    <row r="94" spans="1:113" x14ac:dyDescent="0.3">
      <c r="A94" t="str">
        <f>"06/16/2022 18:55:25.531"</f>
        <v>06/16/2022 18:55:25.531</v>
      </c>
      <c r="C94" t="str">
        <f t="shared" si="3"/>
        <v>FFBF5BC0</v>
      </c>
      <c r="D94" t="s">
        <v>113</v>
      </c>
      <c r="E94">
        <v>8</v>
      </c>
      <c r="H94">
        <v>206</v>
      </c>
      <c r="I94" t="s">
        <v>114</v>
      </c>
      <c r="J94" t="s">
        <v>115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>"18:55:25.219"</f>
        <v>18:55:25.219</v>
      </c>
      <c r="T94" t="str">
        <f>"18:55:25.219"</f>
        <v>18:55:25.219</v>
      </c>
      <c r="U94" t="str">
        <f t="shared" si="4"/>
        <v>AB63B2</v>
      </c>
      <c r="V94">
        <v>0</v>
      </c>
      <c r="W94">
        <v>0</v>
      </c>
      <c r="X94">
        <v>6</v>
      </c>
      <c r="Z94">
        <v>0</v>
      </c>
      <c r="AA94">
        <v>9</v>
      </c>
      <c r="AB94">
        <v>3</v>
      </c>
      <c r="AC94">
        <v>0</v>
      </c>
      <c r="AD94">
        <v>10</v>
      </c>
      <c r="AE94">
        <v>0</v>
      </c>
      <c r="AF94">
        <v>0</v>
      </c>
      <c r="AG94">
        <v>2</v>
      </c>
      <c r="AH94">
        <v>0</v>
      </c>
      <c r="AI94" t="s">
        <v>122</v>
      </c>
      <c r="AJ94">
        <v>41.991506000000001</v>
      </c>
      <c r="AK94" t="s">
        <v>123</v>
      </c>
      <c r="AL94">
        <v>-87.891396999999998</v>
      </c>
      <c r="AS94">
        <v>1</v>
      </c>
      <c r="AT94" t="s">
        <v>118</v>
      </c>
      <c r="AU94" t="b">
        <v>1</v>
      </c>
      <c r="AV94">
        <v>357.19</v>
      </c>
      <c r="AW94">
        <v>0.125</v>
      </c>
      <c r="AX94">
        <v>1</v>
      </c>
      <c r="AZ94">
        <v>1200</v>
      </c>
      <c r="BA94">
        <v>1</v>
      </c>
      <c r="BB94" t="str">
        <f t="shared" si="5"/>
        <v xml:space="preserve">KAP400  </v>
      </c>
      <c r="BC94">
        <v>1</v>
      </c>
      <c r="BE94">
        <v>0</v>
      </c>
      <c r="BF94">
        <v>0</v>
      </c>
      <c r="BG94">
        <v>0</v>
      </c>
      <c r="BI94">
        <v>1</v>
      </c>
      <c r="BJ94">
        <v>1</v>
      </c>
      <c r="BK94">
        <v>1</v>
      </c>
      <c r="BL94">
        <v>0</v>
      </c>
      <c r="BO94">
        <v>0</v>
      </c>
      <c r="BP94">
        <v>0</v>
      </c>
      <c r="BW94" t="str">
        <f>"18:55:25.226"</f>
        <v>18:55:25.226</v>
      </c>
      <c r="BX94" t="s">
        <v>119</v>
      </c>
      <c r="BY94" t="s">
        <v>120</v>
      </c>
      <c r="CJ94">
        <v>0</v>
      </c>
      <c r="CK94">
        <v>0</v>
      </c>
      <c r="CL94">
        <v>0</v>
      </c>
      <c r="CM94">
        <v>2</v>
      </c>
      <c r="CN94">
        <v>0</v>
      </c>
      <c r="CO94">
        <v>7</v>
      </c>
      <c r="CP94" t="s">
        <v>121</v>
      </c>
      <c r="CQ94">
        <v>582</v>
      </c>
      <c r="CR94">
        <v>0</v>
      </c>
      <c r="CW94">
        <v>4567745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</row>
    <row r="95" spans="1:113" x14ac:dyDescent="0.3">
      <c r="A95" t="str">
        <f>"06/16/2022 18:55:30.451"</f>
        <v>06/16/2022 18:55:30.451</v>
      </c>
      <c r="C95" t="str">
        <f t="shared" si="3"/>
        <v>FFBF5BC0</v>
      </c>
      <c r="D95" t="s">
        <v>113</v>
      </c>
      <c r="E95">
        <v>8</v>
      </c>
      <c r="H95">
        <v>206</v>
      </c>
      <c r="I95" t="s">
        <v>114</v>
      </c>
      <c r="J95" t="s">
        <v>115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"18:55:30.211"</f>
        <v>18:55:30.211</v>
      </c>
      <c r="T95" t="str">
        <f>"18:55:30.211"</f>
        <v>18:55:30.211</v>
      </c>
      <c r="U95" t="str">
        <f t="shared" si="4"/>
        <v>AB63B2</v>
      </c>
      <c r="V95">
        <v>0</v>
      </c>
      <c r="W95">
        <v>0</v>
      </c>
      <c r="X95">
        <v>6</v>
      </c>
      <c r="Z95">
        <v>0</v>
      </c>
      <c r="AA95">
        <v>9</v>
      </c>
      <c r="AB95">
        <v>3</v>
      </c>
      <c r="AC95">
        <v>0</v>
      </c>
      <c r="AD95">
        <v>10</v>
      </c>
      <c r="AE95">
        <v>0</v>
      </c>
      <c r="AF95">
        <v>0</v>
      </c>
      <c r="AG95">
        <v>2</v>
      </c>
      <c r="AH95">
        <v>0</v>
      </c>
      <c r="AI95" t="s">
        <v>122</v>
      </c>
      <c r="AJ95">
        <v>41.991506000000001</v>
      </c>
      <c r="AK95" t="s">
        <v>123</v>
      </c>
      <c r="AL95">
        <v>-87.891396999999998</v>
      </c>
      <c r="AS95">
        <v>1</v>
      </c>
      <c r="AT95" t="s">
        <v>118</v>
      </c>
      <c r="AU95" t="b">
        <v>1</v>
      </c>
      <c r="AV95">
        <v>357.19</v>
      </c>
      <c r="AW95">
        <v>0.125</v>
      </c>
      <c r="AX95">
        <v>1</v>
      </c>
      <c r="AZ95">
        <v>1200</v>
      </c>
      <c r="BA95">
        <v>1</v>
      </c>
      <c r="BB95" t="str">
        <f t="shared" si="5"/>
        <v xml:space="preserve">KAP400  </v>
      </c>
      <c r="BC95">
        <v>1</v>
      </c>
      <c r="BE95">
        <v>0</v>
      </c>
      <c r="BF95">
        <v>0</v>
      </c>
      <c r="BG95">
        <v>0</v>
      </c>
      <c r="BI95">
        <v>1</v>
      </c>
      <c r="BJ95">
        <v>1</v>
      </c>
      <c r="BK95">
        <v>1</v>
      </c>
      <c r="BL95">
        <v>0</v>
      </c>
      <c r="BO95">
        <v>0</v>
      </c>
      <c r="BP95">
        <v>0</v>
      </c>
      <c r="BW95" t="str">
        <f>"18:55:30.212"</f>
        <v>18:55:30.212</v>
      </c>
      <c r="BX95" t="s">
        <v>119</v>
      </c>
      <c r="BY95" t="s">
        <v>120</v>
      </c>
      <c r="CJ95">
        <v>0</v>
      </c>
      <c r="CK95">
        <v>0</v>
      </c>
      <c r="CL95">
        <v>0</v>
      </c>
      <c r="CM95">
        <v>2</v>
      </c>
      <c r="CN95">
        <v>0</v>
      </c>
      <c r="CO95">
        <v>7</v>
      </c>
      <c r="CP95" t="s">
        <v>121</v>
      </c>
      <c r="CQ95">
        <v>582</v>
      </c>
      <c r="CR95">
        <v>0</v>
      </c>
      <c r="CW95">
        <v>4576342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</row>
    <row r="96" spans="1:113" x14ac:dyDescent="0.3">
      <c r="A96" t="str">
        <f>"06/16/2022 18:55:35.388"</f>
        <v>06/16/2022 18:55:35.388</v>
      </c>
      <c r="C96" t="str">
        <f t="shared" si="3"/>
        <v>FFBF5BC0</v>
      </c>
      <c r="D96" t="s">
        <v>113</v>
      </c>
      <c r="E96">
        <v>8</v>
      </c>
      <c r="H96">
        <v>206</v>
      </c>
      <c r="I96" t="s">
        <v>114</v>
      </c>
      <c r="J96" t="s">
        <v>115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>"18:55:35.109"</f>
        <v>18:55:35.109</v>
      </c>
      <c r="T96" t="str">
        <f>"18:55:35.109"</f>
        <v>18:55:35.109</v>
      </c>
      <c r="U96" t="str">
        <f t="shared" si="4"/>
        <v>AB63B2</v>
      </c>
      <c r="V96">
        <v>0</v>
      </c>
      <c r="W96">
        <v>0</v>
      </c>
      <c r="X96">
        <v>6</v>
      </c>
      <c r="Z96">
        <v>0</v>
      </c>
      <c r="AA96">
        <v>9</v>
      </c>
      <c r="AB96">
        <v>3</v>
      </c>
      <c r="AC96">
        <v>0</v>
      </c>
      <c r="AD96">
        <v>10</v>
      </c>
      <c r="AE96">
        <v>0</v>
      </c>
      <c r="AF96">
        <v>0</v>
      </c>
      <c r="AG96">
        <v>2</v>
      </c>
      <c r="AH96">
        <v>0</v>
      </c>
      <c r="AI96" t="s">
        <v>122</v>
      </c>
      <c r="AJ96">
        <v>41.991506000000001</v>
      </c>
      <c r="AK96" t="s">
        <v>123</v>
      </c>
      <c r="AL96">
        <v>-87.891396999999998</v>
      </c>
      <c r="AS96">
        <v>1</v>
      </c>
      <c r="AT96" t="s">
        <v>118</v>
      </c>
      <c r="AU96" t="b">
        <v>1</v>
      </c>
      <c r="AV96">
        <v>357.19</v>
      </c>
      <c r="AW96">
        <v>0.125</v>
      </c>
      <c r="AX96">
        <v>1</v>
      </c>
      <c r="AZ96">
        <v>1200</v>
      </c>
      <c r="BA96">
        <v>1</v>
      </c>
      <c r="BB96" t="str">
        <f t="shared" si="5"/>
        <v xml:space="preserve">KAP400  </v>
      </c>
      <c r="BC96">
        <v>1</v>
      </c>
      <c r="BE96">
        <v>0</v>
      </c>
      <c r="BF96">
        <v>0</v>
      </c>
      <c r="BG96">
        <v>0</v>
      </c>
      <c r="BI96">
        <v>1</v>
      </c>
      <c r="BJ96">
        <v>1</v>
      </c>
      <c r="BK96">
        <v>1</v>
      </c>
      <c r="BL96">
        <v>0</v>
      </c>
      <c r="BO96">
        <v>0</v>
      </c>
      <c r="BP96">
        <v>0</v>
      </c>
      <c r="BW96" t="str">
        <f>"18:55:35.111"</f>
        <v>18:55:35.111</v>
      </c>
      <c r="BX96" t="s">
        <v>119</v>
      </c>
      <c r="BY96" t="s">
        <v>120</v>
      </c>
      <c r="CJ96">
        <v>0</v>
      </c>
      <c r="CK96">
        <v>0</v>
      </c>
      <c r="CL96">
        <v>0</v>
      </c>
      <c r="CM96">
        <v>2</v>
      </c>
      <c r="CN96">
        <v>0</v>
      </c>
      <c r="CO96">
        <v>7</v>
      </c>
      <c r="CP96" t="s">
        <v>121</v>
      </c>
      <c r="CQ96">
        <v>582</v>
      </c>
      <c r="CR96">
        <v>0</v>
      </c>
      <c r="CW96">
        <v>4584681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</row>
    <row r="97" spans="1:113" x14ac:dyDescent="0.3">
      <c r="A97" t="str">
        <f>"06/16/2022 18:55:40.310"</f>
        <v>06/16/2022 18:55:40.310</v>
      </c>
      <c r="C97" t="str">
        <f t="shared" si="3"/>
        <v>FFBF5BC0</v>
      </c>
      <c r="D97" t="s">
        <v>113</v>
      </c>
      <c r="E97">
        <v>8</v>
      </c>
      <c r="H97">
        <v>206</v>
      </c>
      <c r="I97" t="s">
        <v>114</v>
      </c>
      <c r="J97" t="s">
        <v>115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>"18:55:40.055"</f>
        <v>18:55:40.055</v>
      </c>
      <c r="T97" t="str">
        <f>"18:55:40.055"</f>
        <v>18:55:40.055</v>
      </c>
      <c r="U97" t="str">
        <f t="shared" si="4"/>
        <v>AB63B2</v>
      </c>
      <c r="V97">
        <v>0</v>
      </c>
      <c r="W97">
        <v>0</v>
      </c>
      <c r="X97">
        <v>6</v>
      </c>
      <c r="Z97">
        <v>0</v>
      </c>
      <c r="AA97">
        <v>9</v>
      </c>
      <c r="AB97">
        <v>3</v>
      </c>
      <c r="AC97">
        <v>0</v>
      </c>
      <c r="AD97">
        <v>10</v>
      </c>
      <c r="AE97">
        <v>0</v>
      </c>
      <c r="AF97">
        <v>0</v>
      </c>
      <c r="AG97">
        <v>2</v>
      </c>
      <c r="AH97">
        <v>0</v>
      </c>
      <c r="AI97" t="s">
        <v>122</v>
      </c>
      <c r="AJ97">
        <v>41.991506000000001</v>
      </c>
      <c r="AK97" t="s">
        <v>123</v>
      </c>
      <c r="AL97">
        <v>-87.891396999999998</v>
      </c>
      <c r="AS97">
        <v>1</v>
      </c>
      <c r="AT97" t="s">
        <v>118</v>
      </c>
      <c r="AU97" t="b">
        <v>1</v>
      </c>
      <c r="AV97">
        <v>357.19</v>
      </c>
      <c r="AW97">
        <v>0.125</v>
      </c>
      <c r="AX97">
        <v>1</v>
      </c>
      <c r="AZ97">
        <v>1200</v>
      </c>
      <c r="BA97">
        <v>1</v>
      </c>
      <c r="BB97" t="str">
        <f t="shared" si="5"/>
        <v xml:space="preserve">KAP400  </v>
      </c>
      <c r="BC97">
        <v>1</v>
      </c>
      <c r="BE97">
        <v>0</v>
      </c>
      <c r="BF97">
        <v>0</v>
      </c>
      <c r="BG97">
        <v>0</v>
      </c>
      <c r="BI97">
        <v>1</v>
      </c>
      <c r="BJ97">
        <v>1</v>
      </c>
      <c r="BK97">
        <v>1</v>
      </c>
      <c r="BL97">
        <v>0</v>
      </c>
      <c r="BO97">
        <v>0</v>
      </c>
      <c r="BP97">
        <v>0</v>
      </c>
      <c r="BW97" t="str">
        <f>"18:55:40.056"</f>
        <v>18:55:40.056</v>
      </c>
      <c r="BX97" t="s">
        <v>119</v>
      </c>
      <c r="BY97" t="s">
        <v>120</v>
      </c>
      <c r="CJ97">
        <v>0</v>
      </c>
      <c r="CK97">
        <v>0</v>
      </c>
      <c r="CL97">
        <v>0</v>
      </c>
      <c r="CM97">
        <v>2</v>
      </c>
      <c r="CN97">
        <v>0</v>
      </c>
      <c r="CO97">
        <v>7</v>
      </c>
      <c r="CP97" t="s">
        <v>121</v>
      </c>
      <c r="CQ97">
        <v>581</v>
      </c>
      <c r="CR97">
        <v>0</v>
      </c>
      <c r="CW97">
        <v>13549835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</row>
    <row r="98" spans="1:113" x14ac:dyDescent="0.3">
      <c r="A98" t="str">
        <f>"06/16/2022 18:55:45.341"</f>
        <v>06/16/2022 18:55:45.341</v>
      </c>
      <c r="C98" t="str">
        <f t="shared" si="3"/>
        <v>FFBF5BC0</v>
      </c>
      <c r="D98" t="s">
        <v>113</v>
      </c>
      <c r="E98">
        <v>8</v>
      </c>
      <c r="H98">
        <v>206</v>
      </c>
      <c r="I98" t="s">
        <v>114</v>
      </c>
      <c r="J98" t="s">
        <v>115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>"18:55:45.063"</f>
        <v>18:55:45.063</v>
      </c>
      <c r="T98" t="str">
        <f>"18:55:45.063"</f>
        <v>18:55:45.063</v>
      </c>
      <c r="U98" t="str">
        <f t="shared" si="4"/>
        <v>AB63B2</v>
      </c>
      <c r="V98">
        <v>0</v>
      </c>
      <c r="W98">
        <v>0</v>
      </c>
      <c r="X98">
        <v>6</v>
      </c>
      <c r="Z98">
        <v>0</v>
      </c>
      <c r="AA98">
        <v>9</v>
      </c>
      <c r="AB98">
        <v>3</v>
      </c>
      <c r="AC98">
        <v>0</v>
      </c>
      <c r="AD98">
        <v>10</v>
      </c>
      <c r="AE98">
        <v>0</v>
      </c>
      <c r="AF98">
        <v>0</v>
      </c>
      <c r="AG98">
        <v>2</v>
      </c>
      <c r="AH98">
        <v>0</v>
      </c>
      <c r="AI98" t="s">
        <v>122</v>
      </c>
      <c r="AJ98">
        <v>41.991506000000001</v>
      </c>
      <c r="AK98" t="s">
        <v>123</v>
      </c>
      <c r="AL98">
        <v>-87.891396999999998</v>
      </c>
      <c r="AS98">
        <v>1</v>
      </c>
      <c r="AT98" t="s">
        <v>118</v>
      </c>
      <c r="AU98" t="b">
        <v>1</v>
      </c>
      <c r="AV98">
        <v>357.19</v>
      </c>
      <c r="AW98">
        <v>0.125</v>
      </c>
      <c r="AX98">
        <v>1</v>
      </c>
      <c r="AZ98">
        <v>1200</v>
      </c>
      <c r="BA98">
        <v>1</v>
      </c>
      <c r="BB98" t="str">
        <f t="shared" si="5"/>
        <v xml:space="preserve">KAP400  </v>
      </c>
      <c r="BC98">
        <v>1</v>
      </c>
      <c r="BE98">
        <v>0</v>
      </c>
      <c r="BF98">
        <v>0</v>
      </c>
      <c r="BG98">
        <v>0</v>
      </c>
      <c r="BI98">
        <v>1</v>
      </c>
      <c r="BJ98">
        <v>1</v>
      </c>
      <c r="BK98">
        <v>1</v>
      </c>
      <c r="BL98">
        <v>0</v>
      </c>
      <c r="BO98">
        <v>0</v>
      </c>
      <c r="BP98">
        <v>0</v>
      </c>
      <c r="BW98" t="str">
        <f>"18:55:45.064"</f>
        <v>18:55:45.064</v>
      </c>
      <c r="BX98" t="s">
        <v>119</v>
      </c>
      <c r="BY98" t="s">
        <v>120</v>
      </c>
      <c r="CJ98">
        <v>0</v>
      </c>
      <c r="CK98">
        <v>0</v>
      </c>
      <c r="CL98">
        <v>0</v>
      </c>
      <c r="CM98">
        <v>2</v>
      </c>
      <c r="CN98">
        <v>0</v>
      </c>
      <c r="CO98">
        <v>7</v>
      </c>
      <c r="CP98" t="s">
        <v>121</v>
      </c>
      <c r="CQ98">
        <v>579</v>
      </c>
      <c r="CR98">
        <v>0</v>
      </c>
      <c r="CW98">
        <v>16018618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</row>
    <row r="99" spans="1:113" x14ac:dyDescent="0.3">
      <c r="A99" t="str">
        <f>"06/16/2022 18:55:50.326"</f>
        <v>06/16/2022 18:55:50.326</v>
      </c>
      <c r="C99" t="str">
        <f t="shared" si="3"/>
        <v>FFBF5BC0</v>
      </c>
      <c r="D99" t="s">
        <v>113</v>
      </c>
      <c r="E99">
        <v>8</v>
      </c>
      <c r="H99">
        <v>206</v>
      </c>
      <c r="I99" t="s">
        <v>114</v>
      </c>
      <c r="J99" t="s">
        <v>115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"18:55:50.109"</f>
        <v>18:55:50.109</v>
      </c>
      <c r="T99" t="str">
        <f>"18:55:50.109"</f>
        <v>18:55:50.109</v>
      </c>
      <c r="U99" t="str">
        <f t="shared" si="4"/>
        <v>AB63B2</v>
      </c>
      <c r="V99">
        <v>0</v>
      </c>
      <c r="W99">
        <v>0</v>
      </c>
      <c r="X99">
        <v>6</v>
      </c>
      <c r="Z99">
        <v>0</v>
      </c>
      <c r="AA99">
        <v>9</v>
      </c>
      <c r="AB99">
        <v>3</v>
      </c>
      <c r="AC99">
        <v>0</v>
      </c>
      <c r="AD99">
        <v>10</v>
      </c>
      <c r="AE99">
        <v>0</v>
      </c>
      <c r="AF99">
        <v>0</v>
      </c>
      <c r="AG99">
        <v>2</v>
      </c>
      <c r="AH99">
        <v>0</v>
      </c>
      <c r="AI99" t="s">
        <v>122</v>
      </c>
      <c r="AJ99">
        <v>41.991506000000001</v>
      </c>
      <c r="AK99" t="s">
        <v>123</v>
      </c>
      <c r="AL99">
        <v>-87.891396999999998</v>
      </c>
      <c r="AS99">
        <v>1</v>
      </c>
      <c r="AT99" t="s">
        <v>118</v>
      </c>
      <c r="AU99" t="b">
        <v>1</v>
      </c>
      <c r="AV99">
        <v>357.19</v>
      </c>
      <c r="AW99">
        <v>0.125</v>
      </c>
      <c r="AX99">
        <v>1</v>
      </c>
      <c r="AZ99">
        <v>1200</v>
      </c>
      <c r="BA99">
        <v>1</v>
      </c>
      <c r="BB99" t="str">
        <f t="shared" si="5"/>
        <v xml:space="preserve">KAP400  </v>
      </c>
      <c r="BC99">
        <v>1</v>
      </c>
      <c r="BE99">
        <v>0</v>
      </c>
      <c r="BF99">
        <v>0</v>
      </c>
      <c r="BG99">
        <v>0</v>
      </c>
      <c r="BI99">
        <v>1</v>
      </c>
      <c r="BJ99">
        <v>1</v>
      </c>
      <c r="BK99">
        <v>1</v>
      </c>
      <c r="BL99">
        <v>0</v>
      </c>
      <c r="BO99">
        <v>0</v>
      </c>
      <c r="BP99">
        <v>0</v>
      </c>
      <c r="BW99" t="str">
        <f>"18:55:50.111"</f>
        <v>18:55:50.111</v>
      </c>
      <c r="BX99" t="s">
        <v>119</v>
      </c>
      <c r="BY99" t="s">
        <v>120</v>
      </c>
      <c r="CJ99">
        <v>0</v>
      </c>
      <c r="CK99">
        <v>0</v>
      </c>
      <c r="CL99">
        <v>0</v>
      </c>
      <c r="CM99">
        <v>2</v>
      </c>
      <c r="CN99">
        <v>0</v>
      </c>
      <c r="CO99">
        <v>7</v>
      </c>
      <c r="CP99" t="s">
        <v>121</v>
      </c>
      <c r="CQ99">
        <v>582</v>
      </c>
      <c r="CR99">
        <v>0</v>
      </c>
      <c r="CW99">
        <v>4609951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</row>
    <row r="100" spans="1:113" x14ac:dyDescent="0.3">
      <c r="A100" t="str">
        <f>"06/16/2022 18:55:55.153"</f>
        <v>06/16/2022 18:55:55.153</v>
      </c>
      <c r="C100" t="str">
        <f t="shared" si="3"/>
        <v>FFBF5BC0</v>
      </c>
      <c r="D100" t="s">
        <v>113</v>
      </c>
      <c r="E100">
        <v>8</v>
      </c>
      <c r="H100">
        <v>206</v>
      </c>
      <c r="I100" t="s">
        <v>114</v>
      </c>
      <c r="J100" t="s">
        <v>115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"18:55:54.922"</f>
        <v>18:55:54.922</v>
      </c>
      <c r="T100" t="str">
        <f>"18:55:54.922"</f>
        <v>18:55:54.922</v>
      </c>
      <c r="U100" t="str">
        <f t="shared" si="4"/>
        <v>AB63B2</v>
      </c>
      <c r="V100">
        <v>0</v>
      </c>
      <c r="W100">
        <v>0</v>
      </c>
      <c r="X100">
        <v>6</v>
      </c>
      <c r="Z100">
        <v>0</v>
      </c>
      <c r="AA100">
        <v>9</v>
      </c>
      <c r="AB100">
        <v>3</v>
      </c>
      <c r="AC100">
        <v>0</v>
      </c>
      <c r="AD100">
        <v>10</v>
      </c>
      <c r="AE100">
        <v>0</v>
      </c>
      <c r="AF100">
        <v>0</v>
      </c>
      <c r="AG100">
        <v>2</v>
      </c>
      <c r="AH100">
        <v>0</v>
      </c>
      <c r="AI100" t="s">
        <v>122</v>
      </c>
      <c r="AJ100">
        <v>41.991506000000001</v>
      </c>
      <c r="AK100" t="s">
        <v>123</v>
      </c>
      <c r="AL100">
        <v>-87.891396999999998</v>
      </c>
      <c r="AS100">
        <v>1</v>
      </c>
      <c r="AT100" t="s">
        <v>118</v>
      </c>
      <c r="AU100" t="b">
        <v>1</v>
      </c>
      <c r="AV100">
        <v>357.19</v>
      </c>
      <c r="AW100">
        <v>0.125</v>
      </c>
      <c r="AX100">
        <v>1</v>
      </c>
      <c r="AZ100">
        <v>1200</v>
      </c>
      <c r="BA100">
        <v>1</v>
      </c>
      <c r="BB100" t="str">
        <f t="shared" si="5"/>
        <v xml:space="preserve">KAP400  </v>
      </c>
      <c r="BC100">
        <v>1</v>
      </c>
      <c r="BE100">
        <v>0</v>
      </c>
      <c r="BF100">
        <v>0</v>
      </c>
      <c r="BG100">
        <v>0</v>
      </c>
      <c r="BI100">
        <v>1</v>
      </c>
      <c r="BJ100">
        <v>1</v>
      </c>
      <c r="BK100">
        <v>1</v>
      </c>
      <c r="BL100">
        <v>0</v>
      </c>
      <c r="BO100">
        <v>0</v>
      </c>
      <c r="BP100">
        <v>0</v>
      </c>
      <c r="BW100" t="str">
        <f>"18:55:54.926"</f>
        <v>18:55:54.926</v>
      </c>
      <c r="BX100" t="s">
        <v>119</v>
      </c>
      <c r="BY100" t="s">
        <v>120</v>
      </c>
      <c r="CJ100">
        <v>0</v>
      </c>
      <c r="CK100">
        <v>0</v>
      </c>
      <c r="CL100">
        <v>0</v>
      </c>
      <c r="CM100">
        <v>2</v>
      </c>
      <c r="CN100">
        <v>0</v>
      </c>
      <c r="CO100">
        <v>7</v>
      </c>
      <c r="CP100" t="s">
        <v>121</v>
      </c>
      <c r="CQ100">
        <v>582</v>
      </c>
      <c r="CR100">
        <v>0</v>
      </c>
      <c r="CW100">
        <v>4618232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</row>
    <row r="101" spans="1:113" x14ac:dyDescent="0.3">
      <c r="A101" t="str">
        <f>"06/16/2022 18:56:00.372"</f>
        <v>06/16/2022 18:56:00.372</v>
      </c>
      <c r="C101" t="str">
        <f t="shared" si="3"/>
        <v>FFBF5BC0</v>
      </c>
      <c r="D101" t="s">
        <v>113</v>
      </c>
      <c r="E101">
        <v>8</v>
      </c>
      <c r="H101">
        <v>206</v>
      </c>
      <c r="I101" t="s">
        <v>114</v>
      </c>
      <c r="J101" t="s">
        <v>115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"18:56:00.086"</f>
        <v>18:56:00.086</v>
      </c>
      <c r="T101" t="str">
        <f>"18:56:00.086"</f>
        <v>18:56:00.086</v>
      </c>
      <c r="U101" t="str">
        <f t="shared" si="4"/>
        <v>AB63B2</v>
      </c>
      <c r="V101">
        <v>0</v>
      </c>
      <c r="W101">
        <v>0</v>
      </c>
      <c r="X101">
        <v>6</v>
      </c>
      <c r="Z101">
        <v>0</v>
      </c>
      <c r="AA101">
        <v>9</v>
      </c>
      <c r="AB101">
        <v>3</v>
      </c>
      <c r="AC101">
        <v>0</v>
      </c>
      <c r="AD101">
        <v>10</v>
      </c>
      <c r="AE101">
        <v>0</v>
      </c>
      <c r="AF101">
        <v>0</v>
      </c>
      <c r="AG101">
        <v>2</v>
      </c>
      <c r="AH101">
        <v>0</v>
      </c>
      <c r="AI101" t="s">
        <v>122</v>
      </c>
      <c r="AJ101">
        <v>41.991506000000001</v>
      </c>
      <c r="AK101" t="s">
        <v>123</v>
      </c>
      <c r="AL101">
        <v>-87.891396999999998</v>
      </c>
      <c r="AS101">
        <v>1</v>
      </c>
      <c r="AT101" t="s">
        <v>118</v>
      </c>
      <c r="AU101" t="b">
        <v>1</v>
      </c>
      <c r="AV101">
        <v>357.19</v>
      </c>
      <c r="AW101">
        <v>0.125</v>
      </c>
      <c r="AX101">
        <v>1</v>
      </c>
      <c r="AZ101">
        <v>1200</v>
      </c>
      <c r="BA101">
        <v>1</v>
      </c>
      <c r="BB101" t="str">
        <f t="shared" si="5"/>
        <v xml:space="preserve">KAP400  </v>
      </c>
      <c r="BC101">
        <v>1</v>
      </c>
      <c r="BE101">
        <v>0</v>
      </c>
      <c r="BF101">
        <v>0</v>
      </c>
      <c r="BG101">
        <v>0</v>
      </c>
      <c r="BI101">
        <v>1</v>
      </c>
      <c r="BJ101">
        <v>1</v>
      </c>
      <c r="BK101">
        <v>1</v>
      </c>
      <c r="BL101">
        <v>0</v>
      </c>
      <c r="BO101">
        <v>0</v>
      </c>
      <c r="BP101">
        <v>0</v>
      </c>
      <c r="BW101" t="str">
        <f>"18:56:00.090"</f>
        <v>18:56:00.090</v>
      </c>
      <c r="BX101" t="s">
        <v>119</v>
      </c>
      <c r="BY101" t="s">
        <v>120</v>
      </c>
      <c r="CJ101">
        <v>0</v>
      </c>
      <c r="CK101">
        <v>0</v>
      </c>
      <c r="CL101">
        <v>0</v>
      </c>
      <c r="CM101">
        <v>2</v>
      </c>
      <c r="CN101">
        <v>0</v>
      </c>
      <c r="CO101">
        <v>7</v>
      </c>
      <c r="CP101" t="s">
        <v>121</v>
      </c>
      <c r="CQ101">
        <v>582</v>
      </c>
      <c r="CR101">
        <v>0</v>
      </c>
      <c r="CW101">
        <v>4627102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</row>
    <row r="102" spans="1:113" x14ac:dyDescent="0.3">
      <c r="A102" t="str">
        <f>"06/16/2022 18:56:05.514"</f>
        <v>06/16/2022 18:56:05.514</v>
      </c>
      <c r="C102" t="str">
        <f t="shared" si="3"/>
        <v>FFBF5BC0</v>
      </c>
      <c r="D102" t="s">
        <v>113</v>
      </c>
      <c r="E102">
        <v>8</v>
      </c>
      <c r="H102">
        <v>206</v>
      </c>
      <c r="I102" t="s">
        <v>114</v>
      </c>
      <c r="J102" t="s">
        <v>115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>"18:56:05.258"</f>
        <v>18:56:05.258</v>
      </c>
      <c r="T102" t="str">
        <f>"18:56:05.258"</f>
        <v>18:56:05.258</v>
      </c>
      <c r="U102" t="str">
        <f t="shared" si="4"/>
        <v>AB63B2</v>
      </c>
      <c r="V102">
        <v>0</v>
      </c>
      <c r="W102">
        <v>0</v>
      </c>
      <c r="X102">
        <v>6</v>
      </c>
      <c r="Z102">
        <v>0</v>
      </c>
      <c r="AA102">
        <v>9</v>
      </c>
      <c r="AB102">
        <v>3</v>
      </c>
      <c r="AC102">
        <v>0</v>
      </c>
      <c r="AD102">
        <v>10</v>
      </c>
      <c r="AE102">
        <v>0</v>
      </c>
      <c r="AF102">
        <v>0</v>
      </c>
      <c r="AG102">
        <v>2</v>
      </c>
      <c r="AH102">
        <v>0</v>
      </c>
      <c r="AI102" t="s">
        <v>122</v>
      </c>
      <c r="AJ102">
        <v>41.991506000000001</v>
      </c>
      <c r="AK102" t="s">
        <v>123</v>
      </c>
      <c r="AL102">
        <v>-87.891396999999998</v>
      </c>
      <c r="AS102">
        <v>1</v>
      </c>
      <c r="AT102" t="s">
        <v>118</v>
      </c>
      <c r="AU102" t="b">
        <v>1</v>
      </c>
      <c r="AV102">
        <v>357.19</v>
      </c>
      <c r="AW102">
        <v>0.125</v>
      </c>
      <c r="AX102">
        <v>1</v>
      </c>
      <c r="AZ102">
        <v>1200</v>
      </c>
      <c r="BA102">
        <v>1</v>
      </c>
      <c r="BB102" t="str">
        <f t="shared" si="5"/>
        <v xml:space="preserve">KAP400  </v>
      </c>
      <c r="BC102">
        <v>1</v>
      </c>
      <c r="BE102">
        <v>0</v>
      </c>
      <c r="BF102">
        <v>0</v>
      </c>
      <c r="BG102">
        <v>0</v>
      </c>
      <c r="BI102">
        <v>1</v>
      </c>
      <c r="BJ102">
        <v>1</v>
      </c>
      <c r="BK102">
        <v>1</v>
      </c>
      <c r="BL102">
        <v>0</v>
      </c>
      <c r="BO102">
        <v>0</v>
      </c>
      <c r="BP102">
        <v>0</v>
      </c>
      <c r="BW102" t="str">
        <f>"18:56:05.261"</f>
        <v>18:56:05.261</v>
      </c>
      <c r="BX102" t="s">
        <v>119</v>
      </c>
      <c r="BY102" t="s">
        <v>120</v>
      </c>
      <c r="CJ102">
        <v>0</v>
      </c>
      <c r="CK102">
        <v>0</v>
      </c>
      <c r="CL102">
        <v>0</v>
      </c>
      <c r="CM102">
        <v>2</v>
      </c>
      <c r="CN102">
        <v>0</v>
      </c>
      <c r="CO102">
        <v>7</v>
      </c>
      <c r="CP102" t="s">
        <v>121</v>
      </c>
      <c r="CQ102">
        <v>582</v>
      </c>
      <c r="CR102">
        <v>0</v>
      </c>
      <c r="CW102">
        <v>4635690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</row>
    <row r="103" spans="1:113" x14ac:dyDescent="0.3">
      <c r="A103" t="str">
        <f>"06/16/2022 18:56:10.624"</f>
        <v>06/16/2022 18:56:10.624</v>
      </c>
      <c r="C103" t="str">
        <f t="shared" si="3"/>
        <v>FFBF5BC0</v>
      </c>
      <c r="D103" t="s">
        <v>113</v>
      </c>
      <c r="E103">
        <v>8</v>
      </c>
      <c r="H103">
        <v>206</v>
      </c>
      <c r="I103" t="s">
        <v>114</v>
      </c>
      <c r="J103" t="s">
        <v>115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>"18:56:10.305"</f>
        <v>18:56:10.305</v>
      </c>
      <c r="T103" t="str">
        <f>"18:56:10.305"</f>
        <v>18:56:10.305</v>
      </c>
      <c r="U103" t="str">
        <f t="shared" si="4"/>
        <v>AB63B2</v>
      </c>
      <c r="V103">
        <v>0</v>
      </c>
      <c r="W103">
        <v>0</v>
      </c>
      <c r="X103">
        <v>6</v>
      </c>
      <c r="Z103">
        <v>0</v>
      </c>
      <c r="AA103">
        <v>9</v>
      </c>
      <c r="AB103">
        <v>3</v>
      </c>
      <c r="AC103">
        <v>0</v>
      </c>
      <c r="AD103">
        <v>10</v>
      </c>
      <c r="AE103">
        <v>0</v>
      </c>
      <c r="AF103">
        <v>0</v>
      </c>
      <c r="AG103">
        <v>2</v>
      </c>
      <c r="AH103">
        <v>0</v>
      </c>
      <c r="AI103" t="s">
        <v>122</v>
      </c>
      <c r="AJ103">
        <v>41.991506000000001</v>
      </c>
      <c r="AK103" t="s">
        <v>123</v>
      </c>
      <c r="AL103">
        <v>-87.891396999999998</v>
      </c>
      <c r="AS103">
        <v>1</v>
      </c>
      <c r="AT103" t="s">
        <v>118</v>
      </c>
      <c r="AU103" t="b">
        <v>1</v>
      </c>
      <c r="AV103">
        <v>357.19</v>
      </c>
      <c r="AW103">
        <v>0.125</v>
      </c>
      <c r="AX103">
        <v>1</v>
      </c>
      <c r="AZ103">
        <v>1200</v>
      </c>
      <c r="BA103">
        <v>1</v>
      </c>
      <c r="BB103" t="str">
        <f t="shared" si="5"/>
        <v xml:space="preserve">KAP400  </v>
      </c>
      <c r="BC103">
        <v>1</v>
      </c>
      <c r="BE103">
        <v>0</v>
      </c>
      <c r="BF103">
        <v>0</v>
      </c>
      <c r="BG103">
        <v>0</v>
      </c>
      <c r="BI103">
        <v>1</v>
      </c>
      <c r="BJ103">
        <v>1</v>
      </c>
      <c r="BK103">
        <v>1</v>
      </c>
      <c r="BL103">
        <v>0</v>
      </c>
      <c r="BO103">
        <v>0</v>
      </c>
      <c r="BP103">
        <v>0</v>
      </c>
      <c r="BW103" t="str">
        <f>"18:56:10.312"</f>
        <v>18:56:10.312</v>
      </c>
      <c r="BX103" t="s">
        <v>119</v>
      </c>
      <c r="BY103" t="s">
        <v>120</v>
      </c>
      <c r="CJ103">
        <v>0</v>
      </c>
      <c r="CK103">
        <v>0</v>
      </c>
      <c r="CL103">
        <v>0</v>
      </c>
      <c r="CM103">
        <v>2</v>
      </c>
      <c r="CN103">
        <v>0</v>
      </c>
      <c r="CO103">
        <v>7</v>
      </c>
      <c r="CP103" t="s">
        <v>121</v>
      </c>
      <c r="CQ103">
        <v>581</v>
      </c>
      <c r="CR103">
        <v>0</v>
      </c>
      <c r="CW103">
        <v>13605752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</row>
    <row r="104" spans="1:113" x14ac:dyDescent="0.3">
      <c r="A104" t="str">
        <f>"06/16/2022 18:56:15.546"</f>
        <v>06/16/2022 18:56:15.546</v>
      </c>
      <c r="C104" t="str">
        <f t="shared" si="3"/>
        <v>FFBF5BC0</v>
      </c>
      <c r="D104" t="s">
        <v>113</v>
      </c>
      <c r="E104">
        <v>8</v>
      </c>
      <c r="H104">
        <v>206</v>
      </c>
      <c r="I104" t="s">
        <v>114</v>
      </c>
      <c r="J104" t="s">
        <v>115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>"18:56:15.242"</f>
        <v>18:56:15.242</v>
      </c>
      <c r="T104" t="str">
        <f>"18:56:15.242"</f>
        <v>18:56:15.242</v>
      </c>
      <c r="U104" t="str">
        <f t="shared" si="4"/>
        <v>AB63B2</v>
      </c>
      <c r="V104">
        <v>0</v>
      </c>
      <c r="W104">
        <v>0</v>
      </c>
      <c r="X104">
        <v>6</v>
      </c>
      <c r="Z104">
        <v>0</v>
      </c>
      <c r="AA104">
        <v>9</v>
      </c>
      <c r="AB104">
        <v>3</v>
      </c>
      <c r="AC104">
        <v>0</v>
      </c>
      <c r="AD104">
        <v>10</v>
      </c>
      <c r="AE104">
        <v>0</v>
      </c>
      <c r="AF104">
        <v>0</v>
      </c>
      <c r="AG104">
        <v>2</v>
      </c>
      <c r="AH104">
        <v>0</v>
      </c>
      <c r="AI104" t="s">
        <v>122</v>
      </c>
      <c r="AJ104">
        <v>41.991506000000001</v>
      </c>
      <c r="AK104" t="s">
        <v>123</v>
      </c>
      <c r="AL104">
        <v>-87.891396999999998</v>
      </c>
      <c r="AS104">
        <v>1</v>
      </c>
      <c r="AT104" t="s">
        <v>118</v>
      </c>
      <c r="AU104" t="b">
        <v>1</v>
      </c>
      <c r="AV104">
        <v>357.19</v>
      </c>
      <c r="AW104">
        <v>0.125</v>
      </c>
      <c r="AX104">
        <v>1</v>
      </c>
      <c r="AZ104">
        <v>1200</v>
      </c>
      <c r="BA104">
        <v>1</v>
      </c>
      <c r="BB104" t="str">
        <f t="shared" si="5"/>
        <v xml:space="preserve">KAP400  </v>
      </c>
      <c r="BC104">
        <v>1</v>
      </c>
      <c r="BE104">
        <v>0</v>
      </c>
      <c r="BF104">
        <v>0</v>
      </c>
      <c r="BG104">
        <v>0</v>
      </c>
      <c r="BI104">
        <v>1</v>
      </c>
      <c r="BJ104">
        <v>1</v>
      </c>
      <c r="BK104">
        <v>1</v>
      </c>
      <c r="BL104">
        <v>0</v>
      </c>
      <c r="BO104">
        <v>0</v>
      </c>
      <c r="BP104">
        <v>0</v>
      </c>
      <c r="BW104" t="str">
        <f>"18:56:15.249"</f>
        <v>18:56:15.249</v>
      </c>
      <c r="BX104" t="s">
        <v>119</v>
      </c>
      <c r="BY104" t="s">
        <v>120</v>
      </c>
      <c r="CJ104">
        <v>0</v>
      </c>
      <c r="CK104">
        <v>0</v>
      </c>
      <c r="CL104">
        <v>0</v>
      </c>
      <c r="CM104">
        <v>2</v>
      </c>
      <c r="CN104">
        <v>0</v>
      </c>
      <c r="CO104">
        <v>7</v>
      </c>
      <c r="CP104" t="s">
        <v>121</v>
      </c>
      <c r="CQ104">
        <v>582</v>
      </c>
      <c r="CR104">
        <v>0</v>
      </c>
      <c r="CW104">
        <v>4652347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</row>
    <row r="105" spans="1:113" x14ac:dyDescent="0.3">
      <c r="A105" t="str">
        <f>"06/16/2022 18:56:20.326"</f>
        <v>06/16/2022 18:56:20.326</v>
      </c>
      <c r="C105" t="str">
        <f t="shared" si="3"/>
        <v>FFBF5BC0</v>
      </c>
      <c r="D105" t="s">
        <v>113</v>
      </c>
      <c r="E105">
        <v>8</v>
      </c>
      <c r="H105">
        <v>206</v>
      </c>
      <c r="I105" t="s">
        <v>114</v>
      </c>
      <c r="J105" t="s">
        <v>115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>"18:56:20.094"</f>
        <v>18:56:20.094</v>
      </c>
      <c r="T105" t="str">
        <f>"18:56:20.094"</f>
        <v>18:56:20.094</v>
      </c>
      <c r="U105" t="str">
        <f t="shared" si="4"/>
        <v>AB63B2</v>
      </c>
      <c r="V105">
        <v>0</v>
      </c>
      <c r="W105">
        <v>0</v>
      </c>
      <c r="X105">
        <v>6</v>
      </c>
      <c r="Z105">
        <v>0</v>
      </c>
      <c r="AA105">
        <v>9</v>
      </c>
      <c r="AB105">
        <v>3</v>
      </c>
      <c r="AC105">
        <v>0</v>
      </c>
      <c r="AD105">
        <v>10</v>
      </c>
      <c r="AE105">
        <v>0</v>
      </c>
      <c r="AF105">
        <v>0</v>
      </c>
      <c r="AG105">
        <v>2</v>
      </c>
      <c r="AH105">
        <v>0</v>
      </c>
      <c r="AI105" t="s">
        <v>122</v>
      </c>
      <c r="AJ105">
        <v>41.991506000000001</v>
      </c>
      <c r="AK105" t="s">
        <v>123</v>
      </c>
      <c r="AL105">
        <v>-87.891396999999998</v>
      </c>
      <c r="AS105">
        <v>1</v>
      </c>
      <c r="AT105" t="s">
        <v>118</v>
      </c>
      <c r="AU105" t="b">
        <v>1</v>
      </c>
      <c r="AV105">
        <v>357.19</v>
      </c>
      <c r="AW105">
        <v>0.125</v>
      </c>
      <c r="AX105">
        <v>1</v>
      </c>
      <c r="AZ105">
        <v>1200</v>
      </c>
      <c r="BA105">
        <v>1</v>
      </c>
      <c r="BB105" t="str">
        <f t="shared" si="5"/>
        <v xml:space="preserve">KAP400  </v>
      </c>
      <c r="BC105">
        <v>1</v>
      </c>
      <c r="BE105">
        <v>0</v>
      </c>
      <c r="BF105">
        <v>0</v>
      </c>
      <c r="BG105">
        <v>0</v>
      </c>
      <c r="BI105">
        <v>1</v>
      </c>
      <c r="BJ105">
        <v>1</v>
      </c>
      <c r="BK105">
        <v>1</v>
      </c>
      <c r="BL105">
        <v>0</v>
      </c>
      <c r="BO105">
        <v>0</v>
      </c>
      <c r="BP105">
        <v>0</v>
      </c>
      <c r="BW105" t="str">
        <f>"18:56:20.095"</f>
        <v>18:56:20.095</v>
      </c>
      <c r="BX105" t="s">
        <v>119</v>
      </c>
      <c r="BY105" t="s">
        <v>120</v>
      </c>
      <c r="CJ105">
        <v>0</v>
      </c>
      <c r="CK105">
        <v>0</v>
      </c>
      <c r="CL105">
        <v>0</v>
      </c>
      <c r="CM105">
        <v>2</v>
      </c>
      <c r="CN105">
        <v>0</v>
      </c>
      <c r="CO105">
        <v>7</v>
      </c>
      <c r="CP105" t="s">
        <v>121</v>
      </c>
      <c r="CQ105">
        <v>582</v>
      </c>
      <c r="CR105">
        <v>0</v>
      </c>
      <c r="CW105">
        <v>4660502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</row>
    <row r="106" spans="1:113" x14ac:dyDescent="0.3">
      <c r="A106" t="str">
        <f>"06/16/2022 18:56:35.561"</f>
        <v>06/16/2022 18:56:35.561</v>
      </c>
      <c r="C106" t="str">
        <f t="shared" si="3"/>
        <v>FFBF5BC0</v>
      </c>
      <c r="D106" t="s">
        <v>113</v>
      </c>
      <c r="E106">
        <v>8</v>
      </c>
      <c r="H106">
        <v>206</v>
      </c>
      <c r="I106" t="s">
        <v>114</v>
      </c>
      <c r="J106" t="s">
        <v>115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>"18:56:35.328"</f>
        <v>18:56:35.328</v>
      </c>
      <c r="T106" t="str">
        <f>"18:56:35.328"</f>
        <v>18:56:35.328</v>
      </c>
      <c r="U106" t="str">
        <f t="shared" si="4"/>
        <v>AB63B2</v>
      </c>
      <c r="V106">
        <v>0</v>
      </c>
      <c r="W106">
        <v>0</v>
      </c>
      <c r="X106">
        <v>6</v>
      </c>
      <c r="Z106">
        <v>0</v>
      </c>
      <c r="AA106">
        <v>9</v>
      </c>
      <c r="AB106">
        <v>3</v>
      </c>
      <c r="AC106">
        <v>0</v>
      </c>
      <c r="AD106">
        <v>10</v>
      </c>
      <c r="AE106">
        <v>0</v>
      </c>
      <c r="AF106">
        <v>0</v>
      </c>
      <c r="AG106">
        <v>2</v>
      </c>
      <c r="AH106">
        <v>0</v>
      </c>
      <c r="AI106" t="s">
        <v>122</v>
      </c>
      <c r="AJ106">
        <v>41.991506000000001</v>
      </c>
      <c r="AK106" t="s">
        <v>123</v>
      </c>
      <c r="AL106">
        <v>-87.891396999999998</v>
      </c>
      <c r="AS106">
        <v>1</v>
      </c>
      <c r="AT106" t="s">
        <v>118</v>
      </c>
      <c r="AU106" t="b">
        <v>1</v>
      </c>
      <c r="AV106">
        <v>357.19</v>
      </c>
      <c r="AW106">
        <v>0.125</v>
      </c>
      <c r="AX106">
        <v>1</v>
      </c>
      <c r="AZ106">
        <v>1200</v>
      </c>
      <c r="BA106">
        <v>1</v>
      </c>
      <c r="BB106" t="str">
        <f t="shared" si="5"/>
        <v xml:space="preserve">KAP400  </v>
      </c>
      <c r="BC106">
        <v>1</v>
      </c>
      <c r="BE106">
        <v>0</v>
      </c>
      <c r="BF106">
        <v>0</v>
      </c>
      <c r="BG106">
        <v>0</v>
      </c>
      <c r="BI106">
        <v>1</v>
      </c>
      <c r="BJ106">
        <v>1</v>
      </c>
      <c r="BK106">
        <v>1</v>
      </c>
      <c r="BL106">
        <v>0</v>
      </c>
      <c r="BO106">
        <v>0</v>
      </c>
      <c r="BP106">
        <v>0</v>
      </c>
      <c r="BW106" t="str">
        <f>"18:56:35.334"</f>
        <v>18:56:35.334</v>
      </c>
      <c r="BX106" t="s">
        <v>119</v>
      </c>
      <c r="BY106" t="s">
        <v>120</v>
      </c>
      <c r="CJ106">
        <v>0</v>
      </c>
      <c r="CK106">
        <v>0</v>
      </c>
      <c r="CL106">
        <v>0</v>
      </c>
      <c r="CM106">
        <v>2</v>
      </c>
      <c r="CN106">
        <v>0</v>
      </c>
      <c r="CO106">
        <v>7</v>
      </c>
      <c r="CP106" t="s">
        <v>121</v>
      </c>
      <c r="CQ106">
        <v>582</v>
      </c>
      <c r="CR106">
        <v>0</v>
      </c>
      <c r="CW106">
        <v>4686243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</row>
    <row r="107" spans="1:113" x14ac:dyDescent="0.3">
      <c r="A107" t="str">
        <f>"06/16/2022 18:56:40.450"</f>
        <v>06/16/2022 18:56:40.450</v>
      </c>
      <c r="C107" t="str">
        <f t="shared" si="3"/>
        <v>FFBF5BC0</v>
      </c>
      <c r="D107" t="s">
        <v>113</v>
      </c>
      <c r="E107">
        <v>8</v>
      </c>
      <c r="H107">
        <v>206</v>
      </c>
      <c r="I107" t="s">
        <v>114</v>
      </c>
      <c r="J107" t="s">
        <v>115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"18:56:40.281"</f>
        <v>18:56:40.281</v>
      </c>
      <c r="T107" t="str">
        <f>"18:56:40.281"</f>
        <v>18:56:40.281</v>
      </c>
      <c r="U107" t="str">
        <f t="shared" si="4"/>
        <v>AB63B2</v>
      </c>
      <c r="V107">
        <v>0</v>
      </c>
      <c r="W107">
        <v>0</v>
      </c>
      <c r="X107">
        <v>6</v>
      </c>
      <c r="Z107">
        <v>0</v>
      </c>
      <c r="AA107">
        <v>9</v>
      </c>
      <c r="AB107">
        <v>3</v>
      </c>
      <c r="AC107">
        <v>0</v>
      </c>
      <c r="AD107">
        <v>10</v>
      </c>
      <c r="AE107">
        <v>0</v>
      </c>
      <c r="AF107">
        <v>0</v>
      </c>
      <c r="AG107">
        <v>2</v>
      </c>
      <c r="AH107">
        <v>0</v>
      </c>
      <c r="AI107" t="s">
        <v>122</v>
      </c>
      <c r="AJ107">
        <v>41.991506000000001</v>
      </c>
      <c r="AK107" t="s">
        <v>123</v>
      </c>
      <c r="AL107">
        <v>-87.891396999999998</v>
      </c>
      <c r="AS107">
        <v>1</v>
      </c>
      <c r="AT107" t="s">
        <v>118</v>
      </c>
      <c r="AU107" t="b">
        <v>1</v>
      </c>
      <c r="AV107">
        <v>357.19</v>
      </c>
      <c r="AW107">
        <v>0.125</v>
      </c>
      <c r="AX107">
        <v>1</v>
      </c>
      <c r="AZ107">
        <v>1200</v>
      </c>
      <c r="BA107">
        <v>1</v>
      </c>
      <c r="BB107" t="str">
        <f t="shared" si="5"/>
        <v xml:space="preserve">KAP400  </v>
      </c>
      <c r="BC107">
        <v>1</v>
      </c>
      <c r="BE107">
        <v>0</v>
      </c>
      <c r="BF107">
        <v>0</v>
      </c>
      <c r="BG107">
        <v>0</v>
      </c>
      <c r="BI107">
        <v>1</v>
      </c>
      <c r="BJ107">
        <v>1</v>
      </c>
      <c r="BK107">
        <v>1</v>
      </c>
      <c r="BL107">
        <v>0</v>
      </c>
      <c r="BO107">
        <v>0</v>
      </c>
      <c r="BP107">
        <v>0</v>
      </c>
      <c r="BW107" t="str">
        <f>"18:56:40.282"</f>
        <v>18:56:40.282</v>
      </c>
      <c r="BX107" t="s">
        <v>119</v>
      </c>
      <c r="BY107" t="s">
        <v>120</v>
      </c>
      <c r="CJ107">
        <v>0</v>
      </c>
      <c r="CK107">
        <v>0</v>
      </c>
      <c r="CL107">
        <v>0</v>
      </c>
      <c r="CM107">
        <v>2</v>
      </c>
      <c r="CN107">
        <v>0</v>
      </c>
      <c r="CO107">
        <v>7</v>
      </c>
      <c r="CP107" t="s">
        <v>121</v>
      </c>
      <c r="CQ107">
        <v>582</v>
      </c>
      <c r="CR107">
        <v>0</v>
      </c>
      <c r="CW107">
        <v>4694193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</row>
    <row r="108" spans="1:113" x14ac:dyDescent="0.3">
      <c r="A108" t="str">
        <f>"06/16/2022 18:56:45.670"</f>
        <v>06/16/2022 18:56:45.670</v>
      </c>
      <c r="C108" t="str">
        <f t="shared" si="3"/>
        <v>FFBF5BC0</v>
      </c>
      <c r="D108" t="s">
        <v>113</v>
      </c>
      <c r="E108">
        <v>8</v>
      </c>
      <c r="H108">
        <v>206</v>
      </c>
      <c r="I108" t="s">
        <v>114</v>
      </c>
      <c r="J108" t="s">
        <v>115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"18:56:45.461"</f>
        <v>18:56:45.461</v>
      </c>
      <c r="T108" t="str">
        <f>"18:56:45.461"</f>
        <v>18:56:45.461</v>
      </c>
      <c r="U108" t="str">
        <f t="shared" si="4"/>
        <v>AB63B2</v>
      </c>
      <c r="V108">
        <v>0</v>
      </c>
      <c r="W108">
        <v>0</v>
      </c>
      <c r="X108">
        <v>6</v>
      </c>
      <c r="Z108">
        <v>0</v>
      </c>
      <c r="AA108">
        <v>9</v>
      </c>
      <c r="AB108">
        <v>3</v>
      </c>
      <c r="AC108">
        <v>0</v>
      </c>
      <c r="AD108">
        <v>10</v>
      </c>
      <c r="AE108">
        <v>0</v>
      </c>
      <c r="AF108">
        <v>0</v>
      </c>
      <c r="AG108">
        <v>2</v>
      </c>
      <c r="AH108">
        <v>0</v>
      </c>
      <c r="AI108" t="s">
        <v>122</v>
      </c>
      <c r="AJ108">
        <v>41.991506000000001</v>
      </c>
      <c r="AK108" t="s">
        <v>123</v>
      </c>
      <c r="AL108">
        <v>-87.891396999999998</v>
      </c>
      <c r="AS108">
        <v>1</v>
      </c>
      <c r="AT108" t="s">
        <v>118</v>
      </c>
      <c r="AU108" t="b">
        <v>1</v>
      </c>
      <c r="AV108">
        <v>357.19</v>
      </c>
      <c r="AW108">
        <v>0.125</v>
      </c>
      <c r="AX108">
        <v>1</v>
      </c>
      <c r="AZ108">
        <v>1200</v>
      </c>
      <c r="BA108">
        <v>1</v>
      </c>
      <c r="BB108" t="str">
        <f t="shared" si="5"/>
        <v xml:space="preserve">KAP400  </v>
      </c>
      <c r="BC108">
        <v>1</v>
      </c>
      <c r="BE108">
        <v>0</v>
      </c>
      <c r="BF108">
        <v>0</v>
      </c>
      <c r="BG108">
        <v>0</v>
      </c>
      <c r="BI108">
        <v>1</v>
      </c>
      <c r="BJ108">
        <v>1</v>
      </c>
      <c r="BK108">
        <v>1</v>
      </c>
      <c r="BL108">
        <v>0</v>
      </c>
      <c r="BO108">
        <v>0</v>
      </c>
      <c r="BP108">
        <v>0</v>
      </c>
      <c r="BW108" t="str">
        <f>"18:56:45.467"</f>
        <v>18:56:45.467</v>
      </c>
      <c r="BX108" t="s">
        <v>119</v>
      </c>
      <c r="BY108" t="s">
        <v>120</v>
      </c>
      <c r="CJ108">
        <v>0</v>
      </c>
      <c r="CK108">
        <v>0</v>
      </c>
      <c r="CL108">
        <v>0</v>
      </c>
      <c r="CM108">
        <v>2</v>
      </c>
      <c r="CN108">
        <v>0</v>
      </c>
      <c r="CO108">
        <v>7</v>
      </c>
      <c r="CP108" t="s">
        <v>121</v>
      </c>
      <c r="CQ108">
        <v>581</v>
      </c>
      <c r="CR108">
        <v>0</v>
      </c>
      <c r="CW108">
        <v>13669847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</row>
    <row r="109" spans="1:113" x14ac:dyDescent="0.3">
      <c r="A109" t="str">
        <f>"06/16/2022 18:56:50.873"</f>
        <v>06/16/2022 18:56:50.873</v>
      </c>
      <c r="C109" t="str">
        <f t="shared" si="3"/>
        <v>FFBF5BC0</v>
      </c>
      <c r="D109" t="s">
        <v>113</v>
      </c>
      <c r="E109">
        <v>8</v>
      </c>
      <c r="H109">
        <v>206</v>
      </c>
      <c r="I109" t="s">
        <v>114</v>
      </c>
      <c r="J109" t="s">
        <v>115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"18:56:50.648"</f>
        <v>18:56:50.648</v>
      </c>
      <c r="T109" t="str">
        <f>"18:56:50.648"</f>
        <v>18:56:50.648</v>
      </c>
      <c r="U109" t="str">
        <f t="shared" si="4"/>
        <v>AB63B2</v>
      </c>
      <c r="V109">
        <v>0</v>
      </c>
      <c r="W109">
        <v>0</v>
      </c>
      <c r="X109">
        <v>6</v>
      </c>
      <c r="Z109">
        <v>0</v>
      </c>
      <c r="AA109">
        <v>9</v>
      </c>
      <c r="AB109">
        <v>3</v>
      </c>
      <c r="AC109">
        <v>0</v>
      </c>
      <c r="AD109">
        <v>10</v>
      </c>
      <c r="AE109">
        <v>0</v>
      </c>
      <c r="AF109">
        <v>0</v>
      </c>
      <c r="AG109">
        <v>2</v>
      </c>
      <c r="AH109">
        <v>0</v>
      </c>
      <c r="AI109" t="s">
        <v>122</v>
      </c>
      <c r="AJ109">
        <v>41.991506000000001</v>
      </c>
      <c r="AK109" t="s">
        <v>123</v>
      </c>
      <c r="AL109">
        <v>-87.891396999999998</v>
      </c>
      <c r="AS109">
        <v>1</v>
      </c>
      <c r="AT109" t="s">
        <v>118</v>
      </c>
      <c r="AU109" t="b">
        <v>1</v>
      </c>
      <c r="AV109">
        <v>357.19</v>
      </c>
      <c r="AW109">
        <v>0.125</v>
      </c>
      <c r="AX109">
        <v>1</v>
      </c>
      <c r="AZ109">
        <v>1200</v>
      </c>
      <c r="BA109">
        <v>1</v>
      </c>
      <c r="BB109" t="str">
        <f t="shared" si="5"/>
        <v xml:space="preserve">KAP400  </v>
      </c>
      <c r="BC109">
        <v>1</v>
      </c>
      <c r="BE109">
        <v>0</v>
      </c>
      <c r="BF109">
        <v>0</v>
      </c>
      <c r="BG109">
        <v>0</v>
      </c>
      <c r="BI109">
        <v>1</v>
      </c>
      <c r="BJ109">
        <v>1</v>
      </c>
      <c r="BK109">
        <v>1</v>
      </c>
      <c r="BL109">
        <v>0</v>
      </c>
      <c r="BO109">
        <v>0</v>
      </c>
      <c r="BP109">
        <v>0</v>
      </c>
      <c r="BW109" t="str">
        <f>"18:56:50.652"</f>
        <v>18:56:50.652</v>
      </c>
      <c r="BX109" t="s">
        <v>119</v>
      </c>
      <c r="BY109" t="s">
        <v>120</v>
      </c>
      <c r="CJ109">
        <v>0</v>
      </c>
      <c r="CK109">
        <v>0</v>
      </c>
      <c r="CL109">
        <v>0</v>
      </c>
      <c r="CM109">
        <v>2</v>
      </c>
      <c r="CN109">
        <v>0</v>
      </c>
      <c r="CO109">
        <v>7</v>
      </c>
      <c r="CP109" t="s">
        <v>121</v>
      </c>
      <c r="CQ109">
        <v>582</v>
      </c>
      <c r="CR109">
        <v>0</v>
      </c>
      <c r="CW109">
        <v>4711034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</row>
    <row r="110" spans="1:113" x14ac:dyDescent="0.3">
      <c r="A110" t="str">
        <f>"06/16/2022 18:56:55.764"</f>
        <v>06/16/2022 18:56:55.764</v>
      </c>
      <c r="C110" t="str">
        <f t="shared" si="3"/>
        <v>FFBF5BC0</v>
      </c>
      <c r="D110" t="s">
        <v>113</v>
      </c>
      <c r="E110">
        <v>8</v>
      </c>
      <c r="H110">
        <v>206</v>
      </c>
      <c r="I110" t="s">
        <v>114</v>
      </c>
      <c r="J110" t="s">
        <v>115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>"18:56:55.547"</f>
        <v>18:56:55.547</v>
      </c>
      <c r="T110" t="str">
        <f>"18:56:55.547"</f>
        <v>18:56:55.547</v>
      </c>
      <c r="U110" t="str">
        <f t="shared" si="4"/>
        <v>AB63B2</v>
      </c>
      <c r="V110">
        <v>0</v>
      </c>
      <c r="W110">
        <v>0</v>
      </c>
      <c r="X110">
        <v>6</v>
      </c>
      <c r="Z110">
        <v>0</v>
      </c>
      <c r="AA110">
        <v>9</v>
      </c>
      <c r="AB110">
        <v>3</v>
      </c>
      <c r="AC110">
        <v>0</v>
      </c>
      <c r="AD110">
        <v>10</v>
      </c>
      <c r="AE110">
        <v>0</v>
      </c>
      <c r="AF110">
        <v>0</v>
      </c>
      <c r="AG110">
        <v>2</v>
      </c>
      <c r="AH110">
        <v>0</v>
      </c>
      <c r="AI110" t="s">
        <v>122</v>
      </c>
      <c r="AJ110">
        <v>41.991506000000001</v>
      </c>
      <c r="AK110" t="s">
        <v>123</v>
      </c>
      <c r="AL110">
        <v>-87.891396999999998</v>
      </c>
      <c r="AS110">
        <v>1</v>
      </c>
      <c r="AT110" t="s">
        <v>118</v>
      </c>
      <c r="AU110" t="b">
        <v>1</v>
      </c>
      <c r="AV110">
        <v>357.19</v>
      </c>
      <c r="AW110">
        <v>0.125</v>
      </c>
      <c r="AX110">
        <v>1</v>
      </c>
      <c r="AZ110">
        <v>1200</v>
      </c>
      <c r="BA110">
        <v>1</v>
      </c>
      <c r="BB110" t="str">
        <f t="shared" si="5"/>
        <v xml:space="preserve">KAP400  </v>
      </c>
      <c r="BC110">
        <v>1</v>
      </c>
      <c r="BE110">
        <v>0</v>
      </c>
      <c r="BF110">
        <v>0</v>
      </c>
      <c r="BG110">
        <v>0</v>
      </c>
      <c r="BI110">
        <v>1</v>
      </c>
      <c r="BJ110">
        <v>1</v>
      </c>
      <c r="BK110">
        <v>1</v>
      </c>
      <c r="BL110">
        <v>0</v>
      </c>
      <c r="BO110">
        <v>0</v>
      </c>
      <c r="BP110">
        <v>0</v>
      </c>
      <c r="BW110" t="str">
        <f>"18:56:55.554"</f>
        <v>18:56:55.554</v>
      </c>
      <c r="BX110" t="s">
        <v>119</v>
      </c>
      <c r="BY110" t="s">
        <v>120</v>
      </c>
      <c r="CJ110">
        <v>0</v>
      </c>
      <c r="CK110">
        <v>0</v>
      </c>
      <c r="CL110">
        <v>0</v>
      </c>
      <c r="CM110">
        <v>2</v>
      </c>
      <c r="CN110">
        <v>0</v>
      </c>
      <c r="CO110">
        <v>7</v>
      </c>
      <c r="CP110" t="s">
        <v>121</v>
      </c>
      <c r="CQ110">
        <v>581</v>
      </c>
      <c r="CR110">
        <v>0</v>
      </c>
      <c r="CW110">
        <v>13687881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</row>
    <row r="111" spans="1:113" x14ac:dyDescent="0.3">
      <c r="A111" t="str">
        <f>"06/16/2022 18:57:00.936"</f>
        <v>06/16/2022 18:57:00.936</v>
      </c>
      <c r="C111" t="str">
        <f t="shared" si="3"/>
        <v>FFBF5BC0</v>
      </c>
      <c r="D111" t="s">
        <v>113</v>
      </c>
      <c r="E111">
        <v>8</v>
      </c>
      <c r="H111">
        <v>206</v>
      </c>
      <c r="I111" t="s">
        <v>114</v>
      </c>
      <c r="J111" t="s">
        <v>115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>"18:57:00.672"</f>
        <v>18:57:00.672</v>
      </c>
      <c r="T111" t="str">
        <f>"18:57:00.672"</f>
        <v>18:57:00.672</v>
      </c>
      <c r="U111" t="str">
        <f t="shared" si="4"/>
        <v>AB63B2</v>
      </c>
      <c r="V111">
        <v>0</v>
      </c>
      <c r="W111">
        <v>0</v>
      </c>
      <c r="X111">
        <v>6</v>
      </c>
      <c r="Z111">
        <v>0</v>
      </c>
      <c r="AA111">
        <v>9</v>
      </c>
      <c r="AB111">
        <v>3</v>
      </c>
      <c r="AC111">
        <v>0</v>
      </c>
      <c r="AD111">
        <v>10</v>
      </c>
      <c r="AE111">
        <v>0</v>
      </c>
      <c r="AF111">
        <v>0</v>
      </c>
      <c r="AG111">
        <v>2</v>
      </c>
      <c r="AH111">
        <v>0</v>
      </c>
      <c r="AI111" t="s">
        <v>122</v>
      </c>
      <c r="AJ111">
        <v>41.991506000000001</v>
      </c>
      <c r="AK111" t="s">
        <v>123</v>
      </c>
      <c r="AL111">
        <v>-87.891396999999998</v>
      </c>
      <c r="AS111">
        <v>1</v>
      </c>
      <c r="AT111" t="s">
        <v>118</v>
      </c>
      <c r="AU111" t="b">
        <v>1</v>
      </c>
      <c r="AV111">
        <v>357.19</v>
      </c>
      <c r="AW111">
        <v>0.125</v>
      </c>
      <c r="AX111">
        <v>1</v>
      </c>
      <c r="AZ111">
        <v>1200</v>
      </c>
      <c r="BA111">
        <v>1</v>
      </c>
      <c r="BB111" t="str">
        <f t="shared" si="5"/>
        <v xml:space="preserve">KAP400  </v>
      </c>
      <c r="BC111">
        <v>1</v>
      </c>
      <c r="BE111">
        <v>0</v>
      </c>
      <c r="BF111">
        <v>0</v>
      </c>
      <c r="BG111">
        <v>0</v>
      </c>
      <c r="BI111">
        <v>1</v>
      </c>
      <c r="BJ111">
        <v>1</v>
      </c>
      <c r="BK111">
        <v>1</v>
      </c>
      <c r="BL111">
        <v>0</v>
      </c>
      <c r="BO111">
        <v>0</v>
      </c>
      <c r="BP111">
        <v>0</v>
      </c>
      <c r="BW111" t="str">
        <f>"18:57:00.674"</f>
        <v>18:57:00.674</v>
      </c>
      <c r="BX111" t="s">
        <v>119</v>
      </c>
      <c r="BY111" t="s">
        <v>120</v>
      </c>
      <c r="CJ111">
        <v>0</v>
      </c>
      <c r="CK111">
        <v>0</v>
      </c>
      <c r="CL111">
        <v>0</v>
      </c>
      <c r="CM111">
        <v>2</v>
      </c>
      <c r="CN111">
        <v>0</v>
      </c>
      <c r="CO111">
        <v>7</v>
      </c>
      <c r="CP111" t="s">
        <v>121</v>
      </c>
      <c r="CQ111">
        <v>582</v>
      </c>
      <c r="CR111">
        <v>0</v>
      </c>
      <c r="CW111">
        <v>4727676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</row>
    <row r="112" spans="1:113" x14ac:dyDescent="0.3">
      <c r="A112" t="str">
        <f>"06/16/2022 18:57:05.999"</f>
        <v>06/16/2022 18:57:05.999</v>
      </c>
      <c r="C112" t="str">
        <f t="shared" si="3"/>
        <v>FFBF5BC0</v>
      </c>
      <c r="D112" t="s">
        <v>113</v>
      </c>
      <c r="E112">
        <v>8</v>
      </c>
      <c r="H112">
        <v>206</v>
      </c>
      <c r="I112" t="s">
        <v>114</v>
      </c>
      <c r="J112" t="s">
        <v>115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>"18:57:05.820"</f>
        <v>18:57:05.820</v>
      </c>
      <c r="T112" t="str">
        <f>"18:57:05.820"</f>
        <v>18:57:05.820</v>
      </c>
      <c r="U112" t="str">
        <f t="shared" si="4"/>
        <v>AB63B2</v>
      </c>
      <c r="V112">
        <v>0</v>
      </c>
      <c r="W112">
        <v>0</v>
      </c>
      <c r="X112">
        <v>6</v>
      </c>
      <c r="Z112">
        <v>0</v>
      </c>
      <c r="AA112">
        <v>9</v>
      </c>
      <c r="AB112">
        <v>3</v>
      </c>
      <c r="AC112">
        <v>0</v>
      </c>
      <c r="AD112">
        <v>10</v>
      </c>
      <c r="AE112">
        <v>0</v>
      </c>
      <c r="AF112">
        <v>0</v>
      </c>
      <c r="AG112">
        <v>2</v>
      </c>
      <c r="AH112">
        <v>0</v>
      </c>
      <c r="AI112" t="s">
        <v>122</v>
      </c>
      <c r="AJ112">
        <v>41.991506000000001</v>
      </c>
      <c r="AK112" t="s">
        <v>123</v>
      </c>
      <c r="AL112">
        <v>-87.891396999999998</v>
      </c>
      <c r="AS112">
        <v>1</v>
      </c>
      <c r="AT112" t="s">
        <v>118</v>
      </c>
      <c r="AU112" t="b">
        <v>1</v>
      </c>
      <c r="AV112">
        <v>357.19</v>
      </c>
      <c r="AW112">
        <v>0.125</v>
      </c>
      <c r="AX112">
        <v>1</v>
      </c>
      <c r="AZ112">
        <v>1200</v>
      </c>
      <c r="BA112">
        <v>1</v>
      </c>
      <c r="BB112" t="str">
        <f t="shared" si="5"/>
        <v xml:space="preserve">KAP400  </v>
      </c>
      <c r="BC112">
        <v>1</v>
      </c>
      <c r="BE112">
        <v>0</v>
      </c>
      <c r="BF112">
        <v>0</v>
      </c>
      <c r="BG112">
        <v>0</v>
      </c>
      <c r="BI112">
        <v>1</v>
      </c>
      <c r="BJ112">
        <v>1</v>
      </c>
      <c r="BK112">
        <v>1</v>
      </c>
      <c r="BL112">
        <v>0</v>
      </c>
      <c r="BO112">
        <v>0</v>
      </c>
      <c r="BP112">
        <v>0</v>
      </c>
      <c r="BW112" t="str">
        <f>"18:57:05.822"</f>
        <v>18:57:05.822</v>
      </c>
      <c r="BX112" t="s">
        <v>119</v>
      </c>
      <c r="BY112" t="s">
        <v>120</v>
      </c>
      <c r="CJ112">
        <v>0</v>
      </c>
      <c r="CK112">
        <v>0</v>
      </c>
      <c r="CL112">
        <v>0</v>
      </c>
      <c r="CM112">
        <v>2</v>
      </c>
      <c r="CN112">
        <v>0</v>
      </c>
      <c r="CO112">
        <v>7</v>
      </c>
      <c r="CP112" t="s">
        <v>121</v>
      </c>
      <c r="CQ112">
        <v>581</v>
      </c>
      <c r="CR112">
        <v>0</v>
      </c>
      <c r="CW112">
        <v>13706353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</row>
    <row r="113" spans="1:113" x14ac:dyDescent="0.3">
      <c r="A113" t="str">
        <f>"06/16/2022 18:57:11.217"</f>
        <v>06/16/2022 18:57:11.217</v>
      </c>
      <c r="C113" t="str">
        <f t="shared" si="3"/>
        <v>FFBF5BC0</v>
      </c>
      <c r="D113" t="s">
        <v>113</v>
      </c>
      <c r="E113">
        <v>8</v>
      </c>
      <c r="H113">
        <v>206</v>
      </c>
      <c r="I113" t="s">
        <v>114</v>
      </c>
      <c r="J113" t="s">
        <v>115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>"18:57:10.953"</f>
        <v>18:57:10.953</v>
      </c>
      <c r="T113" t="str">
        <f>"18:57:10.953"</f>
        <v>18:57:10.953</v>
      </c>
      <c r="U113" t="str">
        <f t="shared" si="4"/>
        <v>AB63B2</v>
      </c>
      <c r="V113">
        <v>0</v>
      </c>
      <c r="W113">
        <v>0</v>
      </c>
      <c r="X113">
        <v>6</v>
      </c>
      <c r="Z113">
        <v>0</v>
      </c>
      <c r="AA113">
        <v>9</v>
      </c>
      <c r="AB113">
        <v>3</v>
      </c>
      <c r="AC113">
        <v>0</v>
      </c>
      <c r="AD113">
        <v>10</v>
      </c>
      <c r="AE113">
        <v>0</v>
      </c>
      <c r="AF113">
        <v>0</v>
      </c>
      <c r="AG113">
        <v>2</v>
      </c>
      <c r="AH113">
        <v>0</v>
      </c>
      <c r="AI113" t="s">
        <v>122</v>
      </c>
      <c r="AJ113">
        <v>41.991506000000001</v>
      </c>
      <c r="AK113" t="s">
        <v>123</v>
      </c>
      <c r="AL113">
        <v>-87.891396999999998</v>
      </c>
      <c r="AS113">
        <v>1</v>
      </c>
      <c r="AT113" t="s">
        <v>118</v>
      </c>
      <c r="AU113" t="b">
        <v>1</v>
      </c>
      <c r="AV113">
        <v>357.19</v>
      </c>
      <c r="AW113">
        <v>0.125</v>
      </c>
      <c r="AX113">
        <v>1</v>
      </c>
      <c r="AZ113">
        <v>1200</v>
      </c>
      <c r="BA113">
        <v>1</v>
      </c>
      <c r="BB113" t="str">
        <f t="shared" si="5"/>
        <v xml:space="preserve">KAP400  </v>
      </c>
      <c r="BC113">
        <v>1</v>
      </c>
      <c r="BE113">
        <v>0</v>
      </c>
      <c r="BF113">
        <v>0</v>
      </c>
      <c r="BG113">
        <v>0</v>
      </c>
      <c r="BI113">
        <v>1</v>
      </c>
      <c r="BJ113">
        <v>1</v>
      </c>
      <c r="BK113">
        <v>1</v>
      </c>
      <c r="BL113">
        <v>0</v>
      </c>
      <c r="BO113">
        <v>0</v>
      </c>
      <c r="BP113">
        <v>0</v>
      </c>
      <c r="BW113" t="str">
        <f>"18:57:10.955"</f>
        <v>18:57:10.955</v>
      </c>
      <c r="BX113" t="s">
        <v>119</v>
      </c>
      <c r="BY113" t="s">
        <v>120</v>
      </c>
      <c r="CJ113">
        <v>0</v>
      </c>
      <c r="CK113">
        <v>0</v>
      </c>
      <c r="CL113">
        <v>0</v>
      </c>
      <c r="CM113">
        <v>2</v>
      </c>
      <c r="CN113">
        <v>0</v>
      </c>
      <c r="CO113">
        <v>7</v>
      </c>
      <c r="CP113" t="s">
        <v>121</v>
      </c>
      <c r="CQ113">
        <v>582</v>
      </c>
      <c r="CR113">
        <v>0</v>
      </c>
      <c r="CW113">
        <v>4744463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</row>
    <row r="114" spans="1:113" x14ac:dyDescent="0.3">
      <c r="A114" t="str">
        <f>"06/16/2022 18:57:16.283"</f>
        <v>06/16/2022 18:57:16.283</v>
      </c>
      <c r="C114" t="str">
        <f t="shared" si="3"/>
        <v>FFBF5BC0</v>
      </c>
      <c r="D114" t="s">
        <v>113</v>
      </c>
      <c r="E114">
        <v>8</v>
      </c>
      <c r="H114">
        <v>206</v>
      </c>
      <c r="I114" t="s">
        <v>114</v>
      </c>
      <c r="J114" t="s">
        <v>115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>"18:57:16.047"</f>
        <v>18:57:16.047</v>
      </c>
      <c r="T114" t="str">
        <f>"18:57:16.047"</f>
        <v>18:57:16.047</v>
      </c>
      <c r="U114" t="str">
        <f t="shared" si="4"/>
        <v>AB63B2</v>
      </c>
      <c r="V114">
        <v>0</v>
      </c>
      <c r="W114">
        <v>0</v>
      </c>
      <c r="X114">
        <v>6</v>
      </c>
      <c r="Z114">
        <v>0</v>
      </c>
      <c r="AA114">
        <v>9</v>
      </c>
      <c r="AB114">
        <v>3</v>
      </c>
      <c r="AC114">
        <v>0</v>
      </c>
      <c r="AD114">
        <v>10</v>
      </c>
      <c r="AE114">
        <v>0</v>
      </c>
      <c r="AF114">
        <v>0</v>
      </c>
      <c r="AG114">
        <v>2</v>
      </c>
      <c r="AH114">
        <v>0</v>
      </c>
      <c r="AI114" t="s">
        <v>122</v>
      </c>
      <c r="AJ114">
        <v>41.991506000000001</v>
      </c>
      <c r="AK114" t="s">
        <v>123</v>
      </c>
      <c r="AL114">
        <v>-87.891396999999998</v>
      </c>
      <c r="AS114">
        <v>1</v>
      </c>
      <c r="AT114" t="s">
        <v>118</v>
      </c>
      <c r="AU114" t="b">
        <v>1</v>
      </c>
      <c r="AV114">
        <v>357.19</v>
      </c>
      <c r="AW114">
        <v>0.125</v>
      </c>
      <c r="AX114">
        <v>1</v>
      </c>
      <c r="AZ114">
        <v>1200</v>
      </c>
      <c r="BA114">
        <v>1</v>
      </c>
      <c r="BB114" t="str">
        <f t="shared" si="5"/>
        <v xml:space="preserve">KAP400  </v>
      </c>
      <c r="BC114">
        <v>1</v>
      </c>
      <c r="BE114">
        <v>0</v>
      </c>
      <c r="BF114">
        <v>0</v>
      </c>
      <c r="BG114">
        <v>0</v>
      </c>
      <c r="BI114">
        <v>1</v>
      </c>
      <c r="BJ114">
        <v>1</v>
      </c>
      <c r="BK114">
        <v>1</v>
      </c>
      <c r="BL114">
        <v>0</v>
      </c>
      <c r="BO114">
        <v>0</v>
      </c>
      <c r="BP114">
        <v>0</v>
      </c>
      <c r="BW114" t="str">
        <f>"18:57:16.054"</f>
        <v>18:57:16.054</v>
      </c>
      <c r="BX114" t="s">
        <v>119</v>
      </c>
      <c r="BY114" t="s">
        <v>120</v>
      </c>
      <c r="CJ114">
        <v>0</v>
      </c>
      <c r="CK114">
        <v>0</v>
      </c>
      <c r="CL114">
        <v>0</v>
      </c>
      <c r="CM114">
        <v>2</v>
      </c>
      <c r="CN114">
        <v>0</v>
      </c>
      <c r="CO114">
        <v>7</v>
      </c>
      <c r="CP114" t="s">
        <v>121</v>
      </c>
      <c r="CQ114">
        <v>581</v>
      </c>
      <c r="CR114">
        <v>0</v>
      </c>
      <c r="CW114">
        <v>13724958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</row>
    <row r="115" spans="1:113" x14ac:dyDescent="0.3">
      <c r="A115" t="str">
        <f>"06/16/2022 18:57:26.312"</f>
        <v>06/16/2022 18:57:26.312</v>
      </c>
      <c r="C115" t="str">
        <f t="shared" si="3"/>
        <v>FFBF5BC0</v>
      </c>
      <c r="D115" t="s">
        <v>113</v>
      </c>
      <c r="E115">
        <v>8</v>
      </c>
      <c r="H115">
        <v>206</v>
      </c>
      <c r="I115" t="s">
        <v>114</v>
      </c>
      <c r="J115" t="s">
        <v>115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>"18:57:26.117"</f>
        <v>18:57:26.117</v>
      </c>
      <c r="T115" t="str">
        <f>"18:57:26.117"</f>
        <v>18:57:26.117</v>
      </c>
      <c r="U115" t="str">
        <f t="shared" si="4"/>
        <v>AB63B2</v>
      </c>
      <c r="V115">
        <v>0</v>
      </c>
      <c r="W115">
        <v>0</v>
      </c>
      <c r="X115">
        <v>6</v>
      </c>
      <c r="Z115">
        <v>0</v>
      </c>
      <c r="AA115">
        <v>9</v>
      </c>
      <c r="AB115">
        <v>3</v>
      </c>
      <c r="AC115">
        <v>0</v>
      </c>
      <c r="AD115">
        <v>10</v>
      </c>
      <c r="AE115">
        <v>0</v>
      </c>
      <c r="AF115">
        <v>0</v>
      </c>
      <c r="AG115">
        <v>2</v>
      </c>
      <c r="AH115">
        <v>0</v>
      </c>
      <c r="AI115" t="s">
        <v>122</v>
      </c>
      <c r="AJ115">
        <v>41.991506000000001</v>
      </c>
      <c r="AK115" t="s">
        <v>123</v>
      </c>
      <c r="AL115">
        <v>-87.891396999999998</v>
      </c>
      <c r="AS115">
        <v>1</v>
      </c>
      <c r="AT115" t="s">
        <v>118</v>
      </c>
      <c r="AU115" t="b">
        <v>1</v>
      </c>
      <c r="AV115">
        <v>357.19</v>
      </c>
      <c r="AW115">
        <v>0.125</v>
      </c>
      <c r="AX115">
        <v>1</v>
      </c>
      <c r="AZ115">
        <v>1200</v>
      </c>
      <c r="BA115">
        <v>1</v>
      </c>
      <c r="BB115" t="str">
        <f t="shared" si="5"/>
        <v xml:space="preserve">KAP400  </v>
      </c>
      <c r="BC115">
        <v>1</v>
      </c>
      <c r="BE115">
        <v>0</v>
      </c>
      <c r="BF115">
        <v>0</v>
      </c>
      <c r="BG115">
        <v>0</v>
      </c>
      <c r="BI115">
        <v>1</v>
      </c>
      <c r="BJ115">
        <v>1</v>
      </c>
      <c r="BK115">
        <v>1</v>
      </c>
      <c r="BL115">
        <v>0</v>
      </c>
      <c r="BO115">
        <v>0</v>
      </c>
      <c r="BP115">
        <v>0</v>
      </c>
      <c r="BW115" t="str">
        <f>"18:57:26.119"</f>
        <v>18:57:26.119</v>
      </c>
      <c r="BX115" t="s">
        <v>119</v>
      </c>
      <c r="BY115" t="s">
        <v>120</v>
      </c>
      <c r="CJ115">
        <v>0</v>
      </c>
      <c r="CK115">
        <v>0</v>
      </c>
      <c r="CL115">
        <v>0</v>
      </c>
      <c r="CM115">
        <v>2</v>
      </c>
      <c r="CN115">
        <v>0</v>
      </c>
      <c r="CO115">
        <v>7</v>
      </c>
      <c r="CP115" t="s">
        <v>121</v>
      </c>
      <c r="CQ115">
        <v>582</v>
      </c>
      <c r="CR115">
        <v>0</v>
      </c>
      <c r="CW115">
        <v>4768615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</row>
    <row r="116" spans="1:113" x14ac:dyDescent="0.3">
      <c r="A116" t="str">
        <f>"06/16/2022 18:57:31.265"</f>
        <v>06/16/2022 18:57:31.265</v>
      </c>
      <c r="C116" t="str">
        <f t="shared" si="3"/>
        <v>FFBF5BC0</v>
      </c>
      <c r="D116" t="s">
        <v>113</v>
      </c>
      <c r="E116">
        <v>8</v>
      </c>
      <c r="H116">
        <v>206</v>
      </c>
      <c r="I116" t="s">
        <v>114</v>
      </c>
      <c r="J116" t="s">
        <v>115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>"18:57:31.000"</f>
        <v>18:57:31.000</v>
      </c>
      <c r="T116" t="str">
        <f>"18:57:31.000"</f>
        <v>18:57:31.000</v>
      </c>
      <c r="U116" t="str">
        <f t="shared" si="4"/>
        <v>AB63B2</v>
      </c>
      <c r="V116">
        <v>0</v>
      </c>
      <c r="W116">
        <v>0</v>
      </c>
      <c r="X116">
        <v>6</v>
      </c>
      <c r="Z116">
        <v>0</v>
      </c>
      <c r="AA116">
        <v>9</v>
      </c>
      <c r="AB116">
        <v>3</v>
      </c>
      <c r="AC116">
        <v>0</v>
      </c>
      <c r="AD116">
        <v>10</v>
      </c>
      <c r="AE116">
        <v>0</v>
      </c>
      <c r="AF116">
        <v>0</v>
      </c>
      <c r="AG116">
        <v>2</v>
      </c>
      <c r="AH116">
        <v>0</v>
      </c>
      <c r="AI116" t="s">
        <v>122</v>
      </c>
      <c r="AJ116">
        <v>41.991506000000001</v>
      </c>
      <c r="AK116" t="s">
        <v>123</v>
      </c>
      <c r="AL116">
        <v>-87.891396999999998</v>
      </c>
      <c r="AS116">
        <v>1</v>
      </c>
      <c r="AT116" t="s">
        <v>118</v>
      </c>
      <c r="AU116" t="b">
        <v>1</v>
      </c>
      <c r="AV116">
        <v>357.19</v>
      </c>
      <c r="AW116">
        <v>0.125</v>
      </c>
      <c r="AX116">
        <v>1</v>
      </c>
      <c r="AZ116">
        <v>7205</v>
      </c>
      <c r="BA116">
        <v>1</v>
      </c>
      <c r="BB116" t="str">
        <f t="shared" si="5"/>
        <v xml:space="preserve">KAP400  </v>
      </c>
      <c r="BC116">
        <v>1</v>
      </c>
      <c r="BE116">
        <v>0</v>
      </c>
      <c r="BF116">
        <v>0</v>
      </c>
      <c r="BG116">
        <v>0</v>
      </c>
      <c r="BI116">
        <v>1</v>
      </c>
      <c r="BJ116">
        <v>1</v>
      </c>
      <c r="BK116">
        <v>1</v>
      </c>
      <c r="BL116">
        <v>0</v>
      </c>
      <c r="BO116">
        <v>0</v>
      </c>
      <c r="BP116">
        <v>0</v>
      </c>
      <c r="BW116" t="str">
        <f>"18:57:31.007"</f>
        <v>18:57:31.007</v>
      </c>
      <c r="BX116" t="s">
        <v>119</v>
      </c>
      <c r="BY116" t="s">
        <v>120</v>
      </c>
      <c r="CJ116">
        <v>0</v>
      </c>
      <c r="CK116">
        <v>0</v>
      </c>
      <c r="CL116">
        <v>0</v>
      </c>
      <c r="CM116">
        <v>2</v>
      </c>
      <c r="CN116">
        <v>0</v>
      </c>
      <c r="CO116">
        <v>7</v>
      </c>
      <c r="CP116" t="s">
        <v>121</v>
      </c>
      <c r="CQ116">
        <v>581</v>
      </c>
      <c r="CR116">
        <v>0</v>
      </c>
      <c r="CW116">
        <v>13750870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</row>
    <row r="117" spans="1:113" x14ac:dyDescent="0.3">
      <c r="A117" t="str">
        <f>"06/16/2022 18:57:36.249"</f>
        <v>06/16/2022 18:57:36.249</v>
      </c>
      <c r="C117" t="str">
        <f t="shared" si="3"/>
        <v>FFBF5BC0</v>
      </c>
      <c r="D117" t="s">
        <v>113</v>
      </c>
      <c r="E117">
        <v>8</v>
      </c>
      <c r="H117">
        <v>206</v>
      </c>
      <c r="I117" t="s">
        <v>114</v>
      </c>
      <c r="J117" t="s">
        <v>115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>"18:57:35.969"</f>
        <v>18:57:35.969</v>
      </c>
      <c r="T117" t="str">
        <f>"18:57:35.969"</f>
        <v>18:57:35.969</v>
      </c>
      <c r="U117" t="str">
        <f t="shared" si="4"/>
        <v>AB63B2</v>
      </c>
      <c r="V117">
        <v>0</v>
      </c>
      <c r="W117">
        <v>0</v>
      </c>
      <c r="X117">
        <v>6</v>
      </c>
      <c r="Z117">
        <v>0</v>
      </c>
      <c r="AA117">
        <v>9</v>
      </c>
      <c r="AB117">
        <v>3</v>
      </c>
      <c r="AC117">
        <v>0</v>
      </c>
      <c r="AD117">
        <v>10</v>
      </c>
      <c r="AE117">
        <v>0</v>
      </c>
      <c r="AF117">
        <v>0</v>
      </c>
      <c r="AG117">
        <v>2</v>
      </c>
      <c r="AH117">
        <v>0</v>
      </c>
      <c r="AI117" t="s">
        <v>116</v>
      </c>
      <c r="AJ117">
        <v>41.991484</v>
      </c>
      <c r="AK117" t="s">
        <v>123</v>
      </c>
      <c r="AL117">
        <v>-87.891396999999998</v>
      </c>
      <c r="AS117">
        <v>1</v>
      </c>
      <c r="AT117" t="s">
        <v>118</v>
      </c>
      <c r="AU117" t="b">
        <v>1</v>
      </c>
      <c r="AV117">
        <v>357.19</v>
      </c>
      <c r="AW117">
        <v>0.125</v>
      </c>
      <c r="AX117">
        <v>1</v>
      </c>
      <c r="AZ117">
        <v>7205</v>
      </c>
      <c r="BA117">
        <v>1</v>
      </c>
      <c r="BB117" t="str">
        <f t="shared" si="5"/>
        <v xml:space="preserve">KAP400  </v>
      </c>
      <c r="BC117">
        <v>1</v>
      </c>
      <c r="BE117">
        <v>0</v>
      </c>
      <c r="BF117">
        <v>0</v>
      </c>
      <c r="BG117">
        <v>0</v>
      </c>
      <c r="BI117">
        <v>1</v>
      </c>
      <c r="BJ117">
        <v>1</v>
      </c>
      <c r="BK117">
        <v>1</v>
      </c>
      <c r="BL117">
        <v>0</v>
      </c>
      <c r="BO117">
        <v>0</v>
      </c>
      <c r="BP117">
        <v>0</v>
      </c>
      <c r="BW117" t="str">
        <f>"18:57:35.973"</f>
        <v>18:57:35.973</v>
      </c>
      <c r="BX117" t="s">
        <v>119</v>
      </c>
      <c r="BY117" t="s">
        <v>120</v>
      </c>
      <c r="CJ117">
        <v>0</v>
      </c>
      <c r="CK117">
        <v>0</v>
      </c>
      <c r="CL117">
        <v>0</v>
      </c>
      <c r="CM117">
        <v>2</v>
      </c>
      <c r="CN117">
        <v>0</v>
      </c>
      <c r="CO117">
        <v>7</v>
      </c>
      <c r="CP117" t="s">
        <v>121</v>
      </c>
      <c r="CQ117">
        <v>582</v>
      </c>
      <c r="CR117">
        <v>0</v>
      </c>
      <c r="CW117">
        <v>4784551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</row>
    <row r="118" spans="1:113" x14ac:dyDescent="0.3">
      <c r="A118" t="str">
        <f>"06/16/2022 18:57:41.264"</f>
        <v>06/16/2022 18:57:41.264</v>
      </c>
      <c r="C118" t="str">
        <f t="shared" si="3"/>
        <v>FFBF5BC0</v>
      </c>
      <c r="D118" t="s">
        <v>113</v>
      </c>
      <c r="E118">
        <v>8</v>
      </c>
      <c r="H118">
        <v>206</v>
      </c>
      <c r="I118" t="s">
        <v>114</v>
      </c>
      <c r="J118" t="s">
        <v>115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>"18:57:40.961"</f>
        <v>18:57:40.961</v>
      </c>
      <c r="T118" t="str">
        <f>"18:57:40.961"</f>
        <v>18:57:40.961</v>
      </c>
      <c r="U118" t="str">
        <f t="shared" si="4"/>
        <v>AB63B2</v>
      </c>
      <c r="V118">
        <v>0</v>
      </c>
      <c r="W118">
        <v>0</v>
      </c>
      <c r="X118">
        <v>6</v>
      </c>
      <c r="Z118">
        <v>0</v>
      </c>
      <c r="AA118">
        <v>9</v>
      </c>
      <c r="AB118">
        <v>3</v>
      </c>
      <c r="AC118">
        <v>0</v>
      </c>
      <c r="AD118">
        <v>10</v>
      </c>
      <c r="AE118">
        <v>0</v>
      </c>
      <c r="AF118">
        <v>0</v>
      </c>
      <c r="AG118">
        <v>2</v>
      </c>
      <c r="AH118">
        <v>0</v>
      </c>
      <c r="AI118" t="s">
        <v>122</v>
      </c>
      <c r="AJ118">
        <v>41.991506000000001</v>
      </c>
      <c r="AK118" t="s">
        <v>123</v>
      </c>
      <c r="AL118">
        <v>-87.891396999999998</v>
      </c>
      <c r="AS118">
        <v>1</v>
      </c>
      <c r="AT118" t="s">
        <v>118</v>
      </c>
      <c r="AU118" t="b">
        <v>1</v>
      </c>
      <c r="AV118">
        <v>357.19</v>
      </c>
      <c r="AW118">
        <v>0.125</v>
      </c>
      <c r="AX118">
        <v>1</v>
      </c>
      <c r="AZ118">
        <v>7205</v>
      </c>
      <c r="BA118">
        <v>1</v>
      </c>
      <c r="BB118" t="str">
        <f t="shared" si="5"/>
        <v xml:space="preserve">KAP400  </v>
      </c>
      <c r="BC118">
        <v>1</v>
      </c>
      <c r="BE118">
        <v>0</v>
      </c>
      <c r="BF118">
        <v>0</v>
      </c>
      <c r="BG118">
        <v>0</v>
      </c>
      <c r="BI118">
        <v>1</v>
      </c>
      <c r="BJ118">
        <v>1</v>
      </c>
      <c r="BK118">
        <v>1</v>
      </c>
      <c r="BL118">
        <v>0</v>
      </c>
      <c r="BO118">
        <v>0</v>
      </c>
      <c r="BP118">
        <v>0</v>
      </c>
      <c r="BW118" t="str">
        <f>"18:57:40.968"</f>
        <v>18:57:40.968</v>
      </c>
      <c r="BX118" t="s">
        <v>119</v>
      </c>
      <c r="BY118" t="s">
        <v>120</v>
      </c>
      <c r="CJ118">
        <v>0</v>
      </c>
      <c r="CK118">
        <v>0</v>
      </c>
      <c r="CL118">
        <v>0</v>
      </c>
      <c r="CM118">
        <v>2</v>
      </c>
      <c r="CN118">
        <v>0</v>
      </c>
      <c r="CO118">
        <v>7</v>
      </c>
      <c r="CP118" t="s">
        <v>121</v>
      </c>
      <c r="CQ118">
        <v>582</v>
      </c>
      <c r="CR118">
        <v>0</v>
      </c>
      <c r="CW118">
        <v>4792442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</row>
    <row r="119" spans="1:113" x14ac:dyDescent="0.3">
      <c r="A119" t="str">
        <f>"06/16/2022 18:57:46.093"</f>
        <v>06/16/2022 18:57:46.093</v>
      </c>
      <c r="C119" t="str">
        <f t="shared" si="3"/>
        <v>FFBF5BC0</v>
      </c>
      <c r="D119" t="s">
        <v>113</v>
      </c>
      <c r="E119">
        <v>8</v>
      </c>
      <c r="H119">
        <v>206</v>
      </c>
      <c r="I119" t="s">
        <v>114</v>
      </c>
      <c r="J119" t="s">
        <v>115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>"18:57:45.875"</f>
        <v>18:57:45.875</v>
      </c>
      <c r="T119" t="str">
        <f>"18:57:45.875"</f>
        <v>18:57:45.875</v>
      </c>
      <c r="U119" t="str">
        <f t="shared" si="4"/>
        <v>AB63B2</v>
      </c>
      <c r="V119">
        <v>0</v>
      </c>
      <c r="W119">
        <v>0</v>
      </c>
      <c r="X119">
        <v>6</v>
      </c>
      <c r="Z119">
        <v>0</v>
      </c>
      <c r="AA119">
        <v>9</v>
      </c>
      <c r="AB119">
        <v>3</v>
      </c>
      <c r="AC119">
        <v>0</v>
      </c>
      <c r="AD119">
        <v>10</v>
      </c>
      <c r="AE119">
        <v>0</v>
      </c>
      <c r="AF119">
        <v>0</v>
      </c>
      <c r="AG119">
        <v>2</v>
      </c>
      <c r="AH119">
        <v>0</v>
      </c>
      <c r="AI119" t="s">
        <v>122</v>
      </c>
      <c r="AJ119">
        <v>41.991506000000001</v>
      </c>
      <c r="AK119" t="s">
        <v>123</v>
      </c>
      <c r="AL119">
        <v>-87.891396999999998</v>
      </c>
      <c r="AS119">
        <v>1</v>
      </c>
      <c r="AT119" t="s">
        <v>118</v>
      </c>
      <c r="AU119" t="b">
        <v>1</v>
      </c>
      <c r="AV119">
        <v>357.19</v>
      </c>
      <c r="AW119">
        <v>0.125</v>
      </c>
      <c r="AX119">
        <v>1</v>
      </c>
      <c r="AZ119">
        <v>7205</v>
      </c>
      <c r="BA119">
        <v>1</v>
      </c>
      <c r="BB119" t="str">
        <f t="shared" si="5"/>
        <v xml:space="preserve">KAP400  </v>
      </c>
      <c r="BC119">
        <v>1</v>
      </c>
      <c r="BE119">
        <v>0</v>
      </c>
      <c r="BF119">
        <v>0</v>
      </c>
      <c r="BG119">
        <v>0</v>
      </c>
      <c r="BI119">
        <v>1</v>
      </c>
      <c r="BJ119">
        <v>1</v>
      </c>
      <c r="BK119">
        <v>1</v>
      </c>
      <c r="BL119">
        <v>0</v>
      </c>
      <c r="BO119">
        <v>0</v>
      </c>
      <c r="BP119">
        <v>0</v>
      </c>
      <c r="BW119" t="str">
        <f>"18:57:45.880"</f>
        <v>18:57:45.880</v>
      </c>
      <c r="BX119" t="s">
        <v>119</v>
      </c>
      <c r="BY119" t="s">
        <v>120</v>
      </c>
      <c r="CJ119">
        <v>0</v>
      </c>
      <c r="CK119">
        <v>0</v>
      </c>
      <c r="CL119">
        <v>0</v>
      </c>
      <c r="CM119">
        <v>2</v>
      </c>
      <c r="CN119">
        <v>0</v>
      </c>
      <c r="CO119">
        <v>7</v>
      </c>
      <c r="CP119" t="s">
        <v>121</v>
      </c>
      <c r="CQ119">
        <v>581</v>
      </c>
      <c r="CR119">
        <v>0</v>
      </c>
      <c r="CW119">
        <v>13776768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</row>
    <row r="120" spans="1:113" x14ac:dyDescent="0.3">
      <c r="A120" t="str">
        <f>"06/16/2022 18:57:51.018"</f>
        <v>06/16/2022 18:57:51.018</v>
      </c>
      <c r="C120" t="str">
        <f t="shared" si="3"/>
        <v>FFBF5BC0</v>
      </c>
      <c r="D120" t="s">
        <v>113</v>
      </c>
      <c r="E120">
        <v>8</v>
      </c>
      <c r="H120">
        <v>206</v>
      </c>
      <c r="I120" t="s">
        <v>114</v>
      </c>
      <c r="J120" t="s">
        <v>115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>"18:57:50.727"</f>
        <v>18:57:50.727</v>
      </c>
      <c r="T120" t="str">
        <f>"18:57:50.727"</f>
        <v>18:57:50.727</v>
      </c>
      <c r="U120" t="str">
        <f t="shared" si="4"/>
        <v>AB63B2</v>
      </c>
      <c r="V120">
        <v>0</v>
      </c>
      <c r="W120">
        <v>0</v>
      </c>
      <c r="X120">
        <v>6</v>
      </c>
      <c r="Z120">
        <v>0</v>
      </c>
      <c r="AA120">
        <v>9</v>
      </c>
      <c r="AB120">
        <v>3</v>
      </c>
      <c r="AC120">
        <v>0</v>
      </c>
      <c r="AD120">
        <v>10</v>
      </c>
      <c r="AE120">
        <v>0</v>
      </c>
      <c r="AF120">
        <v>0</v>
      </c>
      <c r="AG120">
        <v>2</v>
      </c>
      <c r="AH120">
        <v>0</v>
      </c>
      <c r="AI120" t="s">
        <v>122</v>
      </c>
      <c r="AJ120">
        <v>41.991506000000001</v>
      </c>
      <c r="AK120" t="s">
        <v>123</v>
      </c>
      <c r="AL120">
        <v>-87.891396999999998</v>
      </c>
      <c r="AS120">
        <v>1</v>
      </c>
      <c r="AT120" t="s">
        <v>118</v>
      </c>
      <c r="AU120" t="b">
        <v>1</v>
      </c>
      <c r="AV120">
        <v>357.19</v>
      </c>
      <c r="AW120">
        <v>0.125</v>
      </c>
      <c r="AX120">
        <v>1</v>
      </c>
      <c r="AZ120">
        <v>7205</v>
      </c>
      <c r="BA120">
        <v>1</v>
      </c>
      <c r="BB120" t="str">
        <f t="shared" si="5"/>
        <v xml:space="preserve">KAP400  </v>
      </c>
      <c r="BC120">
        <v>1</v>
      </c>
      <c r="BE120">
        <v>0</v>
      </c>
      <c r="BF120">
        <v>0</v>
      </c>
      <c r="BG120">
        <v>0</v>
      </c>
      <c r="BI120">
        <v>1</v>
      </c>
      <c r="BJ120">
        <v>1</v>
      </c>
      <c r="BK120">
        <v>1</v>
      </c>
      <c r="BL120">
        <v>0</v>
      </c>
      <c r="BO120">
        <v>0</v>
      </c>
      <c r="BP120">
        <v>0</v>
      </c>
      <c r="BW120" t="str">
        <f>"18:57:50.730"</f>
        <v>18:57:50.730</v>
      </c>
      <c r="BX120" t="s">
        <v>119</v>
      </c>
      <c r="BY120" t="s">
        <v>120</v>
      </c>
      <c r="CJ120">
        <v>0</v>
      </c>
      <c r="CK120">
        <v>0</v>
      </c>
      <c r="CL120">
        <v>0</v>
      </c>
      <c r="CM120">
        <v>2</v>
      </c>
      <c r="CN120">
        <v>0</v>
      </c>
      <c r="CO120">
        <v>7</v>
      </c>
      <c r="CP120" t="s">
        <v>121</v>
      </c>
      <c r="CQ120">
        <v>581</v>
      </c>
      <c r="CR120">
        <v>0</v>
      </c>
      <c r="CW120">
        <v>13785361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</row>
    <row r="121" spans="1:113" x14ac:dyDescent="0.3">
      <c r="A121" t="str">
        <f>"06/16/2022 18:57:55.905"</f>
        <v>06/16/2022 18:57:55.905</v>
      </c>
      <c r="C121" t="str">
        <f t="shared" si="3"/>
        <v>FFBF5BC0</v>
      </c>
      <c r="D121" t="s">
        <v>113</v>
      </c>
      <c r="E121">
        <v>8</v>
      </c>
      <c r="H121">
        <v>206</v>
      </c>
      <c r="I121" t="s">
        <v>114</v>
      </c>
      <c r="J121" t="s">
        <v>115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>"18:57:55.641"</f>
        <v>18:57:55.641</v>
      </c>
      <c r="T121" t="str">
        <f>"18:57:55.641"</f>
        <v>18:57:55.641</v>
      </c>
      <c r="U121" t="str">
        <f t="shared" si="4"/>
        <v>AB63B2</v>
      </c>
      <c r="V121">
        <v>0</v>
      </c>
      <c r="W121">
        <v>0</v>
      </c>
      <c r="X121">
        <v>6</v>
      </c>
      <c r="Z121">
        <v>0</v>
      </c>
      <c r="AA121">
        <v>9</v>
      </c>
      <c r="AB121">
        <v>3</v>
      </c>
      <c r="AC121">
        <v>0</v>
      </c>
      <c r="AD121">
        <v>10</v>
      </c>
      <c r="AE121">
        <v>0</v>
      </c>
      <c r="AF121">
        <v>0</v>
      </c>
      <c r="AG121">
        <v>2</v>
      </c>
      <c r="AH121">
        <v>0</v>
      </c>
      <c r="AI121" t="s">
        <v>122</v>
      </c>
      <c r="AJ121">
        <v>41.991506000000001</v>
      </c>
      <c r="AK121" t="s">
        <v>123</v>
      </c>
      <c r="AL121">
        <v>-87.891396999999998</v>
      </c>
      <c r="AS121">
        <v>1</v>
      </c>
      <c r="AT121" t="s">
        <v>118</v>
      </c>
      <c r="AU121" t="b">
        <v>1</v>
      </c>
      <c r="AV121">
        <v>357.19</v>
      </c>
      <c r="AW121">
        <v>0.125</v>
      </c>
      <c r="AX121">
        <v>1</v>
      </c>
      <c r="AZ121">
        <v>7205</v>
      </c>
      <c r="BA121">
        <v>1</v>
      </c>
      <c r="BB121" t="str">
        <f t="shared" si="5"/>
        <v xml:space="preserve">KAP400  </v>
      </c>
      <c r="BC121">
        <v>1</v>
      </c>
      <c r="BE121">
        <v>0</v>
      </c>
      <c r="BF121">
        <v>0</v>
      </c>
      <c r="BG121">
        <v>0</v>
      </c>
      <c r="BI121">
        <v>1</v>
      </c>
      <c r="BJ121">
        <v>1</v>
      </c>
      <c r="BK121">
        <v>1</v>
      </c>
      <c r="BL121">
        <v>0</v>
      </c>
      <c r="BO121">
        <v>0</v>
      </c>
      <c r="BP121">
        <v>0</v>
      </c>
      <c r="BW121" t="str">
        <f>"18:57:55.642"</f>
        <v>18:57:55.642</v>
      </c>
      <c r="BX121" t="s">
        <v>119</v>
      </c>
      <c r="BY121" t="s">
        <v>120</v>
      </c>
      <c r="CJ121">
        <v>0</v>
      </c>
      <c r="CK121">
        <v>0</v>
      </c>
      <c r="CL121">
        <v>0</v>
      </c>
      <c r="CM121">
        <v>2</v>
      </c>
      <c r="CN121">
        <v>0</v>
      </c>
      <c r="CO121">
        <v>7</v>
      </c>
      <c r="CP121" t="s">
        <v>121</v>
      </c>
      <c r="CQ121">
        <v>582</v>
      </c>
      <c r="CR121">
        <v>0</v>
      </c>
      <c r="CW121">
        <v>4816013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</row>
    <row r="122" spans="1:113" x14ac:dyDescent="0.3">
      <c r="A122" t="str">
        <f>"06/16/2022 18:58:00.968"</f>
        <v>06/16/2022 18:58:00.968</v>
      </c>
      <c r="C122" t="str">
        <f t="shared" si="3"/>
        <v>FFBF5BC0</v>
      </c>
      <c r="D122" t="s">
        <v>113</v>
      </c>
      <c r="E122">
        <v>8</v>
      </c>
      <c r="H122">
        <v>206</v>
      </c>
      <c r="I122" t="s">
        <v>114</v>
      </c>
      <c r="J122" t="s">
        <v>115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"18:58:00.773"</f>
        <v>18:58:00.773</v>
      </c>
      <c r="T122" t="str">
        <f>"18:58:00.773"</f>
        <v>18:58:00.773</v>
      </c>
      <c r="U122" t="str">
        <f t="shared" si="4"/>
        <v>AB63B2</v>
      </c>
      <c r="V122">
        <v>0</v>
      </c>
      <c r="W122">
        <v>0</v>
      </c>
      <c r="X122">
        <v>6</v>
      </c>
      <c r="Z122">
        <v>0</v>
      </c>
      <c r="AA122">
        <v>9</v>
      </c>
      <c r="AB122">
        <v>3</v>
      </c>
      <c r="AC122">
        <v>0</v>
      </c>
      <c r="AD122">
        <v>10</v>
      </c>
      <c r="AE122">
        <v>0</v>
      </c>
      <c r="AF122">
        <v>0</v>
      </c>
      <c r="AG122">
        <v>2</v>
      </c>
      <c r="AH122">
        <v>0</v>
      </c>
      <c r="AI122" t="s">
        <v>116</v>
      </c>
      <c r="AJ122">
        <v>41.991484</v>
      </c>
      <c r="AK122" t="s">
        <v>123</v>
      </c>
      <c r="AL122">
        <v>-87.891396999999998</v>
      </c>
      <c r="AS122">
        <v>1</v>
      </c>
      <c r="AT122" t="s">
        <v>118</v>
      </c>
      <c r="AU122" t="b">
        <v>1</v>
      </c>
      <c r="AV122">
        <v>357.19</v>
      </c>
      <c r="AW122">
        <v>0.125</v>
      </c>
      <c r="AX122">
        <v>1</v>
      </c>
      <c r="AZ122">
        <v>7205</v>
      </c>
      <c r="BA122">
        <v>1</v>
      </c>
      <c r="BB122" t="str">
        <f t="shared" si="5"/>
        <v xml:space="preserve">KAP400  </v>
      </c>
      <c r="BC122">
        <v>1</v>
      </c>
      <c r="BE122">
        <v>0</v>
      </c>
      <c r="BF122">
        <v>0</v>
      </c>
      <c r="BG122">
        <v>0</v>
      </c>
      <c r="BI122">
        <v>1</v>
      </c>
      <c r="BJ122">
        <v>1</v>
      </c>
      <c r="BK122">
        <v>1</v>
      </c>
      <c r="BL122">
        <v>0</v>
      </c>
      <c r="BO122">
        <v>0</v>
      </c>
      <c r="BP122">
        <v>0</v>
      </c>
      <c r="BW122" t="str">
        <f>"18:58:00.774"</f>
        <v>18:58:00.774</v>
      </c>
      <c r="BX122" t="s">
        <v>119</v>
      </c>
      <c r="BY122" t="s">
        <v>120</v>
      </c>
      <c r="CJ122">
        <v>0</v>
      </c>
      <c r="CK122">
        <v>0</v>
      </c>
      <c r="CL122">
        <v>0</v>
      </c>
      <c r="CM122">
        <v>2</v>
      </c>
      <c r="CN122">
        <v>0</v>
      </c>
      <c r="CO122">
        <v>7</v>
      </c>
      <c r="CP122" t="s">
        <v>121</v>
      </c>
      <c r="CQ122">
        <v>581</v>
      </c>
      <c r="CR122">
        <v>0</v>
      </c>
      <c r="CW122">
        <v>13802913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</row>
    <row r="123" spans="1:113" x14ac:dyDescent="0.3">
      <c r="A123" t="str">
        <f>"06/16/2022 18:58:06.077"</f>
        <v>06/16/2022 18:58:06.077</v>
      </c>
      <c r="C123" t="str">
        <f t="shared" si="3"/>
        <v>FFBF5BC0</v>
      </c>
      <c r="D123" t="s">
        <v>113</v>
      </c>
      <c r="E123">
        <v>8</v>
      </c>
      <c r="H123">
        <v>206</v>
      </c>
      <c r="I123" t="s">
        <v>114</v>
      </c>
      <c r="J123" t="s">
        <v>115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"18:58:05.820"</f>
        <v>18:58:05.820</v>
      </c>
      <c r="T123" t="str">
        <f>"18:58:05.820"</f>
        <v>18:58:05.820</v>
      </c>
      <c r="U123" t="str">
        <f t="shared" si="4"/>
        <v>AB63B2</v>
      </c>
      <c r="V123">
        <v>0</v>
      </c>
      <c r="W123">
        <v>0</v>
      </c>
      <c r="X123">
        <v>6</v>
      </c>
      <c r="Z123">
        <v>0</v>
      </c>
      <c r="AA123">
        <v>9</v>
      </c>
      <c r="AB123">
        <v>3</v>
      </c>
      <c r="AC123">
        <v>0</v>
      </c>
      <c r="AD123">
        <v>10</v>
      </c>
      <c r="AE123">
        <v>0</v>
      </c>
      <c r="AF123">
        <v>0</v>
      </c>
      <c r="AG123">
        <v>2</v>
      </c>
      <c r="AH123">
        <v>0</v>
      </c>
      <c r="AI123" t="s">
        <v>116</v>
      </c>
      <c r="AJ123">
        <v>41.991484</v>
      </c>
      <c r="AK123" t="s">
        <v>123</v>
      </c>
      <c r="AL123">
        <v>-87.891396999999998</v>
      </c>
      <c r="AS123">
        <v>1</v>
      </c>
      <c r="AT123" t="s">
        <v>118</v>
      </c>
      <c r="AU123" t="b">
        <v>1</v>
      </c>
      <c r="AV123">
        <v>357.19</v>
      </c>
      <c r="AW123">
        <v>0.125</v>
      </c>
      <c r="AX123">
        <v>1</v>
      </c>
      <c r="AZ123">
        <v>7205</v>
      </c>
      <c r="BA123">
        <v>1</v>
      </c>
      <c r="BB123" t="str">
        <f t="shared" si="5"/>
        <v xml:space="preserve">KAP400  </v>
      </c>
      <c r="BC123">
        <v>1</v>
      </c>
      <c r="BE123">
        <v>0</v>
      </c>
      <c r="BF123">
        <v>0</v>
      </c>
      <c r="BG123">
        <v>0</v>
      </c>
      <c r="BI123">
        <v>1</v>
      </c>
      <c r="BJ123">
        <v>1</v>
      </c>
      <c r="BK123">
        <v>1</v>
      </c>
      <c r="BL123">
        <v>0</v>
      </c>
      <c r="BO123">
        <v>0</v>
      </c>
      <c r="BP123">
        <v>0</v>
      </c>
      <c r="BW123" t="str">
        <f>"18:58:05.826"</f>
        <v>18:58:05.826</v>
      </c>
      <c r="BX123" t="s">
        <v>119</v>
      </c>
      <c r="BY123" t="s">
        <v>120</v>
      </c>
      <c r="CJ123">
        <v>0</v>
      </c>
      <c r="CK123">
        <v>0</v>
      </c>
      <c r="CL123">
        <v>0</v>
      </c>
      <c r="CM123">
        <v>2</v>
      </c>
      <c r="CN123">
        <v>0</v>
      </c>
      <c r="CO123">
        <v>7</v>
      </c>
      <c r="CP123" t="s">
        <v>121</v>
      </c>
      <c r="CQ123">
        <v>581</v>
      </c>
      <c r="CR123">
        <v>0</v>
      </c>
      <c r="CW123">
        <v>13811852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</row>
    <row r="124" spans="1:113" x14ac:dyDescent="0.3">
      <c r="A124" t="str">
        <f>"06/16/2022 18:58:10.921"</f>
        <v>06/16/2022 18:58:10.921</v>
      </c>
      <c r="C124" t="str">
        <f t="shared" si="3"/>
        <v>FFBF5BC0</v>
      </c>
      <c r="D124" t="s">
        <v>113</v>
      </c>
      <c r="E124">
        <v>8</v>
      </c>
      <c r="H124">
        <v>206</v>
      </c>
      <c r="I124" t="s">
        <v>114</v>
      </c>
      <c r="J124" t="s">
        <v>115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"18:58:10.703"</f>
        <v>18:58:10.703</v>
      </c>
      <c r="T124" t="str">
        <f>"18:58:10.703"</f>
        <v>18:58:10.703</v>
      </c>
      <c r="U124" t="str">
        <f t="shared" si="4"/>
        <v>AB63B2</v>
      </c>
      <c r="V124">
        <v>0</v>
      </c>
      <c r="W124">
        <v>0</v>
      </c>
      <c r="X124">
        <v>6</v>
      </c>
      <c r="Z124">
        <v>0</v>
      </c>
      <c r="AA124">
        <v>9</v>
      </c>
      <c r="AB124">
        <v>3</v>
      </c>
      <c r="AC124">
        <v>0</v>
      </c>
      <c r="AD124">
        <v>10</v>
      </c>
      <c r="AE124">
        <v>0</v>
      </c>
      <c r="AF124">
        <v>0</v>
      </c>
      <c r="AG124">
        <v>2</v>
      </c>
      <c r="AH124">
        <v>0</v>
      </c>
      <c r="AI124" t="s">
        <v>122</v>
      </c>
      <c r="AJ124">
        <v>41.991506000000001</v>
      </c>
      <c r="AK124" t="s">
        <v>123</v>
      </c>
      <c r="AL124">
        <v>-87.891396999999998</v>
      </c>
      <c r="AS124">
        <v>1</v>
      </c>
      <c r="AT124" t="s">
        <v>118</v>
      </c>
      <c r="AU124" t="b">
        <v>1</v>
      </c>
      <c r="AV124">
        <v>357.19</v>
      </c>
      <c r="AW124">
        <v>0.125</v>
      </c>
      <c r="AX124">
        <v>1</v>
      </c>
      <c r="AZ124">
        <v>7205</v>
      </c>
      <c r="BA124">
        <v>1</v>
      </c>
      <c r="BB124" t="str">
        <f t="shared" si="5"/>
        <v xml:space="preserve">KAP400  </v>
      </c>
      <c r="BC124">
        <v>1</v>
      </c>
      <c r="BE124">
        <v>0</v>
      </c>
      <c r="BF124">
        <v>0</v>
      </c>
      <c r="BG124">
        <v>0</v>
      </c>
      <c r="BI124">
        <v>1</v>
      </c>
      <c r="BJ124">
        <v>1</v>
      </c>
      <c r="BK124">
        <v>1</v>
      </c>
      <c r="BL124">
        <v>0</v>
      </c>
      <c r="BO124">
        <v>0</v>
      </c>
      <c r="BP124">
        <v>0</v>
      </c>
      <c r="BW124" t="str">
        <f>"18:58:10.709"</f>
        <v>18:58:10.709</v>
      </c>
      <c r="BX124" t="s">
        <v>119</v>
      </c>
      <c r="BY124" t="s">
        <v>120</v>
      </c>
      <c r="CJ124">
        <v>0</v>
      </c>
      <c r="CK124">
        <v>0</v>
      </c>
      <c r="CL124">
        <v>0</v>
      </c>
      <c r="CM124">
        <v>2</v>
      </c>
      <c r="CN124">
        <v>0</v>
      </c>
      <c r="CO124">
        <v>7</v>
      </c>
      <c r="CP124" t="s">
        <v>121</v>
      </c>
      <c r="CQ124">
        <v>581</v>
      </c>
      <c r="CR124">
        <v>0</v>
      </c>
      <c r="CW124">
        <v>13820179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</row>
    <row r="125" spans="1:113" x14ac:dyDescent="0.3">
      <c r="A125" t="str">
        <f>"06/16/2022 18:58:16.124"</f>
        <v>06/16/2022 18:58:16.124</v>
      </c>
      <c r="C125" t="str">
        <f t="shared" si="3"/>
        <v>FFBF5BC0</v>
      </c>
      <c r="D125" t="s">
        <v>113</v>
      </c>
      <c r="E125">
        <v>8</v>
      </c>
      <c r="H125">
        <v>206</v>
      </c>
      <c r="I125" t="s">
        <v>114</v>
      </c>
      <c r="J125" t="s">
        <v>115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>"18:58:15.852"</f>
        <v>18:58:15.852</v>
      </c>
      <c r="T125" t="str">
        <f>"18:58:15.852"</f>
        <v>18:58:15.852</v>
      </c>
      <c r="U125" t="str">
        <f t="shared" si="4"/>
        <v>AB63B2</v>
      </c>
      <c r="V125">
        <v>0</v>
      </c>
      <c r="W125">
        <v>0</v>
      </c>
      <c r="X125">
        <v>6</v>
      </c>
      <c r="Z125">
        <v>0</v>
      </c>
      <c r="AA125">
        <v>9</v>
      </c>
      <c r="AB125">
        <v>3</v>
      </c>
      <c r="AC125">
        <v>0</v>
      </c>
      <c r="AD125">
        <v>10</v>
      </c>
      <c r="AE125">
        <v>0</v>
      </c>
      <c r="AF125">
        <v>0</v>
      </c>
      <c r="AG125">
        <v>2</v>
      </c>
      <c r="AH125">
        <v>0</v>
      </c>
      <c r="AI125" t="s">
        <v>122</v>
      </c>
      <c r="AJ125">
        <v>41.991506000000001</v>
      </c>
      <c r="AK125" t="s">
        <v>123</v>
      </c>
      <c r="AL125">
        <v>-87.891396999999998</v>
      </c>
      <c r="AS125">
        <v>1</v>
      </c>
      <c r="AT125" t="s">
        <v>118</v>
      </c>
      <c r="AU125" t="b">
        <v>1</v>
      </c>
      <c r="AV125">
        <v>357.19</v>
      </c>
      <c r="AW125">
        <v>0.125</v>
      </c>
      <c r="AX125">
        <v>1</v>
      </c>
      <c r="AZ125">
        <v>7205</v>
      </c>
      <c r="BA125">
        <v>1</v>
      </c>
      <c r="BB125" t="str">
        <f t="shared" si="5"/>
        <v xml:space="preserve">KAP400  </v>
      </c>
      <c r="BC125">
        <v>1</v>
      </c>
      <c r="BE125">
        <v>0</v>
      </c>
      <c r="BF125">
        <v>0</v>
      </c>
      <c r="BG125">
        <v>0</v>
      </c>
      <c r="BI125">
        <v>1</v>
      </c>
      <c r="BJ125">
        <v>1</v>
      </c>
      <c r="BK125">
        <v>1</v>
      </c>
      <c r="BL125">
        <v>0</v>
      </c>
      <c r="BO125">
        <v>0</v>
      </c>
      <c r="BP125">
        <v>0</v>
      </c>
      <c r="BW125" t="str">
        <f>"18:58:15.857"</f>
        <v>18:58:15.857</v>
      </c>
      <c r="BX125" t="s">
        <v>119</v>
      </c>
      <c r="BY125" t="s">
        <v>120</v>
      </c>
      <c r="CJ125">
        <v>0</v>
      </c>
      <c r="CK125">
        <v>0</v>
      </c>
      <c r="CL125">
        <v>0</v>
      </c>
      <c r="CM125">
        <v>2</v>
      </c>
      <c r="CN125">
        <v>0</v>
      </c>
      <c r="CO125">
        <v>7</v>
      </c>
      <c r="CP125" t="s">
        <v>121</v>
      </c>
      <c r="CQ125">
        <v>582</v>
      </c>
      <c r="CR125">
        <v>0</v>
      </c>
      <c r="CW125">
        <v>4849173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</row>
    <row r="126" spans="1:113" x14ac:dyDescent="0.3">
      <c r="A126" t="str">
        <f>"06/16/2022 18:58:20.952"</f>
        <v>06/16/2022 18:58:20.952</v>
      </c>
      <c r="C126" t="str">
        <f t="shared" si="3"/>
        <v>FFBF5BC0</v>
      </c>
      <c r="D126" t="s">
        <v>113</v>
      </c>
      <c r="E126">
        <v>8</v>
      </c>
      <c r="H126">
        <v>206</v>
      </c>
      <c r="I126" t="s">
        <v>114</v>
      </c>
      <c r="J126" t="s">
        <v>115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>"18:58:20.758"</f>
        <v>18:58:20.758</v>
      </c>
      <c r="T126" t="str">
        <f>"18:58:20.758"</f>
        <v>18:58:20.758</v>
      </c>
      <c r="U126" t="str">
        <f t="shared" si="4"/>
        <v>AB63B2</v>
      </c>
      <c r="V126">
        <v>0</v>
      </c>
      <c r="W126">
        <v>0</v>
      </c>
      <c r="X126">
        <v>6</v>
      </c>
      <c r="Z126">
        <v>0</v>
      </c>
      <c r="AA126">
        <v>9</v>
      </c>
      <c r="AB126">
        <v>3</v>
      </c>
      <c r="AC126">
        <v>0</v>
      </c>
      <c r="AD126">
        <v>10</v>
      </c>
      <c r="AE126">
        <v>0</v>
      </c>
      <c r="AF126">
        <v>0</v>
      </c>
      <c r="AG126">
        <v>2</v>
      </c>
      <c r="AH126">
        <v>0</v>
      </c>
      <c r="AI126" t="s">
        <v>116</v>
      </c>
      <c r="AJ126">
        <v>41.991484</v>
      </c>
      <c r="AK126" t="s">
        <v>123</v>
      </c>
      <c r="AL126">
        <v>-87.891396999999998</v>
      </c>
      <c r="AS126">
        <v>1</v>
      </c>
      <c r="AT126" t="s">
        <v>118</v>
      </c>
      <c r="AU126" t="b">
        <v>1</v>
      </c>
      <c r="AV126">
        <v>357.19</v>
      </c>
      <c r="AW126">
        <v>0.125</v>
      </c>
      <c r="AX126">
        <v>1</v>
      </c>
      <c r="AZ126">
        <v>7205</v>
      </c>
      <c r="BA126">
        <v>1</v>
      </c>
      <c r="BB126" t="str">
        <f t="shared" si="5"/>
        <v xml:space="preserve">KAP400  </v>
      </c>
      <c r="BC126">
        <v>1</v>
      </c>
      <c r="BE126">
        <v>0</v>
      </c>
      <c r="BF126">
        <v>0</v>
      </c>
      <c r="BG126">
        <v>0</v>
      </c>
      <c r="BI126">
        <v>1</v>
      </c>
      <c r="BJ126">
        <v>1</v>
      </c>
      <c r="BK126">
        <v>1</v>
      </c>
      <c r="BL126">
        <v>0</v>
      </c>
      <c r="BO126">
        <v>0</v>
      </c>
      <c r="BP126">
        <v>0</v>
      </c>
      <c r="BW126" t="str">
        <f>"18:58:20.761"</f>
        <v>18:58:20.761</v>
      </c>
      <c r="BX126" t="s">
        <v>119</v>
      </c>
      <c r="BY126" t="s">
        <v>120</v>
      </c>
      <c r="CJ126">
        <v>0</v>
      </c>
      <c r="CK126">
        <v>0</v>
      </c>
      <c r="CL126">
        <v>0</v>
      </c>
      <c r="CM126">
        <v>2</v>
      </c>
      <c r="CN126">
        <v>0</v>
      </c>
      <c r="CO126">
        <v>7</v>
      </c>
      <c r="CP126" t="s">
        <v>121</v>
      </c>
      <c r="CQ126">
        <v>581</v>
      </c>
      <c r="CR126">
        <v>0</v>
      </c>
      <c r="CW126">
        <v>13837862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</row>
    <row r="127" spans="1:113" x14ac:dyDescent="0.3">
      <c r="A127" t="str">
        <f>"06/16/2022 18:58:41.234"</f>
        <v>06/16/2022 18:58:41.234</v>
      </c>
      <c r="C127" t="str">
        <f t="shared" si="3"/>
        <v>FFBF5BC0</v>
      </c>
      <c r="D127" t="s">
        <v>113</v>
      </c>
      <c r="E127">
        <v>8</v>
      </c>
      <c r="H127">
        <v>206</v>
      </c>
      <c r="I127" t="s">
        <v>114</v>
      </c>
      <c r="J127" t="s">
        <v>115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>"18:58:40.969"</f>
        <v>18:58:40.969</v>
      </c>
      <c r="T127" t="str">
        <f>"18:58:40.969"</f>
        <v>18:58:40.969</v>
      </c>
      <c r="U127" t="str">
        <f t="shared" si="4"/>
        <v>AB63B2</v>
      </c>
      <c r="V127">
        <v>0</v>
      </c>
      <c r="W127">
        <v>0</v>
      </c>
      <c r="X127">
        <v>6</v>
      </c>
      <c r="Z127">
        <v>0</v>
      </c>
      <c r="AA127">
        <v>9</v>
      </c>
      <c r="AB127">
        <v>3</v>
      </c>
      <c r="AC127">
        <v>0</v>
      </c>
      <c r="AD127">
        <v>10</v>
      </c>
      <c r="AE127">
        <v>0</v>
      </c>
      <c r="AF127">
        <v>0</v>
      </c>
      <c r="AG127">
        <v>2</v>
      </c>
      <c r="AH127">
        <v>0</v>
      </c>
      <c r="AI127" t="s">
        <v>122</v>
      </c>
      <c r="AJ127">
        <v>41.991506000000001</v>
      </c>
      <c r="AK127" t="s">
        <v>123</v>
      </c>
      <c r="AL127">
        <v>-87.891396999999998</v>
      </c>
      <c r="AS127">
        <v>1</v>
      </c>
      <c r="AT127" t="s">
        <v>118</v>
      </c>
      <c r="AU127" t="b">
        <v>1</v>
      </c>
      <c r="AV127">
        <v>357.19</v>
      </c>
      <c r="AW127">
        <v>0.125</v>
      </c>
      <c r="AX127">
        <v>1</v>
      </c>
      <c r="AZ127">
        <v>7205</v>
      </c>
      <c r="BA127">
        <v>1</v>
      </c>
      <c r="BB127" t="str">
        <f t="shared" si="5"/>
        <v xml:space="preserve">KAP400  </v>
      </c>
      <c r="BC127">
        <v>1</v>
      </c>
      <c r="BE127">
        <v>0</v>
      </c>
      <c r="BF127">
        <v>0</v>
      </c>
      <c r="BG127">
        <v>0</v>
      </c>
      <c r="BI127">
        <v>1</v>
      </c>
      <c r="BJ127">
        <v>1</v>
      </c>
      <c r="BK127">
        <v>1</v>
      </c>
      <c r="BL127">
        <v>0</v>
      </c>
      <c r="BO127">
        <v>0</v>
      </c>
      <c r="BP127">
        <v>0</v>
      </c>
      <c r="BW127" t="str">
        <f>"18:58:40.974"</f>
        <v>18:58:40.974</v>
      </c>
      <c r="BX127" t="s">
        <v>119</v>
      </c>
      <c r="BY127" t="s">
        <v>120</v>
      </c>
      <c r="CJ127">
        <v>0</v>
      </c>
      <c r="CK127">
        <v>0</v>
      </c>
      <c r="CL127">
        <v>0</v>
      </c>
      <c r="CM127">
        <v>2</v>
      </c>
      <c r="CN127">
        <v>0</v>
      </c>
      <c r="CO127">
        <v>7</v>
      </c>
      <c r="CP127" t="s">
        <v>121</v>
      </c>
      <c r="CQ127">
        <v>581</v>
      </c>
      <c r="CR127">
        <v>0</v>
      </c>
      <c r="CW127">
        <v>13873187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</row>
    <row r="128" spans="1:113" x14ac:dyDescent="0.3">
      <c r="A128" t="str">
        <f>"06/16/2022 18:58:46.001"</f>
        <v>06/16/2022 18:58:46.001</v>
      </c>
      <c r="C128" t="str">
        <f t="shared" si="3"/>
        <v>FFBF5BC0</v>
      </c>
      <c r="D128" t="s">
        <v>113</v>
      </c>
      <c r="E128">
        <v>8</v>
      </c>
      <c r="H128">
        <v>206</v>
      </c>
      <c r="I128" t="s">
        <v>114</v>
      </c>
      <c r="J128" t="s">
        <v>115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>"18:58:45.781"</f>
        <v>18:58:45.781</v>
      </c>
      <c r="T128" t="str">
        <f>"18:58:45.781"</f>
        <v>18:58:45.781</v>
      </c>
      <c r="U128" t="str">
        <f t="shared" si="4"/>
        <v>AB63B2</v>
      </c>
      <c r="V128">
        <v>0</v>
      </c>
      <c r="W128">
        <v>0</v>
      </c>
      <c r="X128">
        <v>6</v>
      </c>
      <c r="Z128">
        <v>0</v>
      </c>
      <c r="AA128">
        <v>9</v>
      </c>
      <c r="AB128">
        <v>3</v>
      </c>
      <c r="AC128">
        <v>0</v>
      </c>
      <c r="AD128">
        <v>10</v>
      </c>
      <c r="AE128">
        <v>0</v>
      </c>
      <c r="AF128">
        <v>0</v>
      </c>
      <c r="AG128">
        <v>2</v>
      </c>
      <c r="AH128">
        <v>0</v>
      </c>
      <c r="AI128" t="s">
        <v>116</v>
      </c>
      <c r="AJ128">
        <v>41.991484</v>
      </c>
      <c r="AK128" t="s">
        <v>123</v>
      </c>
      <c r="AL128">
        <v>-87.891396999999998</v>
      </c>
      <c r="AS128">
        <v>1</v>
      </c>
      <c r="AT128" t="s">
        <v>118</v>
      </c>
      <c r="AU128" t="b">
        <v>1</v>
      </c>
      <c r="AV128">
        <v>357.19</v>
      </c>
      <c r="AW128">
        <v>0.125</v>
      </c>
      <c r="AX128">
        <v>1</v>
      </c>
      <c r="AZ128">
        <v>7205</v>
      </c>
      <c r="BA128">
        <v>1</v>
      </c>
      <c r="BB128" t="str">
        <f t="shared" si="5"/>
        <v xml:space="preserve">KAP400  </v>
      </c>
      <c r="BC128">
        <v>1</v>
      </c>
      <c r="BE128">
        <v>0</v>
      </c>
      <c r="BF128">
        <v>0</v>
      </c>
      <c r="BG128">
        <v>0</v>
      </c>
      <c r="BI128">
        <v>1</v>
      </c>
      <c r="BJ128">
        <v>1</v>
      </c>
      <c r="BK128">
        <v>1</v>
      </c>
      <c r="BL128">
        <v>0</v>
      </c>
      <c r="BO128">
        <v>0</v>
      </c>
      <c r="BP128">
        <v>0</v>
      </c>
      <c r="BW128" t="str">
        <f>"18:58:45.784"</f>
        <v>18:58:45.784</v>
      </c>
      <c r="BX128" t="s">
        <v>119</v>
      </c>
      <c r="BY128" t="s">
        <v>120</v>
      </c>
      <c r="CJ128">
        <v>0</v>
      </c>
      <c r="CK128">
        <v>0</v>
      </c>
      <c r="CL128">
        <v>0</v>
      </c>
      <c r="CM128">
        <v>2</v>
      </c>
      <c r="CN128">
        <v>0</v>
      </c>
      <c r="CO128">
        <v>7</v>
      </c>
      <c r="CP128" t="s">
        <v>121</v>
      </c>
      <c r="CQ128">
        <v>581</v>
      </c>
      <c r="CR128">
        <v>0</v>
      </c>
      <c r="CW128">
        <v>13881604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</row>
    <row r="129" spans="1:113" x14ac:dyDescent="0.3">
      <c r="A129" t="str">
        <f>"06/16/2022 18:58:51.063"</f>
        <v>06/16/2022 18:58:51.063</v>
      </c>
      <c r="C129" t="str">
        <f t="shared" si="3"/>
        <v>FFBF5BC0</v>
      </c>
      <c r="D129" t="s">
        <v>113</v>
      </c>
      <c r="E129">
        <v>8</v>
      </c>
      <c r="H129">
        <v>206</v>
      </c>
      <c r="I129" t="s">
        <v>114</v>
      </c>
      <c r="J129" t="s">
        <v>115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>"18:58:50.820"</f>
        <v>18:58:50.820</v>
      </c>
      <c r="T129" t="str">
        <f>"18:58:50.820"</f>
        <v>18:58:50.820</v>
      </c>
      <c r="U129" t="str">
        <f t="shared" si="4"/>
        <v>AB63B2</v>
      </c>
      <c r="V129">
        <v>0</v>
      </c>
      <c r="W129">
        <v>0</v>
      </c>
      <c r="X129">
        <v>6</v>
      </c>
      <c r="Z129">
        <v>0</v>
      </c>
      <c r="AA129">
        <v>9</v>
      </c>
      <c r="AB129">
        <v>3</v>
      </c>
      <c r="AC129">
        <v>0</v>
      </c>
      <c r="AD129">
        <v>10</v>
      </c>
      <c r="AE129">
        <v>0</v>
      </c>
      <c r="AF129">
        <v>0</v>
      </c>
      <c r="AG129">
        <v>2</v>
      </c>
      <c r="AH129">
        <v>0</v>
      </c>
      <c r="AI129" t="s">
        <v>116</v>
      </c>
      <c r="AJ129">
        <v>41.991484</v>
      </c>
      <c r="AK129" t="s">
        <v>123</v>
      </c>
      <c r="AL129">
        <v>-87.891396999999998</v>
      </c>
      <c r="AS129">
        <v>1</v>
      </c>
      <c r="AT129" t="s">
        <v>118</v>
      </c>
      <c r="AU129" t="b">
        <v>1</v>
      </c>
      <c r="AV129">
        <v>357.19</v>
      </c>
      <c r="AW129">
        <v>0.125</v>
      </c>
      <c r="AX129">
        <v>1</v>
      </c>
      <c r="AZ129">
        <v>7205</v>
      </c>
      <c r="BA129">
        <v>1</v>
      </c>
      <c r="BB129" t="str">
        <f t="shared" si="5"/>
        <v xml:space="preserve">KAP400  </v>
      </c>
      <c r="BC129">
        <v>1</v>
      </c>
      <c r="BE129">
        <v>0</v>
      </c>
      <c r="BF129">
        <v>0</v>
      </c>
      <c r="BG129">
        <v>0</v>
      </c>
      <c r="BI129">
        <v>1</v>
      </c>
      <c r="BJ129">
        <v>1</v>
      </c>
      <c r="BK129">
        <v>1</v>
      </c>
      <c r="BL129">
        <v>0</v>
      </c>
      <c r="BO129">
        <v>0</v>
      </c>
      <c r="BP129">
        <v>0</v>
      </c>
      <c r="BW129" t="str">
        <f>"18:58:50.827"</f>
        <v>18:58:50.827</v>
      </c>
      <c r="BX129" t="s">
        <v>119</v>
      </c>
      <c r="BY129" t="s">
        <v>120</v>
      </c>
      <c r="CJ129">
        <v>0</v>
      </c>
      <c r="CK129">
        <v>0</v>
      </c>
      <c r="CL129">
        <v>0</v>
      </c>
      <c r="CM129">
        <v>2</v>
      </c>
      <c r="CN129">
        <v>0</v>
      </c>
      <c r="CO129">
        <v>7</v>
      </c>
      <c r="CP129" t="s">
        <v>121</v>
      </c>
      <c r="CQ129">
        <v>582</v>
      </c>
      <c r="CR129">
        <v>0</v>
      </c>
      <c r="CW129">
        <v>4904730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</row>
    <row r="130" spans="1:113" x14ac:dyDescent="0.3">
      <c r="A130" t="str">
        <f>"06/16/2022 18:58:56.218"</f>
        <v>06/16/2022 18:58:56.218</v>
      </c>
      <c r="C130" t="str">
        <f t="shared" ref="C130:C193" si="6">"FFBF5BC0"</f>
        <v>FFBF5BC0</v>
      </c>
      <c r="D130" t="s">
        <v>113</v>
      </c>
      <c r="E130">
        <v>8</v>
      </c>
      <c r="H130">
        <v>206</v>
      </c>
      <c r="I130" t="s">
        <v>114</v>
      </c>
      <c r="J130" t="s">
        <v>115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"18:58:55.977"</f>
        <v>18:58:55.977</v>
      </c>
      <c r="T130" t="str">
        <f>"18:58:55.977"</f>
        <v>18:58:55.977</v>
      </c>
      <c r="U130" t="str">
        <f t="shared" ref="U130:U193" si="7">"AB63B2"</f>
        <v>AB63B2</v>
      </c>
      <c r="V130">
        <v>0</v>
      </c>
      <c r="W130">
        <v>0</v>
      </c>
      <c r="X130">
        <v>6</v>
      </c>
      <c r="Z130">
        <v>0</v>
      </c>
      <c r="AA130">
        <v>9</v>
      </c>
      <c r="AB130">
        <v>3</v>
      </c>
      <c r="AC130">
        <v>0</v>
      </c>
      <c r="AD130">
        <v>10</v>
      </c>
      <c r="AE130">
        <v>0</v>
      </c>
      <c r="AF130">
        <v>0</v>
      </c>
      <c r="AG130">
        <v>2</v>
      </c>
      <c r="AH130">
        <v>0</v>
      </c>
      <c r="AI130" t="s">
        <v>116</v>
      </c>
      <c r="AJ130">
        <v>41.991484</v>
      </c>
      <c r="AK130" t="s">
        <v>123</v>
      </c>
      <c r="AL130">
        <v>-87.891396999999998</v>
      </c>
      <c r="AS130">
        <v>1</v>
      </c>
      <c r="AT130" t="s">
        <v>118</v>
      </c>
      <c r="AU130" t="b">
        <v>1</v>
      </c>
      <c r="AV130">
        <v>357.19</v>
      </c>
      <c r="AW130">
        <v>0.125</v>
      </c>
      <c r="AX130">
        <v>1</v>
      </c>
      <c r="AZ130">
        <v>7205</v>
      </c>
      <c r="BA130">
        <v>1</v>
      </c>
      <c r="BB130" t="str">
        <f t="shared" ref="BB130:BB193" si="8">"KAP400  "</f>
        <v xml:space="preserve">KAP400  </v>
      </c>
      <c r="BC130">
        <v>1</v>
      </c>
      <c r="BE130">
        <v>0</v>
      </c>
      <c r="BF130">
        <v>0</v>
      </c>
      <c r="BG130">
        <v>0</v>
      </c>
      <c r="BI130">
        <v>1</v>
      </c>
      <c r="BJ130">
        <v>1</v>
      </c>
      <c r="BK130">
        <v>1</v>
      </c>
      <c r="BL130">
        <v>0</v>
      </c>
      <c r="BO130">
        <v>0</v>
      </c>
      <c r="BP130">
        <v>0</v>
      </c>
      <c r="BW130" t="str">
        <f>"18:58:55.980"</f>
        <v>18:58:55.980</v>
      </c>
      <c r="BX130" t="s">
        <v>119</v>
      </c>
      <c r="BY130" t="s">
        <v>120</v>
      </c>
      <c r="CJ130">
        <v>0</v>
      </c>
      <c r="CK130">
        <v>0</v>
      </c>
      <c r="CL130">
        <v>0</v>
      </c>
      <c r="CM130">
        <v>2</v>
      </c>
      <c r="CN130">
        <v>0</v>
      </c>
      <c r="CO130">
        <v>7</v>
      </c>
      <c r="CP130" t="s">
        <v>121</v>
      </c>
      <c r="CQ130">
        <v>582</v>
      </c>
      <c r="CR130">
        <v>0</v>
      </c>
      <c r="CW130">
        <v>4912975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</row>
    <row r="131" spans="1:113" x14ac:dyDescent="0.3">
      <c r="A131" t="str">
        <f>"06/16/2022 18:59:01.281"</f>
        <v>06/16/2022 18:59:01.281</v>
      </c>
      <c r="C131" t="str">
        <f t="shared" si="6"/>
        <v>FFBF5BC0</v>
      </c>
      <c r="D131" t="s">
        <v>113</v>
      </c>
      <c r="E131">
        <v>8</v>
      </c>
      <c r="H131">
        <v>206</v>
      </c>
      <c r="I131" t="s">
        <v>114</v>
      </c>
      <c r="J131" t="s">
        <v>115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>"18:59:01.000"</f>
        <v>18:59:01.000</v>
      </c>
      <c r="T131" t="str">
        <f>"18:59:01.000"</f>
        <v>18:59:01.000</v>
      </c>
      <c r="U131" t="str">
        <f t="shared" si="7"/>
        <v>AB63B2</v>
      </c>
      <c r="V131">
        <v>0</v>
      </c>
      <c r="W131">
        <v>0</v>
      </c>
      <c r="X131">
        <v>6</v>
      </c>
      <c r="Z131">
        <v>0</v>
      </c>
      <c r="AA131">
        <v>9</v>
      </c>
      <c r="AB131">
        <v>3</v>
      </c>
      <c r="AC131">
        <v>0</v>
      </c>
      <c r="AD131">
        <v>10</v>
      </c>
      <c r="AE131">
        <v>0</v>
      </c>
      <c r="AF131">
        <v>0</v>
      </c>
      <c r="AG131">
        <v>2</v>
      </c>
      <c r="AH131">
        <v>0</v>
      </c>
      <c r="AI131" t="s">
        <v>116</v>
      </c>
      <c r="AJ131">
        <v>41.991484</v>
      </c>
      <c r="AK131" t="s">
        <v>123</v>
      </c>
      <c r="AL131">
        <v>-87.891396999999998</v>
      </c>
      <c r="AS131">
        <v>1</v>
      </c>
      <c r="AT131" t="s">
        <v>118</v>
      </c>
      <c r="AU131" t="b">
        <v>1</v>
      </c>
      <c r="AV131">
        <v>357.19</v>
      </c>
      <c r="AW131">
        <v>0.125</v>
      </c>
      <c r="AX131">
        <v>1</v>
      </c>
      <c r="AZ131">
        <v>7205</v>
      </c>
      <c r="BA131">
        <v>1</v>
      </c>
      <c r="BB131" t="str">
        <f t="shared" si="8"/>
        <v xml:space="preserve">KAP400  </v>
      </c>
      <c r="BC131">
        <v>1</v>
      </c>
      <c r="BE131">
        <v>0</v>
      </c>
      <c r="BF131">
        <v>0</v>
      </c>
      <c r="BG131">
        <v>0</v>
      </c>
      <c r="BI131">
        <v>1</v>
      </c>
      <c r="BJ131">
        <v>1</v>
      </c>
      <c r="BK131">
        <v>1</v>
      </c>
      <c r="BL131">
        <v>0</v>
      </c>
      <c r="BO131">
        <v>0</v>
      </c>
      <c r="BP131">
        <v>0</v>
      </c>
      <c r="BW131" t="str">
        <f>"18:59:01.005"</f>
        <v>18:59:01.005</v>
      </c>
      <c r="BX131" t="s">
        <v>119</v>
      </c>
      <c r="BY131" t="s">
        <v>120</v>
      </c>
      <c r="CJ131">
        <v>0</v>
      </c>
      <c r="CK131">
        <v>0</v>
      </c>
      <c r="CL131">
        <v>0</v>
      </c>
      <c r="CM131">
        <v>2</v>
      </c>
      <c r="CN131">
        <v>0</v>
      </c>
      <c r="CO131">
        <v>7</v>
      </c>
      <c r="CP131" t="s">
        <v>121</v>
      </c>
      <c r="CQ131">
        <v>582</v>
      </c>
      <c r="CR131">
        <v>0</v>
      </c>
      <c r="CW131">
        <v>4921269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</row>
    <row r="132" spans="1:113" x14ac:dyDescent="0.3">
      <c r="A132" t="str">
        <f>"06/16/2022 18:59:06.375"</f>
        <v>06/16/2022 18:59:06.375</v>
      </c>
      <c r="C132" t="str">
        <f t="shared" si="6"/>
        <v>FFBF5BC0</v>
      </c>
      <c r="D132" t="s">
        <v>113</v>
      </c>
      <c r="E132">
        <v>8</v>
      </c>
      <c r="H132">
        <v>206</v>
      </c>
      <c r="I132" t="s">
        <v>114</v>
      </c>
      <c r="J132" t="s">
        <v>115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>"18:59:06.125"</f>
        <v>18:59:06.125</v>
      </c>
      <c r="T132" t="str">
        <f>"18:59:06.125"</f>
        <v>18:59:06.125</v>
      </c>
      <c r="U132" t="str">
        <f t="shared" si="7"/>
        <v>AB63B2</v>
      </c>
      <c r="V132">
        <v>0</v>
      </c>
      <c r="W132">
        <v>0</v>
      </c>
      <c r="X132">
        <v>6</v>
      </c>
      <c r="Z132">
        <v>0</v>
      </c>
      <c r="AA132">
        <v>9</v>
      </c>
      <c r="AB132">
        <v>3</v>
      </c>
      <c r="AC132">
        <v>0</v>
      </c>
      <c r="AD132">
        <v>10</v>
      </c>
      <c r="AE132">
        <v>0</v>
      </c>
      <c r="AF132">
        <v>0</v>
      </c>
      <c r="AG132">
        <v>2</v>
      </c>
      <c r="AH132">
        <v>0</v>
      </c>
      <c r="AI132" t="s">
        <v>122</v>
      </c>
      <c r="AJ132">
        <v>41.991506000000001</v>
      </c>
      <c r="AK132" t="s">
        <v>123</v>
      </c>
      <c r="AL132">
        <v>-87.891396999999998</v>
      </c>
      <c r="AS132">
        <v>1</v>
      </c>
      <c r="AT132" t="s">
        <v>118</v>
      </c>
      <c r="AU132" t="b">
        <v>1</v>
      </c>
      <c r="AV132">
        <v>357.19</v>
      </c>
      <c r="AW132">
        <v>0.125</v>
      </c>
      <c r="AX132">
        <v>1</v>
      </c>
      <c r="AZ132">
        <v>7205</v>
      </c>
      <c r="BA132">
        <v>1</v>
      </c>
      <c r="BB132" t="str">
        <f t="shared" si="8"/>
        <v xml:space="preserve">KAP400  </v>
      </c>
      <c r="BC132">
        <v>1</v>
      </c>
      <c r="BE132">
        <v>0</v>
      </c>
      <c r="BF132">
        <v>0</v>
      </c>
      <c r="BG132">
        <v>0</v>
      </c>
      <c r="BI132">
        <v>1</v>
      </c>
      <c r="BJ132">
        <v>1</v>
      </c>
      <c r="BK132">
        <v>1</v>
      </c>
      <c r="BL132">
        <v>0</v>
      </c>
      <c r="BO132">
        <v>0</v>
      </c>
      <c r="BP132">
        <v>0</v>
      </c>
      <c r="BW132" t="str">
        <f>"18:59:06.132"</f>
        <v>18:59:06.132</v>
      </c>
      <c r="BX132" t="s">
        <v>119</v>
      </c>
      <c r="BY132" t="s">
        <v>120</v>
      </c>
      <c r="CJ132">
        <v>0</v>
      </c>
      <c r="CK132">
        <v>0</v>
      </c>
      <c r="CL132">
        <v>0</v>
      </c>
      <c r="CM132">
        <v>2</v>
      </c>
      <c r="CN132">
        <v>0</v>
      </c>
      <c r="CO132">
        <v>7</v>
      </c>
      <c r="CP132" t="s">
        <v>121</v>
      </c>
      <c r="CQ132">
        <v>581</v>
      </c>
      <c r="CR132">
        <v>0</v>
      </c>
      <c r="CW132">
        <v>13917246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</row>
    <row r="133" spans="1:113" x14ac:dyDescent="0.3">
      <c r="A133" t="str">
        <f>"06/16/2022 18:59:11.437"</f>
        <v>06/16/2022 18:59:11.437</v>
      </c>
      <c r="C133" t="str">
        <f t="shared" si="6"/>
        <v>FFBF5BC0</v>
      </c>
      <c r="D133" t="s">
        <v>113</v>
      </c>
      <c r="E133">
        <v>8</v>
      </c>
      <c r="H133">
        <v>206</v>
      </c>
      <c r="I133" t="s">
        <v>114</v>
      </c>
      <c r="J133" t="s">
        <v>115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>"18:59:11.242"</f>
        <v>18:59:11.242</v>
      </c>
      <c r="T133" t="str">
        <f>"18:59:11.242"</f>
        <v>18:59:11.242</v>
      </c>
      <c r="U133" t="str">
        <f t="shared" si="7"/>
        <v>AB63B2</v>
      </c>
      <c r="V133">
        <v>0</v>
      </c>
      <c r="W133">
        <v>0</v>
      </c>
      <c r="X133">
        <v>6</v>
      </c>
      <c r="Z133">
        <v>0</v>
      </c>
      <c r="AA133">
        <v>9</v>
      </c>
      <c r="AB133">
        <v>3</v>
      </c>
      <c r="AC133">
        <v>0</v>
      </c>
      <c r="AD133">
        <v>10</v>
      </c>
      <c r="AE133">
        <v>0</v>
      </c>
      <c r="AF133">
        <v>0</v>
      </c>
      <c r="AG133">
        <v>2</v>
      </c>
      <c r="AH133">
        <v>0</v>
      </c>
      <c r="AI133" t="s">
        <v>116</v>
      </c>
      <c r="AJ133">
        <v>41.991484</v>
      </c>
      <c r="AK133" t="s">
        <v>123</v>
      </c>
      <c r="AL133">
        <v>-87.891396999999998</v>
      </c>
      <c r="AS133">
        <v>1</v>
      </c>
      <c r="AT133" t="s">
        <v>118</v>
      </c>
      <c r="AU133" t="b">
        <v>1</v>
      </c>
      <c r="AV133">
        <v>357.19</v>
      </c>
      <c r="AW133">
        <v>0.125</v>
      </c>
      <c r="AX133">
        <v>1</v>
      </c>
      <c r="AZ133">
        <v>7205</v>
      </c>
      <c r="BA133">
        <v>1</v>
      </c>
      <c r="BB133" t="str">
        <f t="shared" si="8"/>
        <v xml:space="preserve">KAP400  </v>
      </c>
      <c r="BC133">
        <v>1</v>
      </c>
      <c r="BE133">
        <v>0</v>
      </c>
      <c r="BF133">
        <v>0</v>
      </c>
      <c r="BG133">
        <v>0</v>
      </c>
      <c r="BI133">
        <v>1</v>
      </c>
      <c r="BJ133">
        <v>1</v>
      </c>
      <c r="BK133">
        <v>1</v>
      </c>
      <c r="BL133">
        <v>0</v>
      </c>
      <c r="BO133">
        <v>0</v>
      </c>
      <c r="BP133">
        <v>0</v>
      </c>
      <c r="BW133" t="str">
        <f>"18:59:11.249"</f>
        <v>18:59:11.249</v>
      </c>
      <c r="BX133" t="s">
        <v>119</v>
      </c>
      <c r="BY133" t="s">
        <v>120</v>
      </c>
      <c r="CJ133">
        <v>0</v>
      </c>
      <c r="CK133">
        <v>0</v>
      </c>
      <c r="CL133">
        <v>0</v>
      </c>
      <c r="CM133">
        <v>2</v>
      </c>
      <c r="CN133">
        <v>0</v>
      </c>
      <c r="CO133">
        <v>7</v>
      </c>
      <c r="CP133" t="s">
        <v>121</v>
      </c>
      <c r="CQ133">
        <v>582</v>
      </c>
      <c r="CR133">
        <v>0</v>
      </c>
      <c r="CW133">
        <v>4937752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</row>
    <row r="134" spans="1:113" x14ac:dyDescent="0.3">
      <c r="A134" t="str">
        <f>"06/16/2022 18:59:16.497"</f>
        <v>06/16/2022 18:59:16.497</v>
      </c>
      <c r="C134" t="str">
        <f t="shared" si="6"/>
        <v>FFBF5BC0</v>
      </c>
      <c r="D134" t="s">
        <v>113</v>
      </c>
      <c r="E134">
        <v>8</v>
      </c>
      <c r="H134">
        <v>206</v>
      </c>
      <c r="I134" t="s">
        <v>114</v>
      </c>
      <c r="J134" t="s">
        <v>115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>"18:59:16.219"</f>
        <v>18:59:16.219</v>
      </c>
      <c r="T134" t="str">
        <f>"18:59:16.219"</f>
        <v>18:59:16.219</v>
      </c>
      <c r="U134" t="str">
        <f t="shared" si="7"/>
        <v>AB63B2</v>
      </c>
      <c r="V134">
        <v>0</v>
      </c>
      <c r="W134">
        <v>0</v>
      </c>
      <c r="X134">
        <v>6</v>
      </c>
      <c r="Z134">
        <v>0</v>
      </c>
      <c r="AA134">
        <v>9</v>
      </c>
      <c r="AB134">
        <v>3</v>
      </c>
      <c r="AC134">
        <v>0</v>
      </c>
      <c r="AD134">
        <v>10</v>
      </c>
      <c r="AE134">
        <v>0</v>
      </c>
      <c r="AF134">
        <v>0</v>
      </c>
      <c r="AG134">
        <v>2</v>
      </c>
      <c r="AH134">
        <v>0</v>
      </c>
      <c r="AI134" t="s">
        <v>116</v>
      </c>
      <c r="AJ134">
        <v>41.991484</v>
      </c>
      <c r="AK134" t="s">
        <v>123</v>
      </c>
      <c r="AL134">
        <v>-87.891396999999998</v>
      </c>
      <c r="AS134">
        <v>1</v>
      </c>
      <c r="AT134" t="s">
        <v>118</v>
      </c>
      <c r="AU134" t="b">
        <v>1</v>
      </c>
      <c r="AV134">
        <v>357.19</v>
      </c>
      <c r="AW134">
        <v>0.125</v>
      </c>
      <c r="AX134">
        <v>1</v>
      </c>
      <c r="AZ134">
        <v>7205</v>
      </c>
      <c r="BA134">
        <v>1</v>
      </c>
      <c r="BB134" t="str">
        <f t="shared" si="8"/>
        <v xml:space="preserve">KAP400  </v>
      </c>
      <c r="BC134">
        <v>1</v>
      </c>
      <c r="BE134">
        <v>0</v>
      </c>
      <c r="BF134">
        <v>0</v>
      </c>
      <c r="BG134">
        <v>0</v>
      </c>
      <c r="BI134">
        <v>1</v>
      </c>
      <c r="BJ134">
        <v>1</v>
      </c>
      <c r="BK134">
        <v>1</v>
      </c>
      <c r="BL134">
        <v>0</v>
      </c>
      <c r="BO134">
        <v>0</v>
      </c>
      <c r="BP134">
        <v>0</v>
      </c>
      <c r="BW134" t="str">
        <f>"18:59:16.221"</f>
        <v>18:59:16.221</v>
      </c>
      <c r="BX134" t="s">
        <v>119</v>
      </c>
      <c r="BY134" t="s">
        <v>120</v>
      </c>
      <c r="CJ134">
        <v>0</v>
      </c>
      <c r="CK134">
        <v>0</v>
      </c>
      <c r="CL134">
        <v>0</v>
      </c>
      <c r="CM134">
        <v>2</v>
      </c>
      <c r="CN134">
        <v>0</v>
      </c>
      <c r="CO134">
        <v>7</v>
      </c>
      <c r="CP134" t="s">
        <v>121</v>
      </c>
      <c r="CQ134">
        <v>581</v>
      </c>
      <c r="CR134">
        <v>0</v>
      </c>
      <c r="CW134">
        <v>13935029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</row>
    <row r="135" spans="1:113" x14ac:dyDescent="0.3">
      <c r="A135" t="str">
        <f>"06/16/2022 18:59:21.407"</f>
        <v>06/16/2022 18:59:21.407</v>
      </c>
      <c r="C135" t="str">
        <f t="shared" si="6"/>
        <v>FFBF5BC0</v>
      </c>
      <c r="D135" t="s">
        <v>113</v>
      </c>
      <c r="E135">
        <v>8</v>
      </c>
      <c r="H135">
        <v>206</v>
      </c>
      <c r="I135" t="s">
        <v>114</v>
      </c>
      <c r="J135" t="s">
        <v>115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>"18:59:21.211"</f>
        <v>18:59:21.211</v>
      </c>
      <c r="T135" t="str">
        <f>"18:59:21.211"</f>
        <v>18:59:21.211</v>
      </c>
      <c r="U135" t="str">
        <f t="shared" si="7"/>
        <v>AB63B2</v>
      </c>
      <c r="V135">
        <v>0</v>
      </c>
      <c r="W135">
        <v>0</v>
      </c>
      <c r="X135">
        <v>6</v>
      </c>
      <c r="Z135">
        <v>0</v>
      </c>
      <c r="AA135">
        <v>9</v>
      </c>
      <c r="AB135">
        <v>3</v>
      </c>
      <c r="AC135">
        <v>0</v>
      </c>
      <c r="AD135">
        <v>10</v>
      </c>
      <c r="AE135">
        <v>0</v>
      </c>
      <c r="AF135">
        <v>0</v>
      </c>
      <c r="AG135">
        <v>2</v>
      </c>
      <c r="AH135">
        <v>0</v>
      </c>
      <c r="AI135" t="s">
        <v>116</v>
      </c>
      <c r="AJ135">
        <v>41.991484</v>
      </c>
      <c r="AK135" t="s">
        <v>123</v>
      </c>
      <c r="AL135">
        <v>-87.891396999999998</v>
      </c>
      <c r="AS135">
        <v>1</v>
      </c>
      <c r="AT135" t="s">
        <v>118</v>
      </c>
      <c r="AU135" t="b">
        <v>1</v>
      </c>
      <c r="AV135">
        <v>357.19</v>
      </c>
      <c r="AW135">
        <v>0.125</v>
      </c>
      <c r="AX135">
        <v>1</v>
      </c>
      <c r="AZ135">
        <v>7205</v>
      </c>
      <c r="BA135">
        <v>1</v>
      </c>
      <c r="BB135" t="str">
        <f t="shared" si="8"/>
        <v xml:space="preserve">KAP400  </v>
      </c>
      <c r="BC135">
        <v>1</v>
      </c>
      <c r="BE135">
        <v>0</v>
      </c>
      <c r="BF135">
        <v>0</v>
      </c>
      <c r="BG135">
        <v>0</v>
      </c>
      <c r="BI135">
        <v>1</v>
      </c>
      <c r="BJ135">
        <v>1</v>
      </c>
      <c r="BK135">
        <v>1</v>
      </c>
      <c r="BL135">
        <v>0</v>
      </c>
      <c r="BO135">
        <v>0</v>
      </c>
      <c r="BP135">
        <v>0</v>
      </c>
      <c r="BW135" t="str">
        <f>"18:59:21.215"</f>
        <v>18:59:21.215</v>
      </c>
      <c r="BX135" t="s">
        <v>119</v>
      </c>
      <c r="BY135" t="s">
        <v>120</v>
      </c>
      <c r="CJ135">
        <v>0</v>
      </c>
      <c r="CK135">
        <v>0</v>
      </c>
      <c r="CL135">
        <v>0</v>
      </c>
      <c r="CM135">
        <v>2</v>
      </c>
      <c r="CN135">
        <v>0</v>
      </c>
      <c r="CO135">
        <v>7</v>
      </c>
      <c r="CP135" t="s">
        <v>121</v>
      </c>
      <c r="CQ135">
        <v>582</v>
      </c>
      <c r="CR135">
        <v>0</v>
      </c>
      <c r="CW135">
        <v>4954120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</row>
    <row r="136" spans="1:113" x14ac:dyDescent="0.3">
      <c r="A136" t="str">
        <f>"06/16/2022 18:59:26.687"</f>
        <v>06/16/2022 18:59:26.687</v>
      </c>
      <c r="C136" t="str">
        <f t="shared" si="6"/>
        <v>FFBF5BC0</v>
      </c>
      <c r="D136" t="s">
        <v>113</v>
      </c>
      <c r="E136">
        <v>8</v>
      </c>
      <c r="H136">
        <v>206</v>
      </c>
      <c r="I136" t="s">
        <v>114</v>
      </c>
      <c r="J136" t="s">
        <v>115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>"18:59:26.406"</f>
        <v>18:59:26.406</v>
      </c>
      <c r="T136" t="str">
        <f>"18:59:26.406"</f>
        <v>18:59:26.406</v>
      </c>
      <c r="U136" t="str">
        <f t="shared" si="7"/>
        <v>AB63B2</v>
      </c>
      <c r="V136">
        <v>0</v>
      </c>
      <c r="W136">
        <v>0</v>
      </c>
      <c r="X136">
        <v>6</v>
      </c>
      <c r="Z136">
        <v>0</v>
      </c>
      <c r="AA136">
        <v>9</v>
      </c>
      <c r="AB136">
        <v>3</v>
      </c>
      <c r="AC136">
        <v>0</v>
      </c>
      <c r="AD136">
        <v>10</v>
      </c>
      <c r="AE136">
        <v>0</v>
      </c>
      <c r="AF136">
        <v>0</v>
      </c>
      <c r="AG136">
        <v>2</v>
      </c>
      <c r="AH136">
        <v>0</v>
      </c>
      <c r="AI136" t="s">
        <v>116</v>
      </c>
      <c r="AJ136">
        <v>41.991484</v>
      </c>
      <c r="AK136" t="s">
        <v>123</v>
      </c>
      <c r="AL136">
        <v>-87.891396999999998</v>
      </c>
      <c r="AS136">
        <v>1</v>
      </c>
      <c r="AT136" t="s">
        <v>118</v>
      </c>
      <c r="AU136" t="b">
        <v>1</v>
      </c>
      <c r="AV136">
        <v>357.19</v>
      </c>
      <c r="AW136">
        <v>0.125</v>
      </c>
      <c r="AX136">
        <v>1</v>
      </c>
      <c r="AZ136">
        <v>7205</v>
      </c>
      <c r="BA136">
        <v>1</v>
      </c>
      <c r="BB136" t="str">
        <f t="shared" si="8"/>
        <v xml:space="preserve">KAP400  </v>
      </c>
      <c r="BC136">
        <v>1</v>
      </c>
      <c r="BE136">
        <v>0</v>
      </c>
      <c r="BF136">
        <v>0</v>
      </c>
      <c r="BG136">
        <v>0</v>
      </c>
      <c r="BI136">
        <v>1</v>
      </c>
      <c r="BJ136">
        <v>1</v>
      </c>
      <c r="BK136">
        <v>1</v>
      </c>
      <c r="BL136">
        <v>0</v>
      </c>
      <c r="BO136">
        <v>0</v>
      </c>
      <c r="BP136">
        <v>0</v>
      </c>
      <c r="BW136" t="str">
        <f>"18:59:26.411"</f>
        <v>18:59:26.411</v>
      </c>
      <c r="BX136" t="s">
        <v>119</v>
      </c>
      <c r="BY136" t="s">
        <v>120</v>
      </c>
      <c r="CJ136">
        <v>0</v>
      </c>
      <c r="CK136">
        <v>0</v>
      </c>
      <c r="CL136">
        <v>0</v>
      </c>
      <c r="CM136">
        <v>2</v>
      </c>
      <c r="CN136">
        <v>0</v>
      </c>
      <c r="CO136">
        <v>7</v>
      </c>
      <c r="CP136" t="s">
        <v>121</v>
      </c>
      <c r="CQ136">
        <v>582</v>
      </c>
      <c r="CR136">
        <v>0</v>
      </c>
      <c r="CW136">
        <v>4962507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</row>
    <row r="137" spans="1:113" x14ac:dyDescent="0.3">
      <c r="A137" t="str">
        <f>"06/16/2022 18:59:31.780"</f>
        <v>06/16/2022 18:59:31.780</v>
      </c>
      <c r="C137" t="str">
        <f t="shared" si="6"/>
        <v>FFBF5BC0</v>
      </c>
      <c r="D137" t="s">
        <v>113</v>
      </c>
      <c r="E137">
        <v>8</v>
      </c>
      <c r="H137">
        <v>206</v>
      </c>
      <c r="I137" t="s">
        <v>114</v>
      </c>
      <c r="J137" t="s">
        <v>115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>"18:59:31.555"</f>
        <v>18:59:31.555</v>
      </c>
      <c r="T137" t="str">
        <f>"18:59:31.555"</f>
        <v>18:59:31.555</v>
      </c>
      <c r="U137" t="str">
        <f t="shared" si="7"/>
        <v>AB63B2</v>
      </c>
      <c r="V137">
        <v>0</v>
      </c>
      <c r="W137">
        <v>0</v>
      </c>
      <c r="X137">
        <v>6</v>
      </c>
      <c r="Z137">
        <v>0</v>
      </c>
      <c r="AA137">
        <v>9</v>
      </c>
      <c r="AB137">
        <v>3</v>
      </c>
      <c r="AC137">
        <v>0</v>
      </c>
      <c r="AD137">
        <v>10</v>
      </c>
      <c r="AE137">
        <v>0</v>
      </c>
      <c r="AF137">
        <v>0</v>
      </c>
      <c r="AG137">
        <v>2</v>
      </c>
      <c r="AH137">
        <v>0</v>
      </c>
      <c r="AI137" t="s">
        <v>116</v>
      </c>
      <c r="AJ137">
        <v>41.991484</v>
      </c>
      <c r="AK137" t="s">
        <v>123</v>
      </c>
      <c r="AL137">
        <v>-87.891396999999998</v>
      </c>
      <c r="AS137">
        <v>1</v>
      </c>
      <c r="AT137" t="s">
        <v>118</v>
      </c>
      <c r="AU137" t="b">
        <v>1</v>
      </c>
      <c r="AV137">
        <v>357.19</v>
      </c>
      <c r="AW137">
        <v>0.125</v>
      </c>
      <c r="AX137">
        <v>1</v>
      </c>
      <c r="AZ137">
        <v>7205</v>
      </c>
      <c r="BA137">
        <v>1</v>
      </c>
      <c r="BB137" t="str">
        <f t="shared" si="8"/>
        <v xml:space="preserve">KAP400  </v>
      </c>
      <c r="BC137">
        <v>1</v>
      </c>
      <c r="BE137">
        <v>0</v>
      </c>
      <c r="BF137">
        <v>0</v>
      </c>
      <c r="BG137">
        <v>0</v>
      </c>
      <c r="BI137">
        <v>1</v>
      </c>
      <c r="BJ137">
        <v>1</v>
      </c>
      <c r="BK137">
        <v>1</v>
      </c>
      <c r="BL137">
        <v>0</v>
      </c>
      <c r="BO137">
        <v>0</v>
      </c>
      <c r="BP137">
        <v>0</v>
      </c>
      <c r="BW137" t="str">
        <f>"18:59:31.555"</f>
        <v>18:59:31.555</v>
      </c>
      <c r="BX137" t="s">
        <v>119</v>
      </c>
      <c r="BY137" t="s">
        <v>120</v>
      </c>
      <c r="CJ137">
        <v>0</v>
      </c>
      <c r="CK137">
        <v>0</v>
      </c>
      <c r="CL137">
        <v>0</v>
      </c>
      <c r="CM137">
        <v>2</v>
      </c>
      <c r="CN137">
        <v>0</v>
      </c>
      <c r="CO137">
        <v>7</v>
      </c>
      <c r="CP137" t="s">
        <v>121</v>
      </c>
      <c r="CQ137">
        <v>582</v>
      </c>
      <c r="CR137">
        <v>0</v>
      </c>
      <c r="CW137">
        <v>4970705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</row>
    <row r="138" spans="1:113" x14ac:dyDescent="0.3">
      <c r="A138" t="str">
        <f>"06/16/2022 18:59:36.796"</f>
        <v>06/16/2022 18:59:36.796</v>
      </c>
      <c r="C138" t="str">
        <f t="shared" si="6"/>
        <v>FFBF5BC0</v>
      </c>
      <c r="D138" t="s">
        <v>113</v>
      </c>
      <c r="E138">
        <v>8</v>
      </c>
      <c r="H138">
        <v>206</v>
      </c>
      <c r="I138" t="s">
        <v>114</v>
      </c>
      <c r="J138" t="s">
        <v>115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>"18:59:36.477"</f>
        <v>18:59:36.477</v>
      </c>
      <c r="T138" t="str">
        <f>"18:59:36.477"</f>
        <v>18:59:36.477</v>
      </c>
      <c r="U138" t="str">
        <f t="shared" si="7"/>
        <v>AB63B2</v>
      </c>
      <c r="V138">
        <v>0</v>
      </c>
      <c r="W138">
        <v>0</v>
      </c>
      <c r="X138">
        <v>6</v>
      </c>
      <c r="Z138">
        <v>0</v>
      </c>
      <c r="AA138">
        <v>9</v>
      </c>
      <c r="AB138">
        <v>3</v>
      </c>
      <c r="AC138">
        <v>0</v>
      </c>
      <c r="AD138">
        <v>10</v>
      </c>
      <c r="AE138">
        <v>0</v>
      </c>
      <c r="AF138">
        <v>0</v>
      </c>
      <c r="AG138">
        <v>2</v>
      </c>
      <c r="AH138">
        <v>0</v>
      </c>
      <c r="AI138" t="s">
        <v>122</v>
      </c>
      <c r="AJ138">
        <v>41.991506000000001</v>
      </c>
      <c r="AK138" t="s">
        <v>123</v>
      </c>
      <c r="AL138">
        <v>-87.891396999999998</v>
      </c>
      <c r="AS138">
        <v>1</v>
      </c>
      <c r="AT138" t="s">
        <v>118</v>
      </c>
      <c r="AU138" t="b">
        <v>1</v>
      </c>
      <c r="AV138">
        <v>357.19</v>
      </c>
      <c r="AW138">
        <v>0.125</v>
      </c>
      <c r="AX138">
        <v>1</v>
      </c>
      <c r="AZ138">
        <v>7205</v>
      </c>
      <c r="BA138">
        <v>1</v>
      </c>
      <c r="BB138" t="str">
        <f t="shared" si="8"/>
        <v xml:space="preserve">KAP400  </v>
      </c>
      <c r="BC138">
        <v>1</v>
      </c>
      <c r="BE138">
        <v>0</v>
      </c>
      <c r="BF138">
        <v>0</v>
      </c>
      <c r="BG138">
        <v>0</v>
      </c>
      <c r="BI138">
        <v>1</v>
      </c>
      <c r="BJ138">
        <v>1</v>
      </c>
      <c r="BK138">
        <v>1</v>
      </c>
      <c r="BL138">
        <v>0</v>
      </c>
      <c r="BO138">
        <v>0</v>
      </c>
      <c r="BP138">
        <v>0</v>
      </c>
      <c r="BW138" t="str">
        <f>"18:59:36.482"</f>
        <v>18:59:36.482</v>
      </c>
      <c r="BX138" t="s">
        <v>119</v>
      </c>
      <c r="BY138" t="s">
        <v>120</v>
      </c>
      <c r="CJ138">
        <v>0</v>
      </c>
      <c r="CK138">
        <v>0</v>
      </c>
      <c r="CL138">
        <v>0</v>
      </c>
      <c r="CM138">
        <v>2</v>
      </c>
      <c r="CN138">
        <v>0</v>
      </c>
      <c r="CO138">
        <v>7</v>
      </c>
      <c r="CP138" t="s">
        <v>121</v>
      </c>
      <c r="CQ138">
        <v>581</v>
      </c>
      <c r="CR138">
        <v>0</v>
      </c>
      <c r="CW138">
        <v>13970585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</row>
    <row r="139" spans="1:113" x14ac:dyDescent="0.3">
      <c r="A139" t="str">
        <f>"06/16/2022 18:59:41.813"</f>
        <v>06/16/2022 18:59:41.813</v>
      </c>
      <c r="C139" t="str">
        <f t="shared" si="6"/>
        <v>FFBF5BC0</v>
      </c>
      <c r="D139" t="s">
        <v>113</v>
      </c>
      <c r="E139">
        <v>8</v>
      </c>
      <c r="H139">
        <v>206</v>
      </c>
      <c r="I139" t="s">
        <v>114</v>
      </c>
      <c r="J139" t="s">
        <v>115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>"18:59:41.461"</f>
        <v>18:59:41.461</v>
      </c>
      <c r="T139" t="str">
        <f>"18:59:41.461"</f>
        <v>18:59:41.461</v>
      </c>
      <c r="U139" t="str">
        <f t="shared" si="7"/>
        <v>AB63B2</v>
      </c>
      <c r="V139">
        <v>0</v>
      </c>
      <c r="W139">
        <v>0</v>
      </c>
      <c r="X139">
        <v>6</v>
      </c>
      <c r="Z139">
        <v>0</v>
      </c>
      <c r="AA139">
        <v>9</v>
      </c>
      <c r="AB139">
        <v>3</v>
      </c>
      <c r="AC139">
        <v>0</v>
      </c>
      <c r="AD139">
        <v>10</v>
      </c>
      <c r="AE139">
        <v>0</v>
      </c>
      <c r="AF139">
        <v>0</v>
      </c>
      <c r="AG139">
        <v>2</v>
      </c>
      <c r="AH139">
        <v>0</v>
      </c>
      <c r="AI139" t="s">
        <v>122</v>
      </c>
      <c r="AJ139">
        <v>41.991506000000001</v>
      </c>
      <c r="AK139" t="s">
        <v>123</v>
      </c>
      <c r="AL139">
        <v>-87.891396999999998</v>
      </c>
      <c r="AS139">
        <v>1</v>
      </c>
      <c r="AT139" t="s">
        <v>118</v>
      </c>
      <c r="AU139" t="b">
        <v>1</v>
      </c>
      <c r="AV139">
        <v>357.19</v>
      </c>
      <c r="AW139">
        <v>0.125</v>
      </c>
      <c r="AX139">
        <v>1</v>
      </c>
      <c r="AZ139">
        <v>7205</v>
      </c>
      <c r="BA139">
        <v>1</v>
      </c>
      <c r="BB139" t="str">
        <f t="shared" si="8"/>
        <v xml:space="preserve">KAP400  </v>
      </c>
      <c r="BC139">
        <v>1</v>
      </c>
      <c r="BE139">
        <v>0</v>
      </c>
      <c r="BF139">
        <v>0</v>
      </c>
      <c r="BG139">
        <v>0</v>
      </c>
      <c r="BI139">
        <v>1</v>
      </c>
      <c r="BJ139">
        <v>1</v>
      </c>
      <c r="BK139">
        <v>1</v>
      </c>
      <c r="BL139">
        <v>0</v>
      </c>
      <c r="BO139">
        <v>0</v>
      </c>
      <c r="BP139">
        <v>0</v>
      </c>
      <c r="BW139" t="str">
        <f>"18:59:41.465"</f>
        <v>18:59:41.465</v>
      </c>
      <c r="BX139" t="s">
        <v>119</v>
      </c>
      <c r="BY139" t="s">
        <v>120</v>
      </c>
      <c r="CJ139">
        <v>0</v>
      </c>
      <c r="CK139">
        <v>0</v>
      </c>
      <c r="CL139">
        <v>0</v>
      </c>
      <c r="CM139">
        <v>2</v>
      </c>
      <c r="CN139">
        <v>0</v>
      </c>
      <c r="CO139">
        <v>7</v>
      </c>
      <c r="CP139" t="s">
        <v>121</v>
      </c>
      <c r="CQ139">
        <v>581</v>
      </c>
      <c r="CR139">
        <v>0</v>
      </c>
      <c r="CW139">
        <v>13979430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</row>
    <row r="140" spans="1:113" x14ac:dyDescent="0.3">
      <c r="A140" t="str">
        <f>"06/16/2022 18:59:46.498"</f>
        <v>06/16/2022 18:59:46.498</v>
      </c>
      <c r="C140" t="str">
        <f t="shared" si="6"/>
        <v>FFBF5BC0</v>
      </c>
      <c r="D140" t="s">
        <v>113</v>
      </c>
      <c r="E140">
        <v>8</v>
      </c>
      <c r="H140">
        <v>206</v>
      </c>
      <c r="I140" t="s">
        <v>114</v>
      </c>
      <c r="J140" t="s">
        <v>115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>"18:59:46.266"</f>
        <v>18:59:46.266</v>
      </c>
      <c r="T140" t="str">
        <f>"18:59:46.266"</f>
        <v>18:59:46.266</v>
      </c>
      <c r="U140" t="str">
        <f t="shared" si="7"/>
        <v>AB63B2</v>
      </c>
      <c r="V140">
        <v>0</v>
      </c>
      <c r="W140">
        <v>0</v>
      </c>
      <c r="X140">
        <v>6</v>
      </c>
      <c r="Z140">
        <v>0</v>
      </c>
      <c r="AA140">
        <v>9</v>
      </c>
      <c r="AB140">
        <v>3</v>
      </c>
      <c r="AC140">
        <v>0</v>
      </c>
      <c r="AD140">
        <v>10</v>
      </c>
      <c r="AE140">
        <v>0</v>
      </c>
      <c r="AF140">
        <v>0</v>
      </c>
      <c r="AG140">
        <v>2</v>
      </c>
      <c r="AH140">
        <v>0</v>
      </c>
      <c r="AI140" t="s">
        <v>116</v>
      </c>
      <c r="AJ140">
        <v>41.991484</v>
      </c>
      <c r="AK140" t="s">
        <v>123</v>
      </c>
      <c r="AL140">
        <v>-87.891396999999998</v>
      </c>
      <c r="AS140">
        <v>1</v>
      </c>
      <c r="AT140" t="s">
        <v>118</v>
      </c>
      <c r="AU140" t="b">
        <v>1</v>
      </c>
      <c r="AV140">
        <v>357.19</v>
      </c>
      <c r="AW140">
        <v>0.125</v>
      </c>
      <c r="AX140">
        <v>1</v>
      </c>
      <c r="AZ140">
        <v>7205</v>
      </c>
      <c r="BA140">
        <v>1</v>
      </c>
      <c r="BB140" t="str">
        <f t="shared" si="8"/>
        <v xml:space="preserve">KAP400  </v>
      </c>
      <c r="BC140">
        <v>1</v>
      </c>
      <c r="BE140">
        <v>0</v>
      </c>
      <c r="BF140">
        <v>0</v>
      </c>
      <c r="BG140">
        <v>0</v>
      </c>
      <c r="BI140">
        <v>1</v>
      </c>
      <c r="BJ140">
        <v>1</v>
      </c>
      <c r="BK140">
        <v>1</v>
      </c>
      <c r="BL140">
        <v>0</v>
      </c>
      <c r="BO140">
        <v>0</v>
      </c>
      <c r="BP140">
        <v>0</v>
      </c>
      <c r="BW140" t="str">
        <f>"18:59:46.270"</f>
        <v>18:59:46.270</v>
      </c>
      <c r="BX140" t="s">
        <v>119</v>
      </c>
      <c r="BY140" t="s">
        <v>120</v>
      </c>
      <c r="CJ140">
        <v>0</v>
      </c>
      <c r="CK140">
        <v>0</v>
      </c>
      <c r="CL140">
        <v>0</v>
      </c>
      <c r="CM140">
        <v>2</v>
      </c>
      <c r="CN140">
        <v>0</v>
      </c>
      <c r="CO140">
        <v>7</v>
      </c>
      <c r="CP140" t="s">
        <v>121</v>
      </c>
      <c r="CQ140">
        <v>581</v>
      </c>
      <c r="CR140">
        <v>0</v>
      </c>
      <c r="CW140">
        <v>13988021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</row>
    <row r="141" spans="1:113" x14ac:dyDescent="0.3">
      <c r="A141" t="str">
        <f>"06/16/2022 18:59:51.394"</f>
        <v>06/16/2022 18:59:51.394</v>
      </c>
      <c r="C141" t="str">
        <f t="shared" si="6"/>
        <v>FFBF5BC0</v>
      </c>
      <c r="D141" t="s">
        <v>113</v>
      </c>
      <c r="E141">
        <v>8</v>
      </c>
      <c r="H141">
        <v>206</v>
      </c>
      <c r="I141" t="s">
        <v>114</v>
      </c>
      <c r="J141" t="s">
        <v>115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>"18:59:51.188"</f>
        <v>18:59:51.188</v>
      </c>
      <c r="T141" t="str">
        <f>"18:59:51.188"</f>
        <v>18:59:51.188</v>
      </c>
      <c r="U141" t="str">
        <f t="shared" si="7"/>
        <v>AB63B2</v>
      </c>
      <c r="V141">
        <v>0</v>
      </c>
      <c r="W141">
        <v>0</v>
      </c>
      <c r="X141">
        <v>6</v>
      </c>
      <c r="Z141">
        <v>0</v>
      </c>
      <c r="AA141">
        <v>9</v>
      </c>
      <c r="AB141">
        <v>3</v>
      </c>
      <c r="AC141">
        <v>0</v>
      </c>
      <c r="AD141">
        <v>10</v>
      </c>
      <c r="AE141">
        <v>0</v>
      </c>
      <c r="AF141">
        <v>0</v>
      </c>
      <c r="AG141">
        <v>2</v>
      </c>
      <c r="AH141">
        <v>0</v>
      </c>
      <c r="AI141" t="s">
        <v>116</v>
      </c>
      <c r="AJ141">
        <v>41.991484</v>
      </c>
      <c r="AK141" t="s">
        <v>123</v>
      </c>
      <c r="AL141">
        <v>-87.891396999999998</v>
      </c>
      <c r="AS141">
        <v>1</v>
      </c>
      <c r="AT141" t="s">
        <v>118</v>
      </c>
      <c r="AU141" t="b">
        <v>1</v>
      </c>
      <c r="AV141">
        <v>357.19</v>
      </c>
      <c r="AW141">
        <v>0.125</v>
      </c>
      <c r="AX141">
        <v>1</v>
      </c>
      <c r="AZ141">
        <v>7205</v>
      </c>
      <c r="BA141">
        <v>1</v>
      </c>
      <c r="BB141" t="str">
        <f t="shared" si="8"/>
        <v xml:space="preserve">KAP400  </v>
      </c>
      <c r="BC141">
        <v>1</v>
      </c>
      <c r="BE141">
        <v>0</v>
      </c>
      <c r="BF141">
        <v>0</v>
      </c>
      <c r="BG141">
        <v>0</v>
      </c>
      <c r="BI141">
        <v>1</v>
      </c>
      <c r="BJ141">
        <v>1</v>
      </c>
      <c r="BK141">
        <v>1</v>
      </c>
      <c r="BL141">
        <v>0</v>
      </c>
      <c r="BO141">
        <v>0</v>
      </c>
      <c r="BP141">
        <v>0</v>
      </c>
      <c r="BW141" t="str">
        <f>"18:59:51.192"</f>
        <v>18:59:51.192</v>
      </c>
      <c r="BX141" t="s">
        <v>119</v>
      </c>
      <c r="BY141" t="s">
        <v>120</v>
      </c>
      <c r="CJ141">
        <v>0</v>
      </c>
      <c r="CK141">
        <v>0</v>
      </c>
      <c r="CL141">
        <v>0</v>
      </c>
      <c r="CM141">
        <v>2</v>
      </c>
      <c r="CN141">
        <v>0</v>
      </c>
      <c r="CO141">
        <v>7</v>
      </c>
      <c r="CP141" t="s">
        <v>121</v>
      </c>
      <c r="CQ141">
        <v>582</v>
      </c>
      <c r="CR141">
        <v>0</v>
      </c>
      <c r="CW141">
        <v>5002428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</row>
    <row r="142" spans="1:113" x14ac:dyDescent="0.3">
      <c r="A142" t="str">
        <f>"06/16/2022 19:02:37.843"</f>
        <v>06/16/2022 19:02:37.843</v>
      </c>
      <c r="C142" t="str">
        <f t="shared" si="6"/>
        <v>FFBF5BC0</v>
      </c>
      <c r="D142" t="s">
        <v>113</v>
      </c>
      <c r="E142">
        <v>8</v>
      </c>
      <c r="H142">
        <v>206</v>
      </c>
      <c r="I142" t="s">
        <v>114</v>
      </c>
      <c r="J142" t="s">
        <v>115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>"19:02:37.578"</f>
        <v>19:02:37.578</v>
      </c>
      <c r="T142" t="str">
        <f>"19:02:37.578"</f>
        <v>19:02:37.578</v>
      </c>
      <c r="U142" t="str">
        <f t="shared" si="7"/>
        <v>AB63B2</v>
      </c>
      <c r="V142">
        <v>0</v>
      </c>
      <c r="W142">
        <v>0</v>
      </c>
      <c r="X142">
        <v>6</v>
      </c>
      <c r="Z142">
        <v>0</v>
      </c>
      <c r="AA142">
        <v>9</v>
      </c>
      <c r="AB142">
        <v>3</v>
      </c>
      <c r="AC142">
        <v>0</v>
      </c>
      <c r="AD142">
        <v>10</v>
      </c>
      <c r="AE142">
        <v>0</v>
      </c>
      <c r="AF142">
        <v>0</v>
      </c>
      <c r="AG142">
        <v>2</v>
      </c>
      <c r="AH142">
        <v>0</v>
      </c>
      <c r="AI142" t="s">
        <v>122</v>
      </c>
      <c r="AJ142">
        <v>41.991506000000001</v>
      </c>
      <c r="AK142" t="s">
        <v>124</v>
      </c>
      <c r="AL142">
        <v>-87.894808999999995</v>
      </c>
      <c r="AS142">
        <v>1</v>
      </c>
      <c r="AT142" t="s">
        <v>118</v>
      </c>
      <c r="AU142" t="b">
        <v>1</v>
      </c>
      <c r="AV142">
        <v>208.13</v>
      </c>
      <c r="AW142">
        <v>6.125</v>
      </c>
      <c r="AX142">
        <v>1</v>
      </c>
      <c r="AZ142">
        <v>7205</v>
      </c>
      <c r="BA142">
        <v>1</v>
      </c>
      <c r="BB142" t="str">
        <f t="shared" si="8"/>
        <v xml:space="preserve">KAP400  </v>
      </c>
      <c r="BC142">
        <v>1</v>
      </c>
      <c r="BE142">
        <v>0</v>
      </c>
      <c r="BF142">
        <v>0</v>
      </c>
      <c r="BG142">
        <v>0</v>
      </c>
      <c r="BI142">
        <v>1</v>
      </c>
      <c r="BJ142">
        <v>1</v>
      </c>
      <c r="BK142">
        <v>1</v>
      </c>
      <c r="BL142">
        <v>0</v>
      </c>
      <c r="BO142">
        <v>0</v>
      </c>
      <c r="BP142">
        <v>0</v>
      </c>
      <c r="BW142" t="str">
        <f>"19:02:37.586"</f>
        <v>19:02:37.586</v>
      </c>
      <c r="BX142" t="s">
        <v>119</v>
      </c>
      <c r="BY142" t="s">
        <v>120</v>
      </c>
      <c r="CJ142">
        <v>0</v>
      </c>
      <c r="CK142">
        <v>0</v>
      </c>
      <c r="CL142">
        <v>0</v>
      </c>
      <c r="CM142">
        <v>2</v>
      </c>
      <c r="CN142">
        <v>0</v>
      </c>
      <c r="CO142">
        <v>5</v>
      </c>
      <c r="CP142" t="s">
        <v>121</v>
      </c>
      <c r="CQ142">
        <v>579</v>
      </c>
      <c r="CR142">
        <v>0</v>
      </c>
      <c r="CW142">
        <v>151662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</row>
    <row r="143" spans="1:113" x14ac:dyDescent="0.3">
      <c r="A143" t="str">
        <f>"06/16/2022 19:02:39.406"</f>
        <v>06/16/2022 19:02:39.406</v>
      </c>
      <c r="C143" t="str">
        <f t="shared" si="6"/>
        <v>FFBF5BC0</v>
      </c>
      <c r="D143" t="s">
        <v>113</v>
      </c>
      <c r="E143">
        <v>8</v>
      </c>
      <c r="H143">
        <v>206</v>
      </c>
      <c r="I143" t="s">
        <v>114</v>
      </c>
      <c r="J143" t="s">
        <v>115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>"19:02:39.109"</f>
        <v>19:02:39.109</v>
      </c>
      <c r="T143" t="str">
        <f>"19:02:39.109"</f>
        <v>19:02:39.109</v>
      </c>
      <c r="U143" t="str">
        <f t="shared" si="7"/>
        <v>AB63B2</v>
      </c>
      <c r="V143">
        <v>0</v>
      </c>
      <c r="W143">
        <v>0</v>
      </c>
      <c r="X143">
        <v>6</v>
      </c>
      <c r="Z143">
        <v>0</v>
      </c>
      <c r="AA143">
        <v>9</v>
      </c>
      <c r="AB143">
        <v>3</v>
      </c>
      <c r="AC143">
        <v>0</v>
      </c>
      <c r="AD143">
        <v>10</v>
      </c>
      <c r="AE143">
        <v>0</v>
      </c>
      <c r="AF143">
        <v>0</v>
      </c>
      <c r="AG143">
        <v>2</v>
      </c>
      <c r="AH143">
        <v>0</v>
      </c>
      <c r="AI143" t="s">
        <v>116</v>
      </c>
      <c r="AJ143">
        <v>41.991484</v>
      </c>
      <c r="AK143" t="s">
        <v>125</v>
      </c>
      <c r="AL143">
        <v>-87.894830999999996</v>
      </c>
      <c r="AS143">
        <v>1</v>
      </c>
      <c r="AT143" t="s">
        <v>118</v>
      </c>
      <c r="AU143" t="b">
        <v>1</v>
      </c>
      <c r="AV143">
        <v>205.31</v>
      </c>
      <c r="AW143">
        <v>6.125</v>
      </c>
      <c r="AX143">
        <v>1</v>
      </c>
      <c r="AZ143">
        <v>7205</v>
      </c>
      <c r="BA143">
        <v>1</v>
      </c>
      <c r="BB143" t="str">
        <f t="shared" si="8"/>
        <v xml:space="preserve">KAP400  </v>
      </c>
      <c r="BC143">
        <v>1</v>
      </c>
      <c r="BE143">
        <v>0</v>
      </c>
      <c r="BF143">
        <v>0</v>
      </c>
      <c r="BG143">
        <v>0</v>
      </c>
      <c r="BI143">
        <v>1</v>
      </c>
      <c r="BJ143">
        <v>1</v>
      </c>
      <c r="BK143">
        <v>1</v>
      </c>
      <c r="BL143">
        <v>0</v>
      </c>
      <c r="BO143">
        <v>0</v>
      </c>
      <c r="BP143">
        <v>0</v>
      </c>
      <c r="BW143" t="str">
        <f>"19:02:39.111"</f>
        <v>19:02:39.111</v>
      </c>
      <c r="BX143" t="s">
        <v>119</v>
      </c>
      <c r="BY143" t="s">
        <v>120</v>
      </c>
      <c r="CJ143">
        <v>0</v>
      </c>
      <c r="CK143">
        <v>0</v>
      </c>
      <c r="CL143">
        <v>0</v>
      </c>
      <c r="CM143">
        <v>2</v>
      </c>
      <c r="CN143">
        <v>0</v>
      </c>
      <c r="CO143">
        <v>5</v>
      </c>
      <c r="CP143" t="s">
        <v>121</v>
      </c>
      <c r="CQ143">
        <v>580</v>
      </c>
      <c r="CR143">
        <v>0</v>
      </c>
      <c r="CW143">
        <v>15903594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</row>
    <row r="144" spans="1:113" x14ac:dyDescent="0.3">
      <c r="A144" t="str">
        <f>"06/16/2022 19:02:40.437"</f>
        <v>06/16/2022 19:02:40.437</v>
      </c>
      <c r="C144" t="str">
        <f t="shared" si="6"/>
        <v>FFBF5BC0</v>
      </c>
      <c r="D144" t="s">
        <v>113</v>
      </c>
      <c r="E144">
        <v>8</v>
      </c>
      <c r="H144">
        <v>206</v>
      </c>
      <c r="I144" t="s">
        <v>114</v>
      </c>
      <c r="J144" t="s">
        <v>115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>"19:02:40.211"</f>
        <v>19:02:40.211</v>
      </c>
      <c r="T144" t="str">
        <f>"19:02:40.211"</f>
        <v>19:02:40.211</v>
      </c>
      <c r="U144" t="str">
        <f t="shared" si="7"/>
        <v>AB63B2</v>
      </c>
      <c r="V144">
        <v>0</v>
      </c>
      <c r="W144">
        <v>0</v>
      </c>
      <c r="X144">
        <v>6</v>
      </c>
      <c r="Z144">
        <v>0</v>
      </c>
      <c r="AA144">
        <v>9</v>
      </c>
      <c r="AB144">
        <v>3</v>
      </c>
      <c r="AC144">
        <v>0</v>
      </c>
      <c r="AD144">
        <v>10</v>
      </c>
      <c r="AE144">
        <v>0</v>
      </c>
      <c r="AF144">
        <v>0</v>
      </c>
      <c r="AG144">
        <v>2</v>
      </c>
      <c r="AH144">
        <v>0</v>
      </c>
      <c r="AI144" t="s">
        <v>126</v>
      </c>
      <c r="AJ144">
        <v>41.991463000000003</v>
      </c>
      <c r="AK144" t="s">
        <v>127</v>
      </c>
      <c r="AL144">
        <v>-87.894852</v>
      </c>
      <c r="AS144">
        <v>1</v>
      </c>
      <c r="AT144" t="s">
        <v>118</v>
      </c>
      <c r="AU144" t="b">
        <v>1</v>
      </c>
      <c r="AV144">
        <v>199.69</v>
      </c>
      <c r="AW144">
        <v>6.125</v>
      </c>
      <c r="AX144">
        <v>1</v>
      </c>
      <c r="AZ144">
        <v>7205</v>
      </c>
      <c r="BA144">
        <v>1</v>
      </c>
      <c r="BB144" t="str">
        <f t="shared" si="8"/>
        <v xml:space="preserve">KAP400  </v>
      </c>
      <c r="BC144">
        <v>1</v>
      </c>
      <c r="BE144">
        <v>0</v>
      </c>
      <c r="BF144">
        <v>0</v>
      </c>
      <c r="BG144">
        <v>0</v>
      </c>
      <c r="BI144">
        <v>1</v>
      </c>
      <c r="BJ144">
        <v>1</v>
      </c>
      <c r="BK144">
        <v>1</v>
      </c>
      <c r="BL144">
        <v>0</v>
      </c>
      <c r="BO144">
        <v>0</v>
      </c>
      <c r="BP144">
        <v>0</v>
      </c>
      <c r="BW144" t="str">
        <f>"19:02:40.215"</f>
        <v>19:02:40.215</v>
      </c>
      <c r="BX144" t="s">
        <v>119</v>
      </c>
      <c r="BY144" t="s">
        <v>120</v>
      </c>
      <c r="CJ144">
        <v>0</v>
      </c>
      <c r="CK144">
        <v>0</v>
      </c>
      <c r="CL144">
        <v>0</v>
      </c>
      <c r="CM144">
        <v>2</v>
      </c>
      <c r="CN144">
        <v>0</v>
      </c>
      <c r="CO144">
        <v>6</v>
      </c>
      <c r="CP144" t="s">
        <v>121</v>
      </c>
      <c r="CQ144">
        <v>582</v>
      </c>
      <c r="CR144">
        <v>0</v>
      </c>
      <c r="CW144">
        <v>5285512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</row>
    <row r="145" spans="1:113" x14ac:dyDescent="0.3">
      <c r="A145" t="str">
        <f>"06/16/2022 19:02:41.516"</f>
        <v>06/16/2022 19:02:41.516</v>
      </c>
      <c r="C145" t="str">
        <f t="shared" si="6"/>
        <v>FFBF5BC0</v>
      </c>
      <c r="D145" t="s">
        <v>113</v>
      </c>
      <c r="E145">
        <v>8</v>
      </c>
      <c r="H145">
        <v>206</v>
      </c>
      <c r="I145" t="s">
        <v>114</v>
      </c>
      <c r="J145" t="s">
        <v>115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>"19:02:41.273"</f>
        <v>19:02:41.273</v>
      </c>
      <c r="T145" t="str">
        <f>"19:02:41.273"</f>
        <v>19:02:41.273</v>
      </c>
      <c r="U145" t="str">
        <f t="shared" si="7"/>
        <v>AB63B2</v>
      </c>
      <c r="V145">
        <v>0</v>
      </c>
      <c r="W145">
        <v>0</v>
      </c>
      <c r="X145">
        <v>6</v>
      </c>
      <c r="Z145">
        <v>0</v>
      </c>
      <c r="AA145">
        <v>9</v>
      </c>
      <c r="AB145">
        <v>3</v>
      </c>
      <c r="AC145">
        <v>0</v>
      </c>
      <c r="AD145">
        <v>10</v>
      </c>
      <c r="AE145">
        <v>0</v>
      </c>
      <c r="AF145">
        <v>0</v>
      </c>
      <c r="AG145">
        <v>2</v>
      </c>
      <c r="AH145">
        <v>0</v>
      </c>
      <c r="AI145" t="s">
        <v>128</v>
      </c>
      <c r="AJ145">
        <v>41.991419999999998</v>
      </c>
      <c r="AK145" t="s">
        <v>129</v>
      </c>
      <c r="AL145">
        <v>-87.894874000000002</v>
      </c>
      <c r="AS145">
        <v>1</v>
      </c>
      <c r="AT145" t="s">
        <v>118</v>
      </c>
      <c r="AU145" t="b">
        <v>1</v>
      </c>
      <c r="AV145">
        <v>194.06</v>
      </c>
      <c r="AW145">
        <v>6.625</v>
      </c>
      <c r="AX145">
        <v>1</v>
      </c>
      <c r="AZ145">
        <v>7205</v>
      </c>
      <c r="BA145">
        <v>1</v>
      </c>
      <c r="BB145" t="str">
        <f t="shared" si="8"/>
        <v xml:space="preserve">KAP400  </v>
      </c>
      <c r="BC145">
        <v>1</v>
      </c>
      <c r="BE145">
        <v>0</v>
      </c>
      <c r="BF145">
        <v>0</v>
      </c>
      <c r="BG145">
        <v>0</v>
      </c>
      <c r="BI145">
        <v>1</v>
      </c>
      <c r="BJ145">
        <v>1</v>
      </c>
      <c r="BK145">
        <v>1</v>
      </c>
      <c r="BL145">
        <v>0</v>
      </c>
      <c r="BO145">
        <v>0</v>
      </c>
      <c r="BP145">
        <v>0</v>
      </c>
      <c r="BW145" t="str">
        <f>"19:02:41.274"</f>
        <v>19:02:41.274</v>
      </c>
      <c r="BX145" t="s">
        <v>119</v>
      </c>
      <c r="BY145" t="s">
        <v>120</v>
      </c>
      <c r="CJ145">
        <v>0</v>
      </c>
      <c r="CK145">
        <v>0</v>
      </c>
      <c r="CL145">
        <v>0</v>
      </c>
      <c r="CM145">
        <v>2</v>
      </c>
      <c r="CN145">
        <v>0</v>
      </c>
      <c r="CO145">
        <v>5</v>
      </c>
      <c r="CP145" t="s">
        <v>121</v>
      </c>
      <c r="CQ145">
        <v>579</v>
      </c>
      <c r="CR145">
        <v>0</v>
      </c>
      <c r="CW145">
        <v>159901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</row>
    <row r="146" spans="1:113" x14ac:dyDescent="0.3">
      <c r="A146" t="str">
        <f>"06/16/2022 19:02:43.441"</f>
        <v>06/16/2022 19:02:43.441</v>
      </c>
      <c r="C146" t="str">
        <f t="shared" si="6"/>
        <v>FFBF5BC0</v>
      </c>
      <c r="D146" t="s">
        <v>113</v>
      </c>
      <c r="E146">
        <v>8</v>
      </c>
      <c r="H146">
        <v>206</v>
      </c>
      <c r="I146" t="s">
        <v>114</v>
      </c>
      <c r="J146" t="s">
        <v>115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>"19:02:43.227"</f>
        <v>19:02:43.227</v>
      </c>
      <c r="T146" t="str">
        <f>"19:02:43.227"</f>
        <v>19:02:43.227</v>
      </c>
      <c r="U146" t="str">
        <f t="shared" si="7"/>
        <v>AB63B2</v>
      </c>
      <c r="V146">
        <v>0</v>
      </c>
      <c r="W146">
        <v>0</v>
      </c>
      <c r="X146">
        <v>6</v>
      </c>
      <c r="Z146">
        <v>0</v>
      </c>
      <c r="AA146">
        <v>9</v>
      </c>
      <c r="AB146">
        <v>3</v>
      </c>
      <c r="AC146">
        <v>0</v>
      </c>
      <c r="AD146">
        <v>10</v>
      </c>
      <c r="AE146">
        <v>0</v>
      </c>
      <c r="AF146">
        <v>0</v>
      </c>
      <c r="AG146">
        <v>2</v>
      </c>
      <c r="AH146">
        <v>0</v>
      </c>
      <c r="AI146" t="s">
        <v>130</v>
      </c>
      <c r="AJ146">
        <v>41.991377</v>
      </c>
      <c r="AK146" t="s">
        <v>131</v>
      </c>
      <c r="AL146">
        <v>-87.894895000000005</v>
      </c>
      <c r="AS146">
        <v>1</v>
      </c>
      <c r="AT146" t="s">
        <v>118</v>
      </c>
      <c r="AU146" t="b">
        <v>1</v>
      </c>
      <c r="AV146">
        <v>191.25</v>
      </c>
      <c r="AW146">
        <v>7.125</v>
      </c>
      <c r="AX146">
        <v>1</v>
      </c>
      <c r="AZ146">
        <v>7205</v>
      </c>
      <c r="BA146">
        <v>1</v>
      </c>
      <c r="BB146" t="str">
        <f t="shared" si="8"/>
        <v xml:space="preserve">KAP400  </v>
      </c>
      <c r="BC146">
        <v>1</v>
      </c>
      <c r="BE146">
        <v>0</v>
      </c>
      <c r="BF146">
        <v>0</v>
      </c>
      <c r="BG146">
        <v>0</v>
      </c>
      <c r="BI146">
        <v>1</v>
      </c>
      <c r="BJ146">
        <v>1</v>
      </c>
      <c r="BK146">
        <v>1</v>
      </c>
      <c r="BL146">
        <v>0</v>
      </c>
      <c r="BO146">
        <v>0</v>
      </c>
      <c r="BP146">
        <v>0</v>
      </c>
      <c r="BW146" t="str">
        <f>"19:02:43.229"</f>
        <v>19:02:43.229</v>
      </c>
      <c r="BX146" t="s">
        <v>119</v>
      </c>
      <c r="BY146" t="s">
        <v>120</v>
      </c>
      <c r="CJ146">
        <v>0</v>
      </c>
      <c r="CK146">
        <v>0</v>
      </c>
      <c r="CL146">
        <v>0</v>
      </c>
      <c r="CM146">
        <v>2</v>
      </c>
      <c r="CN146">
        <v>0</v>
      </c>
      <c r="CO146">
        <v>5</v>
      </c>
      <c r="CP146" t="s">
        <v>121</v>
      </c>
      <c r="CQ146">
        <v>580</v>
      </c>
      <c r="CR146">
        <v>0</v>
      </c>
      <c r="CW146">
        <v>15911887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</row>
    <row r="147" spans="1:113" x14ac:dyDescent="0.3">
      <c r="A147" t="str">
        <f>"06/16/2022 19:02:45.504"</f>
        <v>06/16/2022 19:02:45.504</v>
      </c>
      <c r="C147" t="str">
        <f t="shared" si="6"/>
        <v>FFBF5BC0</v>
      </c>
      <c r="D147" t="s">
        <v>113</v>
      </c>
      <c r="E147">
        <v>8</v>
      </c>
      <c r="H147">
        <v>206</v>
      </c>
      <c r="I147" t="s">
        <v>114</v>
      </c>
      <c r="J147" t="s">
        <v>115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>"19:02:45.281"</f>
        <v>19:02:45.281</v>
      </c>
      <c r="T147" t="str">
        <f>"19:02:45.281"</f>
        <v>19:02:45.281</v>
      </c>
      <c r="U147" t="str">
        <f t="shared" si="7"/>
        <v>AB63B2</v>
      </c>
      <c r="V147">
        <v>0</v>
      </c>
      <c r="W147">
        <v>0</v>
      </c>
      <c r="X147">
        <v>6</v>
      </c>
      <c r="Z147">
        <v>0</v>
      </c>
      <c r="AA147">
        <v>9</v>
      </c>
      <c r="AB147">
        <v>3</v>
      </c>
      <c r="AC147">
        <v>0</v>
      </c>
      <c r="AD147">
        <v>10</v>
      </c>
      <c r="AE147">
        <v>0</v>
      </c>
      <c r="AF147">
        <v>0</v>
      </c>
      <c r="AG147">
        <v>2</v>
      </c>
      <c r="AH147">
        <v>0</v>
      </c>
      <c r="AI147" t="s">
        <v>132</v>
      </c>
      <c r="AJ147">
        <v>41.991312999999998</v>
      </c>
      <c r="AK147" t="s">
        <v>131</v>
      </c>
      <c r="AL147">
        <v>-87.894895000000005</v>
      </c>
      <c r="AS147">
        <v>1</v>
      </c>
      <c r="AT147" t="s">
        <v>118</v>
      </c>
      <c r="AU147" t="b">
        <v>1</v>
      </c>
      <c r="AV147">
        <v>188.44</v>
      </c>
      <c r="AW147">
        <v>7.625</v>
      </c>
      <c r="AX147">
        <v>1</v>
      </c>
      <c r="AZ147">
        <v>7205</v>
      </c>
      <c r="BA147">
        <v>1</v>
      </c>
      <c r="BB147" t="str">
        <f t="shared" si="8"/>
        <v xml:space="preserve">KAP400  </v>
      </c>
      <c r="BC147">
        <v>1</v>
      </c>
      <c r="BE147">
        <v>0</v>
      </c>
      <c r="BF147">
        <v>0</v>
      </c>
      <c r="BG147">
        <v>0</v>
      </c>
      <c r="BI147">
        <v>1</v>
      </c>
      <c r="BJ147">
        <v>1</v>
      </c>
      <c r="BK147">
        <v>1</v>
      </c>
      <c r="BL147">
        <v>0</v>
      </c>
      <c r="BO147">
        <v>0</v>
      </c>
      <c r="BP147">
        <v>0</v>
      </c>
      <c r="BW147" t="str">
        <f>"19:02:45.288"</f>
        <v>19:02:45.288</v>
      </c>
      <c r="BX147" t="s">
        <v>119</v>
      </c>
      <c r="BY147" t="s">
        <v>120</v>
      </c>
      <c r="CJ147">
        <v>0</v>
      </c>
      <c r="CK147">
        <v>0</v>
      </c>
      <c r="CL147">
        <v>0</v>
      </c>
      <c r="CM147">
        <v>2</v>
      </c>
      <c r="CN147">
        <v>0</v>
      </c>
      <c r="CO147">
        <v>5</v>
      </c>
      <c r="CP147" t="s">
        <v>121</v>
      </c>
      <c r="CQ147">
        <v>581</v>
      </c>
      <c r="CR147">
        <v>0</v>
      </c>
      <c r="CW147">
        <v>14304120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</row>
    <row r="148" spans="1:113" x14ac:dyDescent="0.3">
      <c r="A148" t="str">
        <f>"06/16/2022 19:02:46.411"</f>
        <v>06/16/2022 19:02:46.411</v>
      </c>
      <c r="C148" t="str">
        <f t="shared" si="6"/>
        <v>FFBF5BC0</v>
      </c>
      <c r="D148" t="s">
        <v>113</v>
      </c>
      <c r="E148">
        <v>8</v>
      </c>
      <c r="H148">
        <v>206</v>
      </c>
      <c r="I148" t="s">
        <v>114</v>
      </c>
      <c r="J148" t="s">
        <v>115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>"19:02:46.195"</f>
        <v>19:02:46.195</v>
      </c>
      <c r="T148" t="str">
        <f>"19:02:46.195"</f>
        <v>19:02:46.195</v>
      </c>
      <c r="U148" t="str">
        <f t="shared" si="7"/>
        <v>AB63B2</v>
      </c>
      <c r="V148">
        <v>0</v>
      </c>
      <c r="W148">
        <v>0</v>
      </c>
      <c r="X148">
        <v>6</v>
      </c>
      <c r="Z148">
        <v>0</v>
      </c>
      <c r="AA148">
        <v>9</v>
      </c>
      <c r="AB148">
        <v>3</v>
      </c>
      <c r="AC148">
        <v>0</v>
      </c>
      <c r="AD148">
        <v>10</v>
      </c>
      <c r="AE148">
        <v>0</v>
      </c>
      <c r="AF148">
        <v>0</v>
      </c>
      <c r="AG148">
        <v>2</v>
      </c>
      <c r="AH148">
        <v>0</v>
      </c>
      <c r="AI148" t="s">
        <v>133</v>
      </c>
      <c r="AJ148">
        <v>41.99127</v>
      </c>
      <c r="AK148" t="s">
        <v>131</v>
      </c>
      <c r="AL148">
        <v>-87.894895000000005</v>
      </c>
      <c r="AS148">
        <v>1</v>
      </c>
      <c r="AT148" t="s">
        <v>118</v>
      </c>
      <c r="AU148" t="b">
        <v>1</v>
      </c>
      <c r="AV148">
        <v>188.44</v>
      </c>
      <c r="AW148">
        <v>7.625</v>
      </c>
      <c r="AX148">
        <v>1</v>
      </c>
      <c r="AZ148">
        <v>7205</v>
      </c>
      <c r="BA148">
        <v>1</v>
      </c>
      <c r="BB148" t="str">
        <f t="shared" si="8"/>
        <v xml:space="preserve">KAP400  </v>
      </c>
      <c r="BC148">
        <v>1</v>
      </c>
      <c r="BE148">
        <v>0</v>
      </c>
      <c r="BF148">
        <v>0</v>
      </c>
      <c r="BG148">
        <v>0</v>
      </c>
      <c r="BI148">
        <v>1</v>
      </c>
      <c r="BJ148">
        <v>1</v>
      </c>
      <c r="BK148">
        <v>1</v>
      </c>
      <c r="BL148">
        <v>0</v>
      </c>
      <c r="BO148">
        <v>0</v>
      </c>
      <c r="BP148">
        <v>0</v>
      </c>
      <c r="BW148" t="str">
        <f>"19:02:46.202"</f>
        <v>19:02:46.202</v>
      </c>
      <c r="BX148" t="s">
        <v>119</v>
      </c>
      <c r="BY148" t="s">
        <v>120</v>
      </c>
      <c r="CJ148">
        <v>0</v>
      </c>
      <c r="CK148">
        <v>0</v>
      </c>
      <c r="CL148">
        <v>0</v>
      </c>
      <c r="CM148">
        <v>2</v>
      </c>
      <c r="CN148">
        <v>0</v>
      </c>
      <c r="CO148">
        <v>5</v>
      </c>
      <c r="CP148" t="s">
        <v>121</v>
      </c>
      <c r="CQ148">
        <v>580</v>
      </c>
      <c r="CR148">
        <v>0</v>
      </c>
      <c r="CW148">
        <v>15918033</v>
      </c>
      <c r="CY148">
        <v>0</v>
      </c>
      <c r="CZ148">
        <v>0</v>
      </c>
      <c r="DA148">
        <v>0</v>
      </c>
      <c r="DB148">
        <v>1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</row>
    <row r="149" spans="1:113" x14ac:dyDescent="0.3">
      <c r="A149" t="str">
        <f>"06/16/2022 19:02:47.452"</f>
        <v>06/16/2022 19:02:47.452</v>
      </c>
      <c r="C149" t="str">
        <f t="shared" si="6"/>
        <v>FFBF5BC0</v>
      </c>
      <c r="D149" t="s">
        <v>113</v>
      </c>
      <c r="E149">
        <v>8</v>
      </c>
      <c r="H149">
        <v>206</v>
      </c>
      <c r="I149" t="s">
        <v>114</v>
      </c>
      <c r="J149" t="s">
        <v>115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>"19:02:47.156"</f>
        <v>19:02:47.156</v>
      </c>
      <c r="T149" t="str">
        <f>"19:02:47.156"</f>
        <v>19:02:47.156</v>
      </c>
      <c r="U149" t="str">
        <f t="shared" si="7"/>
        <v>AB63B2</v>
      </c>
      <c r="V149">
        <v>0</v>
      </c>
      <c r="W149">
        <v>0</v>
      </c>
      <c r="X149">
        <v>6</v>
      </c>
      <c r="Z149">
        <v>0</v>
      </c>
      <c r="AA149">
        <v>9</v>
      </c>
      <c r="AB149">
        <v>3</v>
      </c>
      <c r="AC149">
        <v>0</v>
      </c>
      <c r="AD149">
        <v>10</v>
      </c>
      <c r="AE149">
        <v>0</v>
      </c>
      <c r="AF149">
        <v>0</v>
      </c>
      <c r="AG149">
        <v>2</v>
      </c>
      <c r="AH149">
        <v>0</v>
      </c>
      <c r="AI149" t="s">
        <v>134</v>
      </c>
      <c r="AJ149">
        <v>41.991227000000002</v>
      </c>
      <c r="AK149" t="s">
        <v>131</v>
      </c>
      <c r="AL149">
        <v>-87.894895000000005</v>
      </c>
      <c r="AS149">
        <v>1</v>
      </c>
      <c r="AT149" t="s">
        <v>118</v>
      </c>
      <c r="AU149" t="b">
        <v>1</v>
      </c>
      <c r="AV149">
        <v>185.63</v>
      </c>
      <c r="AW149">
        <v>7.625</v>
      </c>
      <c r="AX149">
        <v>1</v>
      </c>
      <c r="AZ149">
        <v>7205</v>
      </c>
      <c r="BA149">
        <v>1</v>
      </c>
      <c r="BB149" t="str">
        <f t="shared" si="8"/>
        <v xml:space="preserve">KAP400  </v>
      </c>
      <c r="BC149">
        <v>1</v>
      </c>
      <c r="BE149">
        <v>0</v>
      </c>
      <c r="BF149">
        <v>0</v>
      </c>
      <c r="BG149">
        <v>0</v>
      </c>
      <c r="BI149">
        <v>1</v>
      </c>
      <c r="BJ149">
        <v>1</v>
      </c>
      <c r="BK149">
        <v>1</v>
      </c>
      <c r="BL149">
        <v>0</v>
      </c>
      <c r="BO149">
        <v>0</v>
      </c>
      <c r="BP149">
        <v>0</v>
      </c>
      <c r="BW149" t="str">
        <f>"19:02:47.159"</f>
        <v>19:02:47.159</v>
      </c>
      <c r="BX149" t="s">
        <v>119</v>
      </c>
      <c r="BY149" t="s">
        <v>120</v>
      </c>
      <c r="CJ149">
        <v>0</v>
      </c>
      <c r="CK149">
        <v>0</v>
      </c>
      <c r="CL149">
        <v>0</v>
      </c>
      <c r="CM149">
        <v>2</v>
      </c>
      <c r="CN149">
        <v>0</v>
      </c>
      <c r="CO149">
        <v>5</v>
      </c>
      <c r="CP149" t="s">
        <v>121</v>
      </c>
      <c r="CQ149">
        <v>579</v>
      </c>
      <c r="CR149">
        <v>0</v>
      </c>
      <c r="CW149">
        <v>172759</v>
      </c>
      <c r="CY149">
        <v>0</v>
      </c>
      <c r="CZ149">
        <v>0</v>
      </c>
      <c r="DA149">
        <v>0</v>
      </c>
      <c r="DB149">
        <v>1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</row>
    <row r="150" spans="1:113" x14ac:dyDescent="0.3">
      <c r="A150" t="str">
        <f>"06/16/2022 19:02:48.374"</f>
        <v>06/16/2022 19:02:48.374</v>
      </c>
      <c r="C150" t="str">
        <f t="shared" si="6"/>
        <v>FFBF5BC0</v>
      </c>
      <c r="D150" t="s">
        <v>113</v>
      </c>
      <c r="E150">
        <v>8</v>
      </c>
      <c r="H150">
        <v>206</v>
      </c>
      <c r="I150" t="s">
        <v>114</v>
      </c>
      <c r="J150" t="s">
        <v>115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>"19:02:48.078"</f>
        <v>19:02:48.078</v>
      </c>
      <c r="T150" t="str">
        <f>"19:02:48.078"</f>
        <v>19:02:48.078</v>
      </c>
      <c r="U150" t="str">
        <f t="shared" si="7"/>
        <v>AB63B2</v>
      </c>
      <c r="V150">
        <v>0</v>
      </c>
      <c r="W150">
        <v>0</v>
      </c>
      <c r="X150">
        <v>6</v>
      </c>
      <c r="Z150">
        <v>0</v>
      </c>
      <c r="AA150">
        <v>9</v>
      </c>
      <c r="AB150">
        <v>3</v>
      </c>
      <c r="AC150">
        <v>0</v>
      </c>
      <c r="AD150">
        <v>10</v>
      </c>
      <c r="AE150">
        <v>0</v>
      </c>
      <c r="AF150">
        <v>0</v>
      </c>
      <c r="AG150">
        <v>2</v>
      </c>
      <c r="AH150">
        <v>0</v>
      </c>
      <c r="AI150" t="s">
        <v>135</v>
      </c>
      <c r="AJ150">
        <v>41.991205000000001</v>
      </c>
      <c r="AK150" t="s">
        <v>136</v>
      </c>
      <c r="AL150">
        <v>-87.894917000000007</v>
      </c>
      <c r="AS150">
        <v>1</v>
      </c>
      <c r="AT150" t="s">
        <v>118</v>
      </c>
      <c r="AU150" t="b">
        <v>1</v>
      </c>
      <c r="AV150">
        <v>185.63</v>
      </c>
      <c r="AW150">
        <v>7.625</v>
      </c>
      <c r="AX150">
        <v>1</v>
      </c>
      <c r="AZ150">
        <v>7205</v>
      </c>
      <c r="BA150">
        <v>1</v>
      </c>
      <c r="BB150" t="str">
        <f t="shared" si="8"/>
        <v xml:space="preserve">KAP400  </v>
      </c>
      <c r="BC150">
        <v>1</v>
      </c>
      <c r="BE150">
        <v>0</v>
      </c>
      <c r="BF150">
        <v>0</v>
      </c>
      <c r="BG150">
        <v>0</v>
      </c>
      <c r="BI150">
        <v>1</v>
      </c>
      <c r="BJ150">
        <v>1</v>
      </c>
      <c r="BK150">
        <v>1</v>
      </c>
      <c r="BL150">
        <v>0</v>
      </c>
      <c r="BO150">
        <v>0</v>
      </c>
      <c r="BP150">
        <v>0</v>
      </c>
      <c r="BW150" t="str">
        <f>"19:02:48.082"</f>
        <v>19:02:48.082</v>
      </c>
      <c r="BX150" t="s">
        <v>119</v>
      </c>
      <c r="BY150" t="s">
        <v>120</v>
      </c>
      <c r="CJ150">
        <v>0</v>
      </c>
      <c r="CK150">
        <v>0</v>
      </c>
      <c r="CL150">
        <v>0</v>
      </c>
      <c r="CM150">
        <v>2</v>
      </c>
      <c r="CN150">
        <v>0</v>
      </c>
      <c r="CO150">
        <v>6</v>
      </c>
      <c r="CP150" t="s">
        <v>121</v>
      </c>
      <c r="CQ150">
        <v>579</v>
      </c>
      <c r="CR150">
        <v>0</v>
      </c>
      <c r="CW150">
        <v>174847</v>
      </c>
      <c r="CY150">
        <v>0</v>
      </c>
      <c r="CZ150">
        <v>0</v>
      </c>
      <c r="DA150">
        <v>0</v>
      </c>
      <c r="DB150">
        <v>1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</row>
    <row r="151" spans="1:113" x14ac:dyDescent="0.3">
      <c r="A151" t="str">
        <f>"06/16/2022 19:02:49.468"</f>
        <v>06/16/2022 19:02:49.468</v>
      </c>
      <c r="C151" t="str">
        <f t="shared" si="6"/>
        <v>FFBF5BC0</v>
      </c>
      <c r="D151" t="s">
        <v>113</v>
      </c>
      <c r="E151">
        <v>8</v>
      </c>
      <c r="H151">
        <v>206</v>
      </c>
      <c r="I151" t="s">
        <v>114</v>
      </c>
      <c r="J151" t="s">
        <v>115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>"19:02:49.063"</f>
        <v>19:02:49.063</v>
      </c>
      <c r="T151" t="str">
        <f>"19:02:49.063"</f>
        <v>19:02:49.063</v>
      </c>
      <c r="U151" t="str">
        <f t="shared" si="7"/>
        <v>AB63B2</v>
      </c>
      <c r="V151">
        <v>0</v>
      </c>
      <c r="W151">
        <v>0</v>
      </c>
      <c r="X151">
        <v>6</v>
      </c>
      <c r="Z151">
        <v>0</v>
      </c>
      <c r="AA151">
        <v>9</v>
      </c>
      <c r="AB151">
        <v>3</v>
      </c>
      <c r="AC151">
        <v>0</v>
      </c>
      <c r="AD151">
        <v>10</v>
      </c>
      <c r="AE151">
        <v>0</v>
      </c>
      <c r="AF151">
        <v>0</v>
      </c>
      <c r="AG151">
        <v>2</v>
      </c>
      <c r="AH151">
        <v>0</v>
      </c>
      <c r="AI151" t="s">
        <v>137</v>
      </c>
      <c r="AJ151">
        <v>41.991183999999997</v>
      </c>
      <c r="AK151" t="s">
        <v>136</v>
      </c>
      <c r="AL151">
        <v>-87.894917000000007</v>
      </c>
      <c r="AS151">
        <v>1</v>
      </c>
      <c r="AT151" t="s">
        <v>118</v>
      </c>
      <c r="AU151" t="b">
        <v>1</v>
      </c>
      <c r="AV151">
        <v>182.81</v>
      </c>
      <c r="AW151">
        <v>8.125</v>
      </c>
      <c r="AX151">
        <v>1</v>
      </c>
      <c r="AZ151">
        <v>7205</v>
      </c>
      <c r="BA151">
        <v>1</v>
      </c>
      <c r="BB151" t="str">
        <f t="shared" si="8"/>
        <v xml:space="preserve">KAP400  </v>
      </c>
      <c r="BC151">
        <v>1</v>
      </c>
      <c r="BE151">
        <v>0</v>
      </c>
      <c r="BF151">
        <v>0</v>
      </c>
      <c r="BG151">
        <v>0</v>
      </c>
      <c r="BI151">
        <v>1</v>
      </c>
      <c r="BJ151">
        <v>1</v>
      </c>
      <c r="BK151">
        <v>1</v>
      </c>
      <c r="BL151">
        <v>0</v>
      </c>
      <c r="BO151">
        <v>0</v>
      </c>
      <c r="BP151">
        <v>0</v>
      </c>
      <c r="BW151" t="str">
        <f>"19:02:49.068"</f>
        <v>19:02:49.068</v>
      </c>
      <c r="BX151" t="s">
        <v>119</v>
      </c>
      <c r="BY151" t="s">
        <v>120</v>
      </c>
      <c r="CJ151">
        <v>0</v>
      </c>
      <c r="CK151">
        <v>0</v>
      </c>
      <c r="CL151">
        <v>0</v>
      </c>
      <c r="CM151">
        <v>2</v>
      </c>
      <c r="CN151">
        <v>0</v>
      </c>
      <c r="CO151">
        <v>6</v>
      </c>
      <c r="CP151" t="s">
        <v>121</v>
      </c>
      <c r="CQ151">
        <v>579</v>
      </c>
      <c r="CR151">
        <v>0</v>
      </c>
      <c r="CW151">
        <v>177152</v>
      </c>
      <c r="CY151">
        <v>0</v>
      </c>
      <c r="CZ151">
        <v>0</v>
      </c>
      <c r="DA151">
        <v>0</v>
      </c>
      <c r="DB151">
        <v>1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</row>
    <row r="152" spans="1:113" x14ac:dyDescent="0.3">
      <c r="A152" t="str">
        <f>"06/16/2022 19:02:50.218"</f>
        <v>06/16/2022 19:02:50.218</v>
      </c>
      <c r="C152" t="str">
        <f t="shared" si="6"/>
        <v>FFBF5BC0</v>
      </c>
      <c r="D152" t="s">
        <v>113</v>
      </c>
      <c r="E152">
        <v>8</v>
      </c>
      <c r="H152">
        <v>206</v>
      </c>
      <c r="I152" t="s">
        <v>114</v>
      </c>
      <c r="J152" t="s">
        <v>115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>"19:02:50.039"</f>
        <v>19:02:50.039</v>
      </c>
      <c r="T152" t="str">
        <f>"19:02:50.039"</f>
        <v>19:02:50.039</v>
      </c>
      <c r="U152" t="str">
        <f t="shared" si="7"/>
        <v>AB63B2</v>
      </c>
      <c r="V152">
        <v>0</v>
      </c>
      <c r="W152">
        <v>0</v>
      </c>
      <c r="X152">
        <v>6</v>
      </c>
      <c r="Z152">
        <v>0</v>
      </c>
      <c r="AA152">
        <v>9</v>
      </c>
      <c r="AB152">
        <v>3</v>
      </c>
      <c r="AC152">
        <v>0</v>
      </c>
      <c r="AD152">
        <v>10</v>
      </c>
      <c r="AE152">
        <v>0</v>
      </c>
      <c r="AF152">
        <v>0</v>
      </c>
      <c r="AG152">
        <v>2</v>
      </c>
      <c r="AH152">
        <v>0</v>
      </c>
      <c r="AI152" t="s">
        <v>138</v>
      </c>
      <c r="AJ152">
        <v>41.991140999999999</v>
      </c>
      <c r="AK152" t="s">
        <v>136</v>
      </c>
      <c r="AL152">
        <v>-87.894917000000007</v>
      </c>
      <c r="AS152">
        <v>1</v>
      </c>
      <c r="AT152" t="s">
        <v>118</v>
      </c>
      <c r="AU152" t="b">
        <v>1</v>
      </c>
      <c r="AV152">
        <v>182.81</v>
      </c>
      <c r="AW152">
        <v>8.625</v>
      </c>
      <c r="AX152">
        <v>1</v>
      </c>
      <c r="AZ152">
        <v>7205</v>
      </c>
      <c r="BA152">
        <v>1</v>
      </c>
      <c r="BB152" t="str">
        <f t="shared" si="8"/>
        <v xml:space="preserve">KAP400  </v>
      </c>
      <c r="BC152">
        <v>1</v>
      </c>
      <c r="BE152">
        <v>0</v>
      </c>
      <c r="BF152">
        <v>0</v>
      </c>
      <c r="BG152">
        <v>0</v>
      </c>
      <c r="BI152">
        <v>1</v>
      </c>
      <c r="BJ152">
        <v>1</v>
      </c>
      <c r="BK152">
        <v>1</v>
      </c>
      <c r="BL152">
        <v>0</v>
      </c>
      <c r="BO152">
        <v>0</v>
      </c>
      <c r="BP152">
        <v>0</v>
      </c>
      <c r="BW152" t="str">
        <f>"19:02:50.043"</f>
        <v>19:02:50.043</v>
      </c>
      <c r="BX152" t="s">
        <v>119</v>
      </c>
      <c r="BY152" t="s">
        <v>120</v>
      </c>
      <c r="CJ152">
        <v>0</v>
      </c>
      <c r="CK152">
        <v>0</v>
      </c>
      <c r="CL152">
        <v>0</v>
      </c>
      <c r="CM152">
        <v>2</v>
      </c>
      <c r="CN152">
        <v>0</v>
      </c>
      <c r="CO152">
        <v>6</v>
      </c>
      <c r="CP152" t="s">
        <v>121</v>
      </c>
      <c r="CQ152">
        <v>579</v>
      </c>
      <c r="CR152">
        <v>0</v>
      </c>
      <c r="CW152">
        <v>179344</v>
      </c>
      <c r="CY152">
        <v>0</v>
      </c>
      <c r="CZ152">
        <v>0</v>
      </c>
      <c r="DA152">
        <v>0</v>
      </c>
      <c r="DB152">
        <v>1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</row>
    <row r="153" spans="1:113" x14ac:dyDescent="0.3">
      <c r="A153" t="str">
        <f>"06/16/2022 19:02:52.328"</f>
        <v>06/16/2022 19:02:52.328</v>
      </c>
      <c r="C153" t="str">
        <f t="shared" si="6"/>
        <v>FFBF5BC0</v>
      </c>
      <c r="D153" t="s">
        <v>113</v>
      </c>
      <c r="E153">
        <v>8</v>
      </c>
      <c r="H153">
        <v>206</v>
      </c>
      <c r="I153" t="s">
        <v>114</v>
      </c>
      <c r="J153" t="s">
        <v>115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>"19:02:52.008"</f>
        <v>19:02:52.008</v>
      </c>
      <c r="T153" t="str">
        <f>"19:02:52.008"</f>
        <v>19:02:52.008</v>
      </c>
      <c r="U153" t="str">
        <f t="shared" si="7"/>
        <v>AB63B2</v>
      </c>
      <c r="V153">
        <v>0</v>
      </c>
      <c r="W153">
        <v>0</v>
      </c>
      <c r="X153">
        <v>6</v>
      </c>
      <c r="Z153">
        <v>0</v>
      </c>
      <c r="AA153">
        <v>9</v>
      </c>
      <c r="AB153">
        <v>3</v>
      </c>
      <c r="AC153">
        <v>0</v>
      </c>
      <c r="AD153">
        <v>10</v>
      </c>
      <c r="AE153">
        <v>0</v>
      </c>
      <c r="AF153">
        <v>0</v>
      </c>
      <c r="AG153">
        <v>2</v>
      </c>
      <c r="AH153">
        <v>0</v>
      </c>
      <c r="AI153" t="s">
        <v>139</v>
      </c>
      <c r="AJ153">
        <v>41.991055000000003</v>
      </c>
      <c r="AK153" t="s">
        <v>136</v>
      </c>
      <c r="AL153">
        <v>-87.894917000000007</v>
      </c>
      <c r="AS153">
        <v>1</v>
      </c>
      <c r="AT153" t="s">
        <v>118</v>
      </c>
      <c r="AU153" t="b">
        <v>1</v>
      </c>
      <c r="AV153">
        <v>180</v>
      </c>
      <c r="AW153">
        <v>9.125</v>
      </c>
      <c r="AX153">
        <v>1</v>
      </c>
      <c r="AZ153">
        <v>7205</v>
      </c>
      <c r="BA153">
        <v>1</v>
      </c>
      <c r="BB153" t="str">
        <f t="shared" si="8"/>
        <v xml:space="preserve">KAP400  </v>
      </c>
      <c r="BC153">
        <v>1</v>
      </c>
      <c r="BE153">
        <v>0</v>
      </c>
      <c r="BF153">
        <v>0</v>
      </c>
      <c r="BG153">
        <v>0</v>
      </c>
      <c r="BI153">
        <v>1</v>
      </c>
      <c r="BJ153">
        <v>1</v>
      </c>
      <c r="BK153">
        <v>1</v>
      </c>
      <c r="BL153">
        <v>0</v>
      </c>
      <c r="BO153">
        <v>0</v>
      </c>
      <c r="BP153">
        <v>0</v>
      </c>
      <c r="BW153" t="str">
        <f>"19:02:52.012"</f>
        <v>19:02:52.012</v>
      </c>
      <c r="BX153" t="s">
        <v>119</v>
      </c>
      <c r="BY153" t="s">
        <v>120</v>
      </c>
      <c r="CJ153">
        <v>0</v>
      </c>
      <c r="CK153">
        <v>0</v>
      </c>
      <c r="CL153">
        <v>0</v>
      </c>
      <c r="CM153">
        <v>2</v>
      </c>
      <c r="CN153">
        <v>0</v>
      </c>
      <c r="CO153">
        <v>6</v>
      </c>
      <c r="CP153" t="s">
        <v>121</v>
      </c>
      <c r="CQ153">
        <v>579</v>
      </c>
      <c r="CR153">
        <v>0</v>
      </c>
      <c r="CW153">
        <v>183670</v>
      </c>
      <c r="CY153">
        <v>0</v>
      </c>
      <c r="CZ153">
        <v>0</v>
      </c>
      <c r="DA153">
        <v>0</v>
      </c>
      <c r="DB153">
        <v>1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</row>
    <row r="154" spans="1:113" x14ac:dyDescent="0.3">
      <c r="A154" t="str">
        <f>"06/16/2022 19:02:53.344"</f>
        <v>06/16/2022 19:02:53.344</v>
      </c>
      <c r="C154" t="str">
        <f t="shared" si="6"/>
        <v>FFBF5BC0</v>
      </c>
      <c r="D154" t="s">
        <v>113</v>
      </c>
      <c r="E154">
        <v>8</v>
      </c>
      <c r="H154">
        <v>206</v>
      </c>
      <c r="I154" t="s">
        <v>114</v>
      </c>
      <c r="J154" t="s">
        <v>115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>"19:02:53.102"</f>
        <v>19:02:53.102</v>
      </c>
      <c r="T154" t="str">
        <f>"19:02:53.102"</f>
        <v>19:02:53.102</v>
      </c>
      <c r="U154" t="str">
        <f t="shared" si="7"/>
        <v>AB63B2</v>
      </c>
      <c r="V154">
        <v>0</v>
      </c>
      <c r="W154">
        <v>0</v>
      </c>
      <c r="X154">
        <v>6</v>
      </c>
      <c r="Z154">
        <v>0</v>
      </c>
      <c r="AA154">
        <v>9</v>
      </c>
      <c r="AB154">
        <v>3</v>
      </c>
      <c r="AC154">
        <v>0</v>
      </c>
      <c r="AD154">
        <v>10</v>
      </c>
      <c r="AE154">
        <v>0</v>
      </c>
      <c r="AF154">
        <v>0</v>
      </c>
      <c r="AG154">
        <v>2</v>
      </c>
      <c r="AH154">
        <v>0</v>
      </c>
      <c r="AI154" t="s">
        <v>140</v>
      </c>
      <c r="AJ154">
        <v>41.991011999999998</v>
      </c>
      <c r="AK154" t="s">
        <v>141</v>
      </c>
      <c r="AL154">
        <v>-87.894937999999996</v>
      </c>
      <c r="AS154">
        <v>1</v>
      </c>
      <c r="AT154" t="s">
        <v>118</v>
      </c>
      <c r="AU154" t="b">
        <v>1</v>
      </c>
      <c r="AV154">
        <v>180</v>
      </c>
      <c r="AW154">
        <v>9.125</v>
      </c>
      <c r="AX154">
        <v>1</v>
      </c>
      <c r="AZ154">
        <v>7205</v>
      </c>
      <c r="BA154">
        <v>1</v>
      </c>
      <c r="BB154" t="str">
        <f t="shared" si="8"/>
        <v xml:space="preserve">KAP400  </v>
      </c>
      <c r="BC154">
        <v>1</v>
      </c>
      <c r="BE154">
        <v>0</v>
      </c>
      <c r="BF154">
        <v>0</v>
      </c>
      <c r="BG154">
        <v>0</v>
      </c>
      <c r="BI154">
        <v>1</v>
      </c>
      <c r="BJ154">
        <v>1</v>
      </c>
      <c r="BK154">
        <v>1</v>
      </c>
      <c r="BL154">
        <v>0</v>
      </c>
      <c r="BO154">
        <v>0</v>
      </c>
      <c r="BP154">
        <v>0</v>
      </c>
      <c r="BW154" t="str">
        <f>"19:02:53.107"</f>
        <v>19:02:53.107</v>
      </c>
      <c r="BX154" t="s">
        <v>119</v>
      </c>
      <c r="BY154" t="s">
        <v>120</v>
      </c>
      <c r="CJ154">
        <v>0</v>
      </c>
      <c r="CK154">
        <v>0</v>
      </c>
      <c r="CL154">
        <v>0</v>
      </c>
      <c r="CM154">
        <v>2</v>
      </c>
      <c r="CN154">
        <v>0</v>
      </c>
      <c r="CO154">
        <v>6</v>
      </c>
      <c r="CP154" t="s">
        <v>121</v>
      </c>
      <c r="CQ154">
        <v>582</v>
      </c>
      <c r="CR154">
        <v>0</v>
      </c>
      <c r="CW154">
        <v>5306968</v>
      </c>
      <c r="CY154">
        <v>0</v>
      </c>
      <c r="CZ154">
        <v>0</v>
      </c>
      <c r="DA154">
        <v>0</v>
      </c>
      <c r="DB154">
        <v>1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</row>
    <row r="155" spans="1:113" x14ac:dyDescent="0.3">
      <c r="A155" t="str">
        <f>"06/16/2022 19:02:54.469"</f>
        <v>06/16/2022 19:02:54.469</v>
      </c>
      <c r="C155" t="str">
        <f t="shared" si="6"/>
        <v>FFBF5BC0</v>
      </c>
      <c r="D155" t="s">
        <v>113</v>
      </c>
      <c r="E155">
        <v>8</v>
      </c>
      <c r="H155">
        <v>206</v>
      </c>
      <c r="I155" t="s">
        <v>114</v>
      </c>
      <c r="J155" t="s">
        <v>115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>"19:02:54.211"</f>
        <v>19:02:54.211</v>
      </c>
      <c r="T155" t="str">
        <f>"19:02:54.211"</f>
        <v>19:02:54.211</v>
      </c>
      <c r="U155" t="str">
        <f t="shared" si="7"/>
        <v>AB63B2</v>
      </c>
      <c r="V155">
        <v>0</v>
      </c>
      <c r="W155">
        <v>0</v>
      </c>
      <c r="X155">
        <v>6</v>
      </c>
      <c r="Z155">
        <v>0</v>
      </c>
      <c r="AA155">
        <v>9</v>
      </c>
      <c r="AB155">
        <v>3</v>
      </c>
      <c r="AC155">
        <v>0</v>
      </c>
      <c r="AD155">
        <v>10</v>
      </c>
      <c r="AE155">
        <v>0</v>
      </c>
      <c r="AF155">
        <v>0</v>
      </c>
      <c r="AG155">
        <v>2</v>
      </c>
      <c r="AH155">
        <v>0</v>
      </c>
      <c r="AI155" t="s">
        <v>142</v>
      </c>
      <c r="AJ155">
        <v>41.990969</v>
      </c>
      <c r="AK155" t="s">
        <v>141</v>
      </c>
      <c r="AL155">
        <v>-87.894937999999996</v>
      </c>
      <c r="AS155">
        <v>1</v>
      </c>
      <c r="AT155" t="s">
        <v>118</v>
      </c>
      <c r="AU155" t="b">
        <v>1</v>
      </c>
      <c r="AV155">
        <v>177.19</v>
      </c>
      <c r="AW155">
        <v>9.125</v>
      </c>
      <c r="AX155">
        <v>1</v>
      </c>
      <c r="AZ155">
        <v>7205</v>
      </c>
      <c r="BA155">
        <v>1</v>
      </c>
      <c r="BB155" t="str">
        <f t="shared" si="8"/>
        <v xml:space="preserve">KAP400  </v>
      </c>
      <c r="BC155">
        <v>1</v>
      </c>
      <c r="BE155">
        <v>0</v>
      </c>
      <c r="BF155">
        <v>0</v>
      </c>
      <c r="BG155">
        <v>0</v>
      </c>
      <c r="BI155">
        <v>1</v>
      </c>
      <c r="BJ155">
        <v>1</v>
      </c>
      <c r="BK155">
        <v>1</v>
      </c>
      <c r="BL155">
        <v>0</v>
      </c>
      <c r="BO155">
        <v>0</v>
      </c>
      <c r="BP155">
        <v>0</v>
      </c>
      <c r="BW155" t="str">
        <f>"19:02:54.217"</f>
        <v>19:02:54.217</v>
      </c>
      <c r="BX155" t="s">
        <v>119</v>
      </c>
      <c r="BY155" t="s">
        <v>120</v>
      </c>
      <c r="CJ155">
        <v>0</v>
      </c>
      <c r="CK155">
        <v>0</v>
      </c>
      <c r="CL155">
        <v>0</v>
      </c>
      <c r="CM155">
        <v>2</v>
      </c>
      <c r="CN155">
        <v>0</v>
      </c>
      <c r="CO155">
        <v>6</v>
      </c>
      <c r="CP155" t="s">
        <v>121</v>
      </c>
      <c r="CQ155">
        <v>582</v>
      </c>
      <c r="CR155">
        <v>0</v>
      </c>
      <c r="CW155">
        <v>5308804</v>
      </c>
      <c r="CY155">
        <v>0</v>
      </c>
      <c r="CZ155">
        <v>0</v>
      </c>
      <c r="DA155">
        <v>0</v>
      </c>
      <c r="DB155">
        <v>1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</row>
    <row r="156" spans="1:113" x14ac:dyDescent="0.3">
      <c r="A156" t="str">
        <f>"06/16/2022 19:02:55.329"</f>
        <v>06/16/2022 19:02:55.329</v>
      </c>
      <c r="C156" t="str">
        <f t="shared" si="6"/>
        <v>FFBF5BC0</v>
      </c>
      <c r="D156" t="s">
        <v>113</v>
      </c>
      <c r="E156">
        <v>8</v>
      </c>
      <c r="H156">
        <v>206</v>
      </c>
      <c r="I156" t="s">
        <v>114</v>
      </c>
      <c r="J156" t="s">
        <v>115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>"19:02:55.047"</f>
        <v>19:02:55.047</v>
      </c>
      <c r="T156" t="str">
        <f>"19:02:55.047"</f>
        <v>19:02:55.047</v>
      </c>
      <c r="U156" t="str">
        <f t="shared" si="7"/>
        <v>AB63B2</v>
      </c>
      <c r="V156">
        <v>0</v>
      </c>
      <c r="W156">
        <v>0</v>
      </c>
      <c r="X156">
        <v>6</v>
      </c>
      <c r="Z156">
        <v>0</v>
      </c>
      <c r="AA156">
        <v>9</v>
      </c>
      <c r="AB156">
        <v>3</v>
      </c>
      <c r="AC156">
        <v>0</v>
      </c>
      <c r="AD156">
        <v>10</v>
      </c>
      <c r="AE156">
        <v>0</v>
      </c>
      <c r="AF156">
        <v>0</v>
      </c>
      <c r="AG156">
        <v>2</v>
      </c>
      <c r="AH156">
        <v>0</v>
      </c>
      <c r="AI156" t="s">
        <v>143</v>
      </c>
      <c r="AJ156">
        <v>41.990948000000003</v>
      </c>
      <c r="AK156" t="s">
        <v>136</v>
      </c>
      <c r="AL156">
        <v>-87.894917000000007</v>
      </c>
      <c r="AS156">
        <v>1</v>
      </c>
      <c r="AT156" t="s">
        <v>118</v>
      </c>
      <c r="AU156" t="b">
        <v>1</v>
      </c>
      <c r="AV156">
        <v>180</v>
      </c>
      <c r="AW156">
        <v>9.125</v>
      </c>
      <c r="AX156">
        <v>1</v>
      </c>
      <c r="AZ156">
        <v>7205</v>
      </c>
      <c r="BA156">
        <v>1</v>
      </c>
      <c r="BB156" t="str">
        <f t="shared" si="8"/>
        <v xml:space="preserve">KAP400  </v>
      </c>
      <c r="BC156">
        <v>1</v>
      </c>
      <c r="BE156">
        <v>0</v>
      </c>
      <c r="BF156">
        <v>0</v>
      </c>
      <c r="BG156">
        <v>0</v>
      </c>
      <c r="BI156">
        <v>1</v>
      </c>
      <c r="BJ156">
        <v>1</v>
      </c>
      <c r="BK156">
        <v>1</v>
      </c>
      <c r="BL156">
        <v>0</v>
      </c>
      <c r="BO156">
        <v>0</v>
      </c>
      <c r="BP156">
        <v>0</v>
      </c>
      <c r="BW156" t="str">
        <f>"19:02:55.053"</f>
        <v>19:02:55.053</v>
      </c>
      <c r="BX156" t="s">
        <v>119</v>
      </c>
      <c r="BY156" t="s">
        <v>120</v>
      </c>
      <c r="CJ156">
        <v>0</v>
      </c>
      <c r="CK156">
        <v>0</v>
      </c>
      <c r="CL156">
        <v>0</v>
      </c>
      <c r="CM156">
        <v>2</v>
      </c>
      <c r="CN156">
        <v>0</v>
      </c>
      <c r="CO156">
        <v>5</v>
      </c>
      <c r="CP156" t="s">
        <v>121</v>
      </c>
      <c r="CQ156">
        <v>581</v>
      </c>
      <c r="CR156">
        <v>0</v>
      </c>
      <c r="CW156">
        <v>14320944</v>
      </c>
      <c r="CY156">
        <v>0</v>
      </c>
      <c r="CZ156">
        <v>0</v>
      </c>
      <c r="DA156">
        <v>0</v>
      </c>
      <c r="DB156">
        <v>1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</row>
    <row r="157" spans="1:113" x14ac:dyDescent="0.3">
      <c r="A157" t="str">
        <f>"06/16/2022 19:02:56.314"</f>
        <v>06/16/2022 19:02:56.314</v>
      </c>
      <c r="C157" t="str">
        <f t="shared" si="6"/>
        <v>FFBF5BC0</v>
      </c>
      <c r="D157" t="s">
        <v>113</v>
      </c>
      <c r="E157">
        <v>8</v>
      </c>
      <c r="H157">
        <v>206</v>
      </c>
      <c r="I157" t="s">
        <v>114</v>
      </c>
      <c r="J157" t="s">
        <v>115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>"19:02:56.023"</f>
        <v>19:02:56.023</v>
      </c>
      <c r="T157" t="str">
        <f>"19:02:56.023"</f>
        <v>19:02:56.023</v>
      </c>
      <c r="U157" t="str">
        <f t="shared" si="7"/>
        <v>AB63B2</v>
      </c>
      <c r="V157">
        <v>0</v>
      </c>
      <c r="W157">
        <v>0</v>
      </c>
      <c r="X157">
        <v>6</v>
      </c>
      <c r="Z157">
        <v>0</v>
      </c>
      <c r="AA157">
        <v>9</v>
      </c>
      <c r="AB157">
        <v>3</v>
      </c>
      <c r="AC157">
        <v>0</v>
      </c>
      <c r="AD157">
        <v>10</v>
      </c>
      <c r="AE157">
        <v>0</v>
      </c>
      <c r="AF157">
        <v>0</v>
      </c>
      <c r="AG157">
        <v>2</v>
      </c>
      <c r="AH157">
        <v>0</v>
      </c>
      <c r="AI157" t="s">
        <v>144</v>
      </c>
      <c r="AJ157">
        <v>41.990904999999998</v>
      </c>
      <c r="AK157" t="s">
        <v>136</v>
      </c>
      <c r="AL157">
        <v>-87.894917000000007</v>
      </c>
      <c r="AS157">
        <v>1</v>
      </c>
      <c r="AT157" t="s">
        <v>118</v>
      </c>
      <c r="AU157" t="b">
        <v>1</v>
      </c>
      <c r="AV157">
        <v>180</v>
      </c>
      <c r="AW157">
        <v>8.625</v>
      </c>
      <c r="AX157">
        <v>1</v>
      </c>
      <c r="AZ157">
        <v>7205</v>
      </c>
      <c r="BA157">
        <v>1</v>
      </c>
      <c r="BB157" t="str">
        <f t="shared" si="8"/>
        <v xml:space="preserve">KAP400  </v>
      </c>
      <c r="BC157">
        <v>1</v>
      </c>
      <c r="BE157">
        <v>0</v>
      </c>
      <c r="BF157">
        <v>0</v>
      </c>
      <c r="BG157">
        <v>0</v>
      </c>
      <c r="BI157">
        <v>1</v>
      </c>
      <c r="BJ157">
        <v>1</v>
      </c>
      <c r="BK157">
        <v>1</v>
      </c>
      <c r="BL157">
        <v>0</v>
      </c>
      <c r="BO157">
        <v>0</v>
      </c>
      <c r="BP157">
        <v>0</v>
      </c>
      <c r="BW157" t="str">
        <f>"19:02:56.028"</f>
        <v>19:02:56.028</v>
      </c>
      <c r="BX157" t="s">
        <v>119</v>
      </c>
      <c r="BY157" t="s">
        <v>120</v>
      </c>
      <c r="CJ157">
        <v>0</v>
      </c>
      <c r="CK157">
        <v>0</v>
      </c>
      <c r="CL157">
        <v>0</v>
      </c>
      <c r="CM157">
        <v>2</v>
      </c>
      <c r="CN157">
        <v>0</v>
      </c>
      <c r="CO157">
        <v>5</v>
      </c>
      <c r="CP157" t="s">
        <v>121</v>
      </c>
      <c r="CQ157">
        <v>581</v>
      </c>
      <c r="CR157">
        <v>0</v>
      </c>
      <c r="CW157">
        <v>14322629</v>
      </c>
      <c r="CY157">
        <v>0</v>
      </c>
      <c r="CZ157">
        <v>0</v>
      </c>
      <c r="DA157">
        <v>0</v>
      </c>
      <c r="DB157">
        <v>1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</row>
    <row r="158" spans="1:113" x14ac:dyDescent="0.3">
      <c r="A158" t="str">
        <f>"06/16/2022 19:02:57.452"</f>
        <v>06/16/2022 19:02:57.452</v>
      </c>
      <c r="C158" t="str">
        <f t="shared" si="6"/>
        <v>FFBF5BC0</v>
      </c>
      <c r="D158" t="s">
        <v>113</v>
      </c>
      <c r="E158">
        <v>8</v>
      </c>
      <c r="H158">
        <v>206</v>
      </c>
      <c r="I158" t="s">
        <v>114</v>
      </c>
      <c r="J158" t="s">
        <v>115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>"19:02:57.188"</f>
        <v>19:02:57.188</v>
      </c>
      <c r="T158" t="str">
        <f>"19:02:57.188"</f>
        <v>19:02:57.188</v>
      </c>
      <c r="U158" t="str">
        <f t="shared" si="7"/>
        <v>AB63B2</v>
      </c>
      <c r="V158">
        <v>0</v>
      </c>
      <c r="W158">
        <v>0</v>
      </c>
      <c r="X158">
        <v>6</v>
      </c>
      <c r="Z158">
        <v>0</v>
      </c>
      <c r="AA158">
        <v>9</v>
      </c>
      <c r="AB158">
        <v>3</v>
      </c>
      <c r="AC158">
        <v>0</v>
      </c>
      <c r="AD158">
        <v>10</v>
      </c>
      <c r="AE158">
        <v>0</v>
      </c>
      <c r="AF158">
        <v>0</v>
      </c>
      <c r="AG158">
        <v>2</v>
      </c>
      <c r="AH158">
        <v>0</v>
      </c>
      <c r="AI158" t="s">
        <v>145</v>
      </c>
      <c r="AJ158">
        <v>41.990862</v>
      </c>
      <c r="AK158" t="s">
        <v>136</v>
      </c>
      <c r="AL158">
        <v>-87.894917000000007</v>
      </c>
      <c r="AS158">
        <v>1</v>
      </c>
      <c r="AT158" t="s">
        <v>118</v>
      </c>
      <c r="AU158" t="b">
        <v>1</v>
      </c>
      <c r="AV158">
        <v>180</v>
      </c>
      <c r="AW158">
        <v>8.625</v>
      </c>
      <c r="AX158">
        <v>1</v>
      </c>
      <c r="AZ158">
        <v>7205</v>
      </c>
      <c r="BA158">
        <v>1</v>
      </c>
      <c r="BB158" t="str">
        <f t="shared" si="8"/>
        <v xml:space="preserve">KAP400  </v>
      </c>
      <c r="BC158">
        <v>1</v>
      </c>
      <c r="BE158">
        <v>0</v>
      </c>
      <c r="BF158">
        <v>0</v>
      </c>
      <c r="BG158">
        <v>0</v>
      </c>
      <c r="BI158">
        <v>1</v>
      </c>
      <c r="BJ158">
        <v>1</v>
      </c>
      <c r="BK158">
        <v>1</v>
      </c>
      <c r="BL158">
        <v>0</v>
      </c>
      <c r="BO158">
        <v>0</v>
      </c>
      <c r="BP158">
        <v>0</v>
      </c>
      <c r="BW158" t="str">
        <f>"19:02:57.190"</f>
        <v>19:02:57.190</v>
      </c>
      <c r="BX158" t="s">
        <v>119</v>
      </c>
      <c r="BY158" t="s">
        <v>120</v>
      </c>
      <c r="CJ158">
        <v>0</v>
      </c>
      <c r="CK158">
        <v>0</v>
      </c>
      <c r="CL158">
        <v>0</v>
      </c>
      <c r="CM158">
        <v>2</v>
      </c>
      <c r="CN158">
        <v>0</v>
      </c>
      <c r="CO158">
        <v>5</v>
      </c>
      <c r="CP158" t="s">
        <v>121</v>
      </c>
      <c r="CQ158">
        <v>581</v>
      </c>
      <c r="CR158">
        <v>0</v>
      </c>
      <c r="CW158">
        <v>14324581</v>
      </c>
      <c r="CY158">
        <v>0</v>
      </c>
      <c r="CZ158">
        <v>0</v>
      </c>
      <c r="DA158">
        <v>0</v>
      </c>
      <c r="DB158">
        <v>1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</row>
    <row r="159" spans="1:113" x14ac:dyDescent="0.3">
      <c r="A159" t="str">
        <f>"06/16/2022 19:02:58.405"</f>
        <v>06/16/2022 19:02:58.405</v>
      </c>
      <c r="C159" t="str">
        <f t="shared" si="6"/>
        <v>FFBF5BC0</v>
      </c>
      <c r="D159" t="s">
        <v>113</v>
      </c>
      <c r="E159">
        <v>8</v>
      </c>
      <c r="H159">
        <v>206</v>
      </c>
      <c r="I159" t="s">
        <v>114</v>
      </c>
      <c r="J159" t="s">
        <v>115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>"19:02:58.148"</f>
        <v>19:02:58.148</v>
      </c>
      <c r="T159" t="str">
        <f>"19:02:58.148"</f>
        <v>19:02:58.148</v>
      </c>
      <c r="U159" t="str">
        <f t="shared" si="7"/>
        <v>AB63B2</v>
      </c>
      <c r="V159">
        <v>0</v>
      </c>
      <c r="W159">
        <v>0</v>
      </c>
      <c r="X159">
        <v>6</v>
      </c>
      <c r="Z159">
        <v>0</v>
      </c>
      <c r="AA159">
        <v>9</v>
      </c>
      <c r="AB159">
        <v>3</v>
      </c>
      <c r="AC159">
        <v>0</v>
      </c>
      <c r="AD159">
        <v>10</v>
      </c>
      <c r="AE159">
        <v>0</v>
      </c>
      <c r="AF159">
        <v>0</v>
      </c>
      <c r="AG159">
        <v>2</v>
      </c>
      <c r="AH159">
        <v>0</v>
      </c>
      <c r="AI159" t="s">
        <v>146</v>
      </c>
      <c r="AJ159">
        <v>41.990819000000002</v>
      </c>
      <c r="AK159" t="s">
        <v>141</v>
      </c>
      <c r="AL159">
        <v>-87.894937999999996</v>
      </c>
      <c r="AS159">
        <v>1</v>
      </c>
      <c r="AT159" t="s">
        <v>118</v>
      </c>
      <c r="AU159" t="b">
        <v>1</v>
      </c>
      <c r="AV159">
        <v>180</v>
      </c>
      <c r="AW159">
        <v>8.125</v>
      </c>
      <c r="AX159">
        <v>1</v>
      </c>
      <c r="AZ159">
        <v>7205</v>
      </c>
      <c r="BA159">
        <v>1</v>
      </c>
      <c r="BB159" t="str">
        <f t="shared" si="8"/>
        <v xml:space="preserve">KAP400  </v>
      </c>
      <c r="BC159">
        <v>1</v>
      </c>
      <c r="BE159">
        <v>0</v>
      </c>
      <c r="BF159">
        <v>0</v>
      </c>
      <c r="BG159">
        <v>0</v>
      </c>
      <c r="BI159">
        <v>1</v>
      </c>
      <c r="BJ159">
        <v>1</v>
      </c>
      <c r="BK159">
        <v>1</v>
      </c>
      <c r="BL159">
        <v>0</v>
      </c>
      <c r="BO159">
        <v>0</v>
      </c>
      <c r="BP159">
        <v>0</v>
      </c>
      <c r="BW159" t="str">
        <f>"19:02:58.155"</f>
        <v>19:02:58.155</v>
      </c>
      <c r="BX159" t="s">
        <v>119</v>
      </c>
      <c r="BY159" t="s">
        <v>120</v>
      </c>
      <c r="CJ159">
        <v>0</v>
      </c>
      <c r="CK159">
        <v>0</v>
      </c>
      <c r="CL159">
        <v>0</v>
      </c>
      <c r="CM159">
        <v>2</v>
      </c>
      <c r="CN159">
        <v>0</v>
      </c>
      <c r="CO159">
        <v>5</v>
      </c>
      <c r="CP159" t="s">
        <v>121</v>
      </c>
      <c r="CQ159">
        <v>582</v>
      </c>
      <c r="CR159">
        <v>0</v>
      </c>
      <c r="CW159">
        <v>5315424</v>
      </c>
      <c r="CY159">
        <v>0</v>
      </c>
      <c r="CZ159">
        <v>0</v>
      </c>
      <c r="DA159">
        <v>0</v>
      </c>
      <c r="DB159">
        <v>1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</row>
    <row r="160" spans="1:113" x14ac:dyDescent="0.3">
      <c r="A160" t="str">
        <f>"06/16/2022 19:02:59.952"</f>
        <v>06/16/2022 19:02:59.952</v>
      </c>
      <c r="C160" t="str">
        <f t="shared" si="6"/>
        <v>FFBF5BC0</v>
      </c>
      <c r="D160" t="s">
        <v>113</v>
      </c>
      <c r="E160">
        <v>8</v>
      </c>
      <c r="H160">
        <v>206</v>
      </c>
      <c r="I160" t="s">
        <v>114</v>
      </c>
      <c r="J160" t="s">
        <v>115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>"19:02:59.547"</f>
        <v>19:02:59.547</v>
      </c>
      <c r="T160" t="str">
        <f>"19:02:59.547"</f>
        <v>19:02:59.547</v>
      </c>
      <c r="U160" t="str">
        <f t="shared" si="7"/>
        <v>AB63B2</v>
      </c>
      <c r="V160">
        <v>0</v>
      </c>
      <c r="W160">
        <v>0</v>
      </c>
      <c r="X160">
        <v>6</v>
      </c>
      <c r="Z160">
        <v>0</v>
      </c>
      <c r="AA160">
        <v>9</v>
      </c>
      <c r="AB160">
        <v>3</v>
      </c>
      <c r="AC160">
        <v>0</v>
      </c>
      <c r="AD160">
        <v>10</v>
      </c>
      <c r="AE160">
        <v>0</v>
      </c>
      <c r="AF160">
        <v>0</v>
      </c>
      <c r="AG160">
        <v>2</v>
      </c>
      <c r="AH160">
        <v>0</v>
      </c>
      <c r="AI160" t="s">
        <v>147</v>
      </c>
      <c r="AJ160">
        <v>41.990775999999997</v>
      </c>
      <c r="AK160" t="s">
        <v>141</v>
      </c>
      <c r="AL160">
        <v>-87.894937999999996</v>
      </c>
      <c r="AS160">
        <v>1</v>
      </c>
      <c r="AT160" t="s">
        <v>118</v>
      </c>
      <c r="AU160" t="b">
        <v>1</v>
      </c>
      <c r="AV160">
        <v>182.81</v>
      </c>
      <c r="AW160">
        <v>8.125</v>
      </c>
      <c r="AX160">
        <v>1</v>
      </c>
      <c r="AZ160">
        <v>7205</v>
      </c>
      <c r="BA160">
        <v>1</v>
      </c>
      <c r="BB160" t="str">
        <f t="shared" si="8"/>
        <v xml:space="preserve">KAP400  </v>
      </c>
      <c r="BC160">
        <v>1</v>
      </c>
      <c r="BE160">
        <v>0</v>
      </c>
      <c r="BF160">
        <v>0</v>
      </c>
      <c r="BG160">
        <v>0</v>
      </c>
      <c r="BI160">
        <v>1</v>
      </c>
      <c r="BJ160">
        <v>1</v>
      </c>
      <c r="BK160">
        <v>1</v>
      </c>
      <c r="BL160">
        <v>0</v>
      </c>
      <c r="BO160">
        <v>0</v>
      </c>
      <c r="BP160">
        <v>0</v>
      </c>
      <c r="BW160" t="str">
        <f>"19:02:59.547"</f>
        <v>19:02:59.547</v>
      </c>
      <c r="BX160" t="s">
        <v>119</v>
      </c>
      <c r="BY160" t="s">
        <v>120</v>
      </c>
      <c r="CJ160">
        <v>0</v>
      </c>
      <c r="CK160">
        <v>0</v>
      </c>
      <c r="CL160">
        <v>0</v>
      </c>
      <c r="CM160">
        <v>2</v>
      </c>
      <c r="CN160">
        <v>0</v>
      </c>
      <c r="CO160">
        <v>7</v>
      </c>
      <c r="CP160" t="s">
        <v>121</v>
      </c>
      <c r="CQ160">
        <v>579</v>
      </c>
      <c r="CR160">
        <v>0</v>
      </c>
      <c r="CW160">
        <v>200046</v>
      </c>
      <c r="CY160">
        <v>0</v>
      </c>
      <c r="CZ160">
        <v>0</v>
      </c>
      <c r="DA160">
        <v>0</v>
      </c>
      <c r="DB160">
        <v>1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</row>
    <row r="161" spans="1:113" x14ac:dyDescent="0.3">
      <c r="A161" t="str">
        <f>"06/16/2022 19:03:01.469"</f>
        <v>06/16/2022 19:03:01.469</v>
      </c>
      <c r="C161" t="str">
        <f t="shared" si="6"/>
        <v>FFBF5BC0</v>
      </c>
      <c r="D161" t="s">
        <v>113</v>
      </c>
      <c r="E161">
        <v>8</v>
      </c>
      <c r="H161">
        <v>206</v>
      </c>
      <c r="I161" t="s">
        <v>114</v>
      </c>
      <c r="J161" t="s">
        <v>115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"19:03:01.047"</f>
        <v>19:03:01.047</v>
      </c>
      <c r="T161" t="str">
        <f>"19:03:01.047"</f>
        <v>19:03:01.047</v>
      </c>
      <c r="U161" t="str">
        <f t="shared" si="7"/>
        <v>AB63B2</v>
      </c>
      <c r="V161">
        <v>0</v>
      </c>
      <c r="W161">
        <v>0</v>
      </c>
      <c r="X161">
        <v>6</v>
      </c>
      <c r="Z161">
        <v>0</v>
      </c>
      <c r="AA161">
        <v>9</v>
      </c>
      <c r="AB161">
        <v>3</v>
      </c>
      <c r="AC161">
        <v>0</v>
      </c>
      <c r="AD161">
        <v>10</v>
      </c>
      <c r="AE161">
        <v>0</v>
      </c>
      <c r="AF161">
        <v>0</v>
      </c>
      <c r="AG161">
        <v>2</v>
      </c>
      <c r="AH161">
        <v>0</v>
      </c>
      <c r="AI161" t="s">
        <v>148</v>
      </c>
      <c r="AJ161">
        <v>41.990712000000002</v>
      </c>
      <c r="AK161" t="s">
        <v>136</v>
      </c>
      <c r="AL161">
        <v>-87.894917000000007</v>
      </c>
      <c r="AS161">
        <v>1</v>
      </c>
      <c r="AT161" t="s">
        <v>118</v>
      </c>
      <c r="AU161" t="b">
        <v>1</v>
      </c>
      <c r="AV161">
        <v>180</v>
      </c>
      <c r="AW161">
        <v>8.625</v>
      </c>
      <c r="AX161">
        <v>1</v>
      </c>
      <c r="AZ161">
        <v>7205</v>
      </c>
      <c r="BA161">
        <v>1</v>
      </c>
      <c r="BB161" t="str">
        <f t="shared" si="8"/>
        <v xml:space="preserve">KAP400  </v>
      </c>
      <c r="BC161">
        <v>1</v>
      </c>
      <c r="BE161">
        <v>0</v>
      </c>
      <c r="BF161">
        <v>0</v>
      </c>
      <c r="BG161">
        <v>0</v>
      </c>
      <c r="BI161">
        <v>1</v>
      </c>
      <c r="BJ161">
        <v>1</v>
      </c>
      <c r="BK161">
        <v>1</v>
      </c>
      <c r="BL161">
        <v>0</v>
      </c>
      <c r="BO161">
        <v>0</v>
      </c>
      <c r="BP161">
        <v>0</v>
      </c>
      <c r="BW161" t="str">
        <f>"19:03:01.055"</f>
        <v>19:03:01.055</v>
      </c>
      <c r="BX161" t="s">
        <v>119</v>
      </c>
      <c r="BY161" t="s">
        <v>120</v>
      </c>
      <c r="CJ161">
        <v>0</v>
      </c>
      <c r="CK161">
        <v>0</v>
      </c>
      <c r="CL161">
        <v>0</v>
      </c>
      <c r="CM161">
        <v>2</v>
      </c>
      <c r="CN161">
        <v>0</v>
      </c>
      <c r="CO161">
        <v>6</v>
      </c>
      <c r="CP161" t="s">
        <v>121</v>
      </c>
      <c r="CQ161">
        <v>581</v>
      </c>
      <c r="CR161">
        <v>0</v>
      </c>
      <c r="CW161">
        <v>14331263</v>
      </c>
      <c r="CY161">
        <v>0</v>
      </c>
      <c r="CZ161">
        <v>0</v>
      </c>
      <c r="DA161">
        <v>0</v>
      </c>
      <c r="DB161">
        <v>1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</row>
    <row r="162" spans="1:113" x14ac:dyDescent="0.3">
      <c r="A162" t="str">
        <f>"06/16/2022 19:03:02.374"</f>
        <v>06/16/2022 19:03:02.374</v>
      </c>
      <c r="C162" t="str">
        <f t="shared" si="6"/>
        <v>FFBF5BC0</v>
      </c>
      <c r="D162" t="s">
        <v>113</v>
      </c>
      <c r="E162">
        <v>8</v>
      </c>
      <c r="H162">
        <v>206</v>
      </c>
      <c r="I162" t="s">
        <v>114</v>
      </c>
      <c r="J162" t="s">
        <v>115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>"19:03:02.039"</f>
        <v>19:03:02.039</v>
      </c>
      <c r="T162" t="str">
        <f>"19:03:02.039"</f>
        <v>19:03:02.039</v>
      </c>
      <c r="U162" t="str">
        <f t="shared" si="7"/>
        <v>AB63B2</v>
      </c>
      <c r="V162">
        <v>0</v>
      </c>
      <c r="W162">
        <v>0</v>
      </c>
      <c r="X162">
        <v>6</v>
      </c>
      <c r="Z162">
        <v>0</v>
      </c>
      <c r="AA162">
        <v>9</v>
      </c>
      <c r="AB162">
        <v>3</v>
      </c>
      <c r="AC162">
        <v>0</v>
      </c>
      <c r="AD162">
        <v>10</v>
      </c>
      <c r="AE162">
        <v>0</v>
      </c>
      <c r="AF162">
        <v>0</v>
      </c>
      <c r="AG162">
        <v>2</v>
      </c>
      <c r="AH162">
        <v>0</v>
      </c>
      <c r="AI162" t="s">
        <v>149</v>
      </c>
      <c r="AJ162">
        <v>41.990668999999997</v>
      </c>
      <c r="AK162" t="s">
        <v>141</v>
      </c>
      <c r="AL162">
        <v>-87.894937999999996</v>
      </c>
      <c r="AS162">
        <v>1</v>
      </c>
      <c r="AT162" t="s">
        <v>118</v>
      </c>
      <c r="AU162" t="b">
        <v>1</v>
      </c>
      <c r="AV162">
        <v>180</v>
      </c>
      <c r="AW162">
        <v>9.125</v>
      </c>
      <c r="AX162">
        <v>1</v>
      </c>
      <c r="AZ162">
        <v>7205</v>
      </c>
      <c r="BA162">
        <v>1</v>
      </c>
      <c r="BB162" t="str">
        <f t="shared" si="8"/>
        <v xml:space="preserve">KAP400  </v>
      </c>
      <c r="BC162">
        <v>1</v>
      </c>
      <c r="BE162">
        <v>0</v>
      </c>
      <c r="BF162">
        <v>0</v>
      </c>
      <c r="BG162">
        <v>0</v>
      </c>
      <c r="BI162">
        <v>1</v>
      </c>
      <c r="BJ162">
        <v>1</v>
      </c>
      <c r="BK162">
        <v>1</v>
      </c>
      <c r="BL162">
        <v>0</v>
      </c>
      <c r="BO162">
        <v>0</v>
      </c>
      <c r="BP162">
        <v>0</v>
      </c>
      <c r="BW162" t="str">
        <f>"19:03:02.046"</f>
        <v>19:03:02.046</v>
      </c>
      <c r="BX162" t="s">
        <v>119</v>
      </c>
      <c r="BY162" t="s">
        <v>120</v>
      </c>
      <c r="CJ162">
        <v>0</v>
      </c>
      <c r="CK162">
        <v>0</v>
      </c>
      <c r="CL162">
        <v>0</v>
      </c>
      <c r="CM162">
        <v>2</v>
      </c>
      <c r="CN162">
        <v>0</v>
      </c>
      <c r="CO162">
        <v>6</v>
      </c>
      <c r="CP162" t="s">
        <v>121</v>
      </c>
      <c r="CQ162">
        <v>579</v>
      </c>
      <c r="CR162">
        <v>0</v>
      </c>
      <c r="CW162">
        <v>205379</v>
      </c>
      <c r="CY162">
        <v>0</v>
      </c>
      <c r="CZ162">
        <v>0</v>
      </c>
      <c r="DA162">
        <v>0</v>
      </c>
      <c r="DB162">
        <v>1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</row>
    <row r="163" spans="1:113" x14ac:dyDescent="0.3">
      <c r="A163" t="str">
        <f>"06/16/2022 19:03:03.218"</f>
        <v>06/16/2022 19:03:03.218</v>
      </c>
      <c r="C163" t="str">
        <f t="shared" si="6"/>
        <v>FFBF5BC0</v>
      </c>
      <c r="D163" t="s">
        <v>113</v>
      </c>
      <c r="E163">
        <v>8</v>
      </c>
      <c r="H163">
        <v>206</v>
      </c>
      <c r="I163" t="s">
        <v>114</v>
      </c>
      <c r="J163" t="s">
        <v>115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>"19:03:02.953"</f>
        <v>19:03:02.953</v>
      </c>
      <c r="T163" t="str">
        <f>"19:03:02.953"</f>
        <v>19:03:02.953</v>
      </c>
      <c r="U163" t="str">
        <f t="shared" si="7"/>
        <v>AB63B2</v>
      </c>
      <c r="V163">
        <v>0</v>
      </c>
      <c r="W163">
        <v>0</v>
      </c>
      <c r="X163">
        <v>6</v>
      </c>
      <c r="Z163">
        <v>0</v>
      </c>
      <c r="AA163">
        <v>9</v>
      </c>
      <c r="AB163">
        <v>3</v>
      </c>
      <c r="AC163">
        <v>0</v>
      </c>
      <c r="AD163">
        <v>10</v>
      </c>
      <c r="AE163">
        <v>0</v>
      </c>
      <c r="AF163">
        <v>0</v>
      </c>
      <c r="AG163">
        <v>2</v>
      </c>
      <c r="AH163">
        <v>0</v>
      </c>
      <c r="AI163" t="s">
        <v>150</v>
      </c>
      <c r="AJ163">
        <v>41.990625999999999</v>
      </c>
      <c r="AK163" t="s">
        <v>141</v>
      </c>
      <c r="AL163">
        <v>-87.894937999999996</v>
      </c>
      <c r="AS163">
        <v>1</v>
      </c>
      <c r="AT163" t="s">
        <v>118</v>
      </c>
      <c r="AU163" t="b">
        <v>1</v>
      </c>
      <c r="AV163">
        <v>180</v>
      </c>
      <c r="AW163">
        <v>9.625</v>
      </c>
      <c r="AX163">
        <v>1</v>
      </c>
      <c r="AZ163">
        <v>7205</v>
      </c>
      <c r="BA163">
        <v>1</v>
      </c>
      <c r="BB163" t="str">
        <f t="shared" si="8"/>
        <v xml:space="preserve">KAP400  </v>
      </c>
      <c r="BC163">
        <v>1</v>
      </c>
      <c r="BE163">
        <v>0</v>
      </c>
      <c r="BF163">
        <v>0</v>
      </c>
      <c r="BG163">
        <v>0</v>
      </c>
      <c r="BI163">
        <v>1</v>
      </c>
      <c r="BJ163">
        <v>1</v>
      </c>
      <c r="BK163">
        <v>1</v>
      </c>
      <c r="BL163">
        <v>0</v>
      </c>
      <c r="BO163">
        <v>0</v>
      </c>
      <c r="BP163">
        <v>0</v>
      </c>
      <c r="BW163" t="str">
        <f>"19:03:02.957"</f>
        <v>19:03:02.957</v>
      </c>
      <c r="BX163" t="s">
        <v>119</v>
      </c>
      <c r="BY163" t="s">
        <v>120</v>
      </c>
      <c r="CJ163">
        <v>0</v>
      </c>
      <c r="CK163">
        <v>0</v>
      </c>
      <c r="CL163">
        <v>0</v>
      </c>
      <c r="CM163">
        <v>2</v>
      </c>
      <c r="CN163">
        <v>0</v>
      </c>
      <c r="CO163">
        <v>6</v>
      </c>
      <c r="CP163" t="s">
        <v>121</v>
      </c>
      <c r="CQ163">
        <v>579</v>
      </c>
      <c r="CR163">
        <v>0</v>
      </c>
      <c r="CW163">
        <v>207384</v>
      </c>
      <c r="CY163">
        <v>0</v>
      </c>
      <c r="CZ163">
        <v>0</v>
      </c>
      <c r="DA163">
        <v>0</v>
      </c>
      <c r="DB163">
        <v>1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</row>
    <row r="164" spans="1:113" x14ac:dyDescent="0.3">
      <c r="A164" t="str">
        <f>"06/16/2022 19:03:04.999"</f>
        <v>06/16/2022 19:03:04.999</v>
      </c>
      <c r="C164" t="str">
        <f t="shared" si="6"/>
        <v>FFBF5BC0</v>
      </c>
      <c r="D164" t="s">
        <v>113</v>
      </c>
      <c r="E164">
        <v>8</v>
      </c>
      <c r="H164">
        <v>206</v>
      </c>
      <c r="I164" t="s">
        <v>114</v>
      </c>
      <c r="J164" t="s">
        <v>115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>"19:03:04.586"</f>
        <v>19:03:04.586</v>
      </c>
      <c r="T164" t="str">
        <f>"19:03:04.586"</f>
        <v>19:03:04.586</v>
      </c>
      <c r="U164" t="str">
        <f t="shared" si="7"/>
        <v>AB63B2</v>
      </c>
      <c r="V164">
        <v>0</v>
      </c>
      <c r="W164">
        <v>0</v>
      </c>
      <c r="X164">
        <v>6</v>
      </c>
      <c r="Z164">
        <v>0</v>
      </c>
      <c r="AA164">
        <v>9</v>
      </c>
      <c r="AB164">
        <v>3</v>
      </c>
      <c r="AC164">
        <v>0</v>
      </c>
      <c r="AD164">
        <v>10</v>
      </c>
      <c r="AE164">
        <v>0</v>
      </c>
      <c r="AF164">
        <v>0</v>
      </c>
      <c r="AG164">
        <v>2</v>
      </c>
      <c r="AH164">
        <v>0</v>
      </c>
      <c r="AI164" t="s">
        <v>151</v>
      </c>
      <c r="AJ164">
        <v>41.990583000000001</v>
      </c>
      <c r="AK164" t="s">
        <v>141</v>
      </c>
      <c r="AL164">
        <v>-87.894937999999996</v>
      </c>
      <c r="AS164">
        <v>1</v>
      </c>
      <c r="AT164" t="s">
        <v>118</v>
      </c>
      <c r="AU164" t="b">
        <v>1</v>
      </c>
      <c r="AV164">
        <v>180</v>
      </c>
      <c r="AW164">
        <v>10.125</v>
      </c>
      <c r="AX164">
        <v>1</v>
      </c>
      <c r="AZ164">
        <v>7205</v>
      </c>
      <c r="BA164">
        <v>1</v>
      </c>
      <c r="BB164" t="str">
        <f t="shared" si="8"/>
        <v xml:space="preserve">KAP400  </v>
      </c>
      <c r="BC164">
        <v>1</v>
      </c>
      <c r="BE164">
        <v>0</v>
      </c>
      <c r="BF164">
        <v>0</v>
      </c>
      <c r="BG164">
        <v>0</v>
      </c>
      <c r="BI164">
        <v>1</v>
      </c>
      <c r="BJ164">
        <v>1</v>
      </c>
      <c r="BK164">
        <v>1</v>
      </c>
      <c r="BL164">
        <v>0</v>
      </c>
      <c r="BO164">
        <v>0</v>
      </c>
      <c r="BP164">
        <v>0</v>
      </c>
      <c r="BW164" t="str">
        <f>"19:03:04.587"</f>
        <v>19:03:04.587</v>
      </c>
      <c r="BX164" t="s">
        <v>119</v>
      </c>
      <c r="BY164" t="s">
        <v>120</v>
      </c>
      <c r="CJ164">
        <v>0</v>
      </c>
      <c r="CK164">
        <v>0</v>
      </c>
      <c r="CL164">
        <v>0</v>
      </c>
      <c r="CM164">
        <v>2</v>
      </c>
      <c r="CN164">
        <v>0</v>
      </c>
      <c r="CO164">
        <v>6</v>
      </c>
      <c r="CP164" t="s">
        <v>121</v>
      </c>
      <c r="CQ164">
        <v>579</v>
      </c>
      <c r="CR164">
        <v>0</v>
      </c>
      <c r="CW164">
        <v>210845</v>
      </c>
      <c r="CY164">
        <v>0</v>
      </c>
      <c r="CZ164">
        <v>0</v>
      </c>
      <c r="DA164">
        <v>0</v>
      </c>
      <c r="DB164">
        <v>1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</row>
    <row r="165" spans="1:113" x14ac:dyDescent="0.3">
      <c r="A165" t="str">
        <f>"06/16/2022 19:03:05.812"</f>
        <v>06/16/2022 19:03:05.812</v>
      </c>
      <c r="C165" t="str">
        <f t="shared" si="6"/>
        <v>FFBF5BC0</v>
      </c>
      <c r="D165" t="s">
        <v>113</v>
      </c>
      <c r="E165">
        <v>8</v>
      </c>
      <c r="H165">
        <v>206</v>
      </c>
      <c r="I165" t="s">
        <v>114</v>
      </c>
      <c r="J165" t="s">
        <v>115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>"19:03:05.516"</f>
        <v>19:03:05.516</v>
      </c>
      <c r="T165" t="str">
        <f>"19:03:05.516"</f>
        <v>19:03:05.516</v>
      </c>
      <c r="U165" t="str">
        <f t="shared" si="7"/>
        <v>AB63B2</v>
      </c>
      <c r="V165">
        <v>0</v>
      </c>
      <c r="W165">
        <v>0</v>
      </c>
      <c r="X165">
        <v>6</v>
      </c>
      <c r="Z165">
        <v>0</v>
      </c>
      <c r="AA165">
        <v>9</v>
      </c>
      <c r="AB165">
        <v>3</v>
      </c>
      <c r="AC165">
        <v>0</v>
      </c>
      <c r="AD165">
        <v>10</v>
      </c>
      <c r="AE165">
        <v>0</v>
      </c>
      <c r="AF165">
        <v>0</v>
      </c>
      <c r="AG165">
        <v>2</v>
      </c>
      <c r="AH165">
        <v>0</v>
      </c>
      <c r="AI165" t="s">
        <v>152</v>
      </c>
      <c r="AJ165">
        <v>41.990518999999999</v>
      </c>
      <c r="AK165" t="s">
        <v>141</v>
      </c>
      <c r="AL165">
        <v>-87.894937999999996</v>
      </c>
      <c r="AS165">
        <v>1</v>
      </c>
      <c r="AT165" t="s">
        <v>118</v>
      </c>
      <c r="AU165" t="b">
        <v>1</v>
      </c>
      <c r="AV165">
        <v>180</v>
      </c>
      <c r="AW165">
        <v>9.625</v>
      </c>
      <c r="AX165">
        <v>1</v>
      </c>
      <c r="AZ165">
        <v>7205</v>
      </c>
      <c r="BA165">
        <v>1</v>
      </c>
      <c r="BB165" t="str">
        <f t="shared" si="8"/>
        <v xml:space="preserve">KAP400  </v>
      </c>
      <c r="BC165">
        <v>1</v>
      </c>
      <c r="BE165">
        <v>0</v>
      </c>
      <c r="BF165">
        <v>0</v>
      </c>
      <c r="BG165">
        <v>0</v>
      </c>
      <c r="BI165">
        <v>1</v>
      </c>
      <c r="BJ165">
        <v>1</v>
      </c>
      <c r="BK165">
        <v>1</v>
      </c>
      <c r="BL165">
        <v>0</v>
      </c>
      <c r="BO165">
        <v>0</v>
      </c>
      <c r="BP165">
        <v>0</v>
      </c>
      <c r="BW165" t="str">
        <f>"19:03:05.516"</f>
        <v>19:03:05.516</v>
      </c>
      <c r="BX165" t="s">
        <v>119</v>
      </c>
      <c r="BY165" t="s">
        <v>120</v>
      </c>
      <c r="CJ165">
        <v>0</v>
      </c>
      <c r="CK165">
        <v>0</v>
      </c>
      <c r="CL165">
        <v>0</v>
      </c>
      <c r="CM165">
        <v>2</v>
      </c>
      <c r="CN165">
        <v>0</v>
      </c>
      <c r="CO165">
        <v>6</v>
      </c>
      <c r="CP165" t="s">
        <v>121</v>
      </c>
      <c r="CQ165">
        <v>581</v>
      </c>
      <c r="CR165">
        <v>0</v>
      </c>
      <c r="CW165">
        <v>14338947</v>
      </c>
      <c r="CY165">
        <v>0</v>
      </c>
      <c r="CZ165">
        <v>0</v>
      </c>
      <c r="DA165">
        <v>0</v>
      </c>
      <c r="DB165">
        <v>1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</row>
    <row r="166" spans="1:113" x14ac:dyDescent="0.3">
      <c r="A166" t="str">
        <f>"06/16/2022 19:03:06.750"</f>
        <v>06/16/2022 19:03:06.750</v>
      </c>
      <c r="C166" t="str">
        <f t="shared" si="6"/>
        <v>FFBF5BC0</v>
      </c>
      <c r="D166" t="s">
        <v>113</v>
      </c>
      <c r="E166">
        <v>8</v>
      </c>
      <c r="H166">
        <v>206</v>
      </c>
      <c r="I166" t="s">
        <v>114</v>
      </c>
      <c r="J166" t="s">
        <v>115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>"19:03:06.484"</f>
        <v>19:03:06.484</v>
      </c>
      <c r="T166" t="str">
        <f>"19:03:06.484"</f>
        <v>19:03:06.484</v>
      </c>
      <c r="U166" t="str">
        <f t="shared" si="7"/>
        <v>AB63B2</v>
      </c>
      <c r="V166">
        <v>0</v>
      </c>
      <c r="W166">
        <v>0</v>
      </c>
      <c r="X166">
        <v>6</v>
      </c>
      <c r="Z166">
        <v>0</v>
      </c>
      <c r="AA166">
        <v>9</v>
      </c>
      <c r="AB166">
        <v>3</v>
      </c>
      <c r="AC166">
        <v>0</v>
      </c>
      <c r="AD166">
        <v>10</v>
      </c>
      <c r="AE166">
        <v>0</v>
      </c>
      <c r="AF166">
        <v>0</v>
      </c>
      <c r="AG166">
        <v>2</v>
      </c>
      <c r="AH166">
        <v>0</v>
      </c>
      <c r="AI166" t="s">
        <v>153</v>
      </c>
      <c r="AJ166">
        <v>41.990476000000001</v>
      </c>
      <c r="AK166" t="s">
        <v>141</v>
      </c>
      <c r="AL166">
        <v>-87.894937999999996</v>
      </c>
      <c r="AS166">
        <v>1</v>
      </c>
      <c r="AT166" t="s">
        <v>118</v>
      </c>
      <c r="AU166" t="b">
        <v>1</v>
      </c>
      <c r="AV166">
        <v>180</v>
      </c>
      <c r="AW166">
        <v>9.125</v>
      </c>
      <c r="AX166">
        <v>1</v>
      </c>
      <c r="AZ166">
        <v>7205</v>
      </c>
      <c r="BA166">
        <v>1</v>
      </c>
      <c r="BB166" t="str">
        <f t="shared" si="8"/>
        <v xml:space="preserve">KAP400  </v>
      </c>
      <c r="BC166">
        <v>1</v>
      </c>
      <c r="BE166">
        <v>0</v>
      </c>
      <c r="BF166">
        <v>0</v>
      </c>
      <c r="BG166">
        <v>0</v>
      </c>
      <c r="BI166">
        <v>1</v>
      </c>
      <c r="BJ166">
        <v>1</v>
      </c>
      <c r="BK166">
        <v>1</v>
      </c>
      <c r="BL166">
        <v>0</v>
      </c>
      <c r="BO166">
        <v>0</v>
      </c>
      <c r="BP166">
        <v>0</v>
      </c>
      <c r="BW166" t="str">
        <f>"19:03:06.486"</f>
        <v>19:03:06.486</v>
      </c>
      <c r="BX166" t="s">
        <v>119</v>
      </c>
      <c r="BY166" t="s">
        <v>120</v>
      </c>
      <c r="CJ166">
        <v>0</v>
      </c>
      <c r="CK166">
        <v>0</v>
      </c>
      <c r="CL166">
        <v>0</v>
      </c>
      <c r="CM166">
        <v>2</v>
      </c>
      <c r="CN166">
        <v>0</v>
      </c>
      <c r="CO166">
        <v>6</v>
      </c>
      <c r="CP166" t="s">
        <v>121</v>
      </c>
      <c r="CQ166">
        <v>582</v>
      </c>
      <c r="CR166">
        <v>0</v>
      </c>
      <c r="CW166">
        <v>5329362</v>
      </c>
      <c r="CY166">
        <v>0</v>
      </c>
      <c r="CZ166">
        <v>0</v>
      </c>
      <c r="DA166">
        <v>0</v>
      </c>
      <c r="DB166">
        <v>1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</row>
    <row r="167" spans="1:113" x14ac:dyDescent="0.3">
      <c r="A167" t="str">
        <f>"06/16/2022 19:03:07.578"</f>
        <v>06/16/2022 19:03:07.578</v>
      </c>
      <c r="C167" t="str">
        <f t="shared" si="6"/>
        <v>FFBF5BC0</v>
      </c>
      <c r="D167" t="s">
        <v>113</v>
      </c>
      <c r="E167">
        <v>8</v>
      </c>
      <c r="H167">
        <v>206</v>
      </c>
      <c r="I167" t="s">
        <v>114</v>
      </c>
      <c r="J167" t="s">
        <v>115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>"19:03:07.352"</f>
        <v>19:03:07.352</v>
      </c>
      <c r="T167" t="str">
        <f>"19:03:07.352"</f>
        <v>19:03:07.352</v>
      </c>
      <c r="U167" t="str">
        <f t="shared" si="7"/>
        <v>AB63B2</v>
      </c>
      <c r="V167">
        <v>0</v>
      </c>
      <c r="W167">
        <v>0</v>
      </c>
      <c r="X167">
        <v>6</v>
      </c>
      <c r="Z167">
        <v>0</v>
      </c>
      <c r="AA167">
        <v>9</v>
      </c>
      <c r="AB167">
        <v>3</v>
      </c>
      <c r="AC167">
        <v>0</v>
      </c>
      <c r="AD167">
        <v>10</v>
      </c>
      <c r="AE167">
        <v>0</v>
      </c>
      <c r="AF167">
        <v>0</v>
      </c>
      <c r="AG167">
        <v>2</v>
      </c>
      <c r="AH167">
        <v>0</v>
      </c>
      <c r="AI167" t="s">
        <v>154</v>
      </c>
      <c r="AJ167">
        <v>41.990454</v>
      </c>
      <c r="AK167" t="s">
        <v>141</v>
      </c>
      <c r="AL167">
        <v>-87.894937999999996</v>
      </c>
      <c r="AS167">
        <v>1</v>
      </c>
      <c r="AT167" t="s">
        <v>118</v>
      </c>
      <c r="AU167" t="b">
        <v>1</v>
      </c>
      <c r="AV167">
        <v>180</v>
      </c>
      <c r="AW167">
        <v>9.125</v>
      </c>
      <c r="AX167">
        <v>1</v>
      </c>
      <c r="AZ167">
        <v>7205</v>
      </c>
      <c r="BA167">
        <v>1</v>
      </c>
      <c r="BB167" t="str">
        <f t="shared" si="8"/>
        <v xml:space="preserve">KAP400  </v>
      </c>
      <c r="BC167">
        <v>1</v>
      </c>
      <c r="BE167">
        <v>0</v>
      </c>
      <c r="BF167">
        <v>0</v>
      </c>
      <c r="BG167">
        <v>0</v>
      </c>
      <c r="BI167">
        <v>1</v>
      </c>
      <c r="BJ167">
        <v>1</v>
      </c>
      <c r="BK167">
        <v>1</v>
      </c>
      <c r="BL167">
        <v>0</v>
      </c>
      <c r="BO167">
        <v>0</v>
      </c>
      <c r="BP167">
        <v>0</v>
      </c>
      <c r="BW167" t="str">
        <f>"19:03:07.354"</f>
        <v>19:03:07.354</v>
      </c>
      <c r="BX167" t="s">
        <v>119</v>
      </c>
      <c r="BY167" t="s">
        <v>120</v>
      </c>
      <c r="CJ167">
        <v>0</v>
      </c>
      <c r="CK167">
        <v>0</v>
      </c>
      <c r="CL167">
        <v>0</v>
      </c>
      <c r="CM167">
        <v>2</v>
      </c>
      <c r="CN167">
        <v>0</v>
      </c>
      <c r="CO167">
        <v>7</v>
      </c>
      <c r="CP167" t="s">
        <v>121</v>
      </c>
      <c r="CQ167">
        <v>582</v>
      </c>
      <c r="CR167">
        <v>0</v>
      </c>
      <c r="CW167">
        <v>5330911</v>
      </c>
      <c r="CY167">
        <v>0</v>
      </c>
      <c r="CZ167">
        <v>0</v>
      </c>
      <c r="DA167">
        <v>0</v>
      </c>
      <c r="DB167">
        <v>1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</row>
    <row r="168" spans="1:113" x14ac:dyDescent="0.3">
      <c r="A168" t="str">
        <f>"06/16/2022 19:03:08.562"</f>
        <v>06/16/2022 19:03:08.562</v>
      </c>
      <c r="C168" t="str">
        <f t="shared" si="6"/>
        <v>FFBF5BC0</v>
      </c>
      <c r="D168" t="s">
        <v>113</v>
      </c>
      <c r="E168">
        <v>8</v>
      </c>
      <c r="H168">
        <v>206</v>
      </c>
      <c r="I168" t="s">
        <v>114</v>
      </c>
      <c r="J168" t="s">
        <v>115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>"19:03:08.359"</f>
        <v>19:03:08.359</v>
      </c>
      <c r="T168" t="str">
        <f>"19:03:08.359"</f>
        <v>19:03:08.359</v>
      </c>
      <c r="U168" t="str">
        <f t="shared" si="7"/>
        <v>AB63B2</v>
      </c>
      <c r="V168">
        <v>0</v>
      </c>
      <c r="W168">
        <v>0</v>
      </c>
      <c r="X168">
        <v>6</v>
      </c>
      <c r="Z168">
        <v>0</v>
      </c>
      <c r="AA168">
        <v>9</v>
      </c>
      <c r="AB168">
        <v>3</v>
      </c>
      <c r="AC168">
        <v>0</v>
      </c>
      <c r="AD168">
        <v>10</v>
      </c>
      <c r="AE168">
        <v>0</v>
      </c>
      <c r="AF168">
        <v>0</v>
      </c>
      <c r="AG168">
        <v>2</v>
      </c>
      <c r="AH168">
        <v>0</v>
      </c>
      <c r="AI168" t="s">
        <v>155</v>
      </c>
      <c r="AJ168">
        <v>41.990411000000002</v>
      </c>
      <c r="AK168" t="s">
        <v>141</v>
      </c>
      <c r="AL168">
        <v>-87.894937999999996</v>
      </c>
      <c r="AS168">
        <v>1</v>
      </c>
      <c r="AT168" t="s">
        <v>118</v>
      </c>
      <c r="AU168" t="b">
        <v>1</v>
      </c>
      <c r="AV168">
        <v>180</v>
      </c>
      <c r="AW168">
        <v>9.125</v>
      </c>
      <c r="AX168">
        <v>1</v>
      </c>
      <c r="AZ168">
        <v>7205</v>
      </c>
      <c r="BA168">
        <v>1</v>
      </c>
      <c r="BB168" t="str">
        <f t="shared" si="8"/>
        <v xml:space="preserve">KAP400  </v>
      </c>
      <c r="BC168">
        <v>1</v>
      </c>
      <c r="BE168">
        <v>0</v>
      </c>
      <c r="BF168">
        <v>0</v>
      </c>
      <c r="BG168">
        <v>0</v>
      </c>
      <c r="BI168">
        <v>1</v>
      </c>
      <c r="BJ168">
        <v>1</v>
      </c>
      <c r="BK168">
        <v>1</v>
      </c>
      <c r="BL168">
        <v>0</v>
      </c>
      <c r="BO168">
        <v>0</v>
      </c>
      <c r="BP168">
        <v>0</v>
      </c>
      <c r="BW168" t="str">
        <f>"19:03:08.360"</f>
        <v>19:03:08.360</v>
      </c>
      <c r="BX168" t="s">
        <v>119</v>
      </c>
      <c r="BY168" t="s">
        <v>120</v>
      </c>
      <c r="CJ168">
        <v>0</v>
      </c>
      <c r="CK168">
        <v>0</v>
      </c>
      <c r="CL168">
        <v>0</v>
      </c>
      <c r="CM168">
        <v>2</v>
      </c>
      <c r="CN168">
        <v>0</v>
      </c>
      <c r="CO168">
        <v>7</v>
      </c>
      <c r="CP168" t="s">
        <v>121</v>
      </c>
      <c r="CQ168">
        <v>581</v>
      </c>
      <c r="CR168">
        <v>0</v>
      </c>
      <c r="CW168">
        <v>14343945</v>
      </c>
      <c r="CY168">
        <v>0</v>
      </c>
      <c r="CZ168">
        <v>0</v>
      </c>
      <c r="DA168">
        <v>0</v>
      </c>
      <c r="DB168">
        <v>1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</row>
    <row r="169" spans="1:113" x14ac:dyDescent="0.3">
      <c r="A169" t="str">
        <f>"06/16/2022 19:03:09.593"</f>
        <v>06/16/2022 19:03:09.593</v>
      </c>
      <c r="C169" t="str">
        <f t="shared" si="6"/>
        <v>FFBF5BC0</v>
      </c>
      <c r="D169" t="s">
        <v>113</v>
      </c>
      <c r="E169">
        <v>8</v>
      </c>
      <c r="H169">
        <v>206</v>
      </c>
      <c r="I169" t="s">
        <v>114</v>
      </c>
      <c r="J169" t="s">
        <v>115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>"19:03:09.336"</f>
        <v>19:03:09.336</v>
      </c>
      <c r="T169" t="str">
        <f>"19:03:09.336"</f>
        <v>19:03:09.336</v>
      </c>
      <c r="U169" t="str">
        <f t="shared" si="7"/>
        <v>AB63B2</v>
      </c>
      <c r="V169">
        <v>0</v>
      </c>
      <c r="W169">
        <v>0</v>
      </c>
      <c r="X169">
        <v>6</v>
      </c>
      <c r="Z169">
        <v>0</v>
      </c>
      <c r="AA169">
        <v>9</v>
      </c>
      <c r="AB169">
        <v>3</v>
      </c>
      <c r="AC169">
        <v>0</v>
      </c>
      <c r="AD169">
        <v>10</v>
      </c>
      <c r="AE169">
        <v>0</v>
      </c>
      <c r="AF169">
        <v>0</v>
      </c>
      <c r="AG169">
        <v>2</v>
      </c>
      <c r="AH169">
        <v>0</v>
      </c>
      <c r="AI169" t="s">
        <v>156</v>
      </c>
      <c r="AJ169">
        <v>41.990367999999997</v>
      </c>
      <c r="AK169" t="s">
        <v>141</v>
      </c>
      <c r="AL169">
        <v>-87.894937999999996</v>
      </c>
      <c r="AS169">
        <v>1</v>
      </c>
      <c r="AT169" t="s">
        <v>118</v>
      </c>
      <c r="AU169" t="b">
        <v>1</v>
      </c>
      <c r="AV169">
        <v>180</v>
      </c>
      <c r="AW169">
        <v>9.125</v>
      </c>
      <c r="AX169">
        <v>1</v>
      </c>
      <c r="AZ169">
        <v>7205</v>
      </c>
      <c r="BA169">
        <v>1</v>
      </c>
      <c r="BB169" t="str">
        <f t="shared" si="8"/>
        <v xml:space="preserve">KAP400  </v>
      </c>
      <c r="BC169">
        <v>1</v>
      </c>
      <c r="BE169">
        <v>0</v>
      </c>
      <c r="BF169">
        <v>0</v>
      </c>
      <c r="BG169">
        <v>0</v>
      </c>
      <c r="BI169">
        <v>1</v>
      </c>
      <c r="BJ169">
        <v>1</v>
      </c>
      <c r="BK169">
        <v>1</v>
      </c>
      <c r="BL169">
        <v>0</v>
      </c>
      <c r="BO169">
        <v>0</v>
      </c>
      <c r="BP169">
        <v>0</v>
      </c>
      <c r="BW169" t="str">
        <f>"19:03:09.338"</f>
        <v>19:03:09.338</v>
      </c>
      <c r="BX169" t="s">
        <v>119</v>
      </c>
      <c r="BY169" t="s">
        <v>120</v>
      </c>
      <c r="CJ169">
        <v>0</v>
      </c>
      <c r="CK169">
        <v>0</v>
      </c>
      <c r="CL169">
        <v>0</v>
      </c>
      <c r="CM169">
        <v>2</v>
      </c>
      <c r="CN169">
        <v>0</v>
      </c>
      <c r="CO169">
        <v>7</v>
      </c>
      <c r="CP169" t="s">
        <v>121</v>
      </c>
      <c r="CQ169">
        <v>581</v>
      </c>
      <c r="CR169">
        <v>0</v>
      </c>
      <c r="CW169">
        <v>14345647</v>
      </c>
      <c r="CY169">
        <v>0</v>
      </c>
      <c r="CZ169">
        <v>0</v>
      </c>
      <c r="DA169">
        <v>0</v>
      </c>
      <c r="DB169">
        <v>1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</row>
    <row r="170" spans="1:113" x14ac:dyDescent="0.3">
      <c r="A170" t="str">
        <f>"06/16/2022 19:03:10.547"</f>
        <v>06/16/2022 19:03:10.547</v>
      </c>
      <c r="C170" t="str">
        <f t="shared" si="6"/>
        <v>FFBF5BC0</v>
      </c>
      <c r="D170" t="s">
        <v>113</v>
      </c>
      <c r="E170">
        <v>8</v>
      </c>
      <c r="H170">
        <v>206</v>
      </c>
      <c r="I170" t="s">
        <v>114</v>
      </c>
      <c r="J170" t="s">
        <v>115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>"19:03:10.266"</f>
        <v>19:03:10.266</v>
      </c>
      <c r="T170" t="str">
        <f>"19:03:10.266"</f>
        <v>19:03:10.266</v>
      </c>
      <c r="U170" t="str">
        <f t="shared" si="7"/>
        <v>AB63B2</v>
      </c>
      <c r="V170">
        <v>0</v>
      </c>
      <c r="W170">
        <v>0</v>
      </c>
      <c r="X170">
        <v>6</v>
      </c>
      <c r="Z170">
        <v>0</v>
      </c>
      <c r="AA170">
        <v>9</v>
      </c>
      <c r="AB170">
        <v>3</v>
      </c>
      <c r="AC170">
        <v>0</v>
      </c>
      <c r="AD170">
        <v>10</v>
      </c>
      <c r="AE170">
        <v>0</v>
      </c>
      <c r="AF170">
        <v>0</v>
      </c>
      <c r="AG170">
        <v>2</v>
      </c>
      <c r="AH170">
        <v>0</v>
      </c>
      <c r="AI170" t="s">
        <v>157</v>
      </c>
      <c r="AJ170">
        <v>41.990324999999999</v>
      </c>
      <c r="AK170" t="s">
        <v>141</v>
      </c>
      <c r="AL170">
        <v>-87.894937999999996</v>
      </c>
      <c r="AS170">
        <v>1</v>
      </c>
      <c r="AT170" t="s">
        <v>118</v>
      </c>
      <c r="AU170" t="b">
        <v>1</v>
      </c>
      <c r="AV170">
        <v>180</v>
      </c>
      <c r="AW170">
        <v>9.125</v>
      </c>
      <c r="AX170">
        <v>1</v>
      </c>
      <c r="AZ170">
        <v>7205</v>
      </c>
      <c r="BA170">
        <v>1</v>
      </c>
      <c r="BB170" t="str">
        <f t="shared" si="8"/>
        <v xml:space="preserve">KAP400  </v>
      </c>
      <c r="BC170">
        <v>1</v>
      </c>
      <c r="BE170">
        <v>0</v>
      </c>
      <c r="BF170">
        <v>0</v>
      </c>
      <c r="BG170">
        <v>0</v>
      </c>
      <c r="BI170">
        <v>1</v>
      </c>
      <c r="BJ170">
        <v>1</v>
      </c>
      <c r="BK170">
        <v>1</v>
      </c>
      <c r="BL170">
        <v>0</v>
      </c>
      <c r="BO170">
        <v>0</v>
      </c>
      <c r="BP170">
        <v>0</v>
      </c>
      <c r="BW170" t="str">
        <f>"19:03:10.272"</f>
        <v>19:03:10.272</v>
      </c>
      <c r="BX170" t="s">
        <v>119</v>
      </c>
      <c r="BY170" t="s">
        <v>120</v>
      </c>
      <c r="CJ170">
        <v>0</v>
      </c>
      <c r="CK170">
        <v>0</v>
      </c>
      <c r="CL170">
        <v>0</v>
      </c>
      <c r="CM170">
        <v>2</v>
      </c>
      <c r="CN170">
        <v>0</v>
      </c>
      <c r="CO170">
        <v>7</v>
      </c>
      <c r="CP170" t="s">
        <v>121</v>
      </c>
      <c r="CQ170">
        <v>581</v>
      </c>
      <c r="CR170">
        <v>0</v>
      </c>
      <c r="CW170">
        <v>14347245</v>
      </c>
      <c r="CY170">
        <v>0</v>
      </c>
      <c r="CZ170">
        <v>0</v>
      </c>
      <c r="DA170">
        <v>0</v>
      </c>
      <c r="DB170">
        <v>1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</row>
    <row r="171" spans="1:113" x14ac:dyDescent="0.3">
      <c r="A171" t="str">
        <f>"06/16/2022 19:03:11.407"</f>
        <v>06/16/2022 19:03:11.407</v>
      </c>
      <c r="C171" t="str">
        <f t="shared" si="6"/>
        <v>FFBF5BC0</v>
      </c>
      <c r="D171" t="s">
        <v>113</v>
      </c>
      <c r="E171">
        <v>8</v>
      </c>
      <c r="H171">
        <v>206</v>
      </c>
      <c r="I171" t="s">
        <v>114</v>
      </c>
      <c r="J171" t="s">
        <v>115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>"19:03:11.141"</f>
        <v>19:03:11.141</v>
      </c>
      <c r="T171" t="str">
        <f>"19:03:11.141"</f>
        <v>19:03:11.141</v>
      </c>
      <c r="U171" t="str">
        <f t="shared" si="7"/>
        <v>AB63B2</v>
      </c>
      <c r="V171">
        <v>0</v>
      </c>
      <c r="W171">
        <v>0</v>
      </c>
      <c r="X171">
        <v>6</v>
      </c>
      <c r="Z171">
        <v>0</v>
      </c>
      <c r="AA171">
        <v>9</v>
      </c>
      <c r="AB171">
        <v>3</v>
      </c>
      <c r="AC171">
        <v>0</v>
      </c>
      <c r="AD171">
        <v>10</v>
      </c>
      <c r="AE171">
        <v>0</v>
      </c>
      <c r="AF171">
        <v>0</v>
      </c>
      <c r="AG171">
        <v>2</v>
      </c>
      <c r="AH171">
        <v>0</v>
      </c>
      <c r="AI171" t="s">
        <v>158</v>
      </c>
      <c r="AJ171">
        <v>41.990304000000002</v>
      </c>
      <c r="AK171" t="s">
        <v>141</v>
      </c>
      <c r="AL171">
        <v>-87.894937999999996</v>
      </c>
      <c r="AS171">
        <v>1</v>
      </c>
      <c r="AT171" t="s">
        <v>118</v>
      </c>
      <c r="AU171" t="b">
        <v>1</v>
      </c>
      <c r="AV171">
        <v>180</v>
      </c>
      <c r="AW171">
        <v>9.125</v>
      </c>
      <c r="AX171">
        <v>1</v>
      </c>
      <c r="AZ171">
        <v>7205</v>
      </c>
      <c r="BA171">
        <v>1</v>
      </c>
      <c r="BB171" t="str">
        <f t="shared" si="8"/>
        <v xml:space="preserve">KAP400  </v>
      </c>
      <c r="BC171">
        <v>1</v>
      </c>
      <c r="BE171">
        <v>0</v>
      </c>
      <c r="BF171">
        <v>0</v>
      </c>
      <c r="BG171">
        <v>0</v>
      </c>
      <c r="BI171">
        <v>1</v>
      </c>
      <c r="BJ171">
        <v>1</v>
      </c>
      <c r="BK171">
        <v>1</v>
      </c>
      <c r="BL171">
        <v>0</v>
      </c>
      <c r="BO171">
        <v>0</v>
      </c>
      <c r="BP171">
        <v>0</v>
      </c>
      <c r="BW171" t="str">
        <f>"19:03:11.142"</f>
        <v>19:03:11.142</v>
      </c>
      <c r="BX171" t="s">
        <v>119</v>
      </c>
      <c r="BY171" t="s">
        <v>120</v>
      </c>
      <c r="CJ171">
        <v>0</v>
      </c>
      <c r="CK171">
        <v>0</v>
      </c>
      <c r="CL171">
        <v>0</v>
      </c>
      <c r="CM171">
        <v>2</v>
      </c>
      <c r="CN171">
        <v>0</v>
      </c>
      <c r="CO171">
        <v>7</v>
      </c>
      <c r="CP171" t="s">
        <v>121</v>
      </c>
      <c r="CQ171">
        <v>582</v>
      </c>
      <c r="CR171">
        <v>0</v>
      </c>
      <c r="CW171">
        <v>5337070</v>
      </c>
      <c r="CY171">
        <v>0</v>
      </c>
      <c r="CZ171">
        <v>0</v>
      </c>
      <c r="DA171">
        <v>0</v>
      </c>
      <c r="DB171">
        <v>1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</row>
    <row r="172" spans="1:113" x14ac:dyDescent="0.3">
      <c r="A172" t="str">
        <f>"06/16/2022 19:03:12.155"</f>
        <v>06/16/2022 19:03:12.155</v>
      </c>
      <c r="C172" t="str">
        <f t="shared" si="6"/>
        <v>FFBF5BC0</v>
      </c>
      <c r="D172" t="s">
        <v>113</v>
      </c>
      <c r="E172">
        <v>8</v>
      </c>
      <c r="H172">
        <v>206</v>
      </c>
      <c r="I172" t="s">
        <v>114</v>
      </c>
      <c r="J172" t="s">
        <v>115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>"19:03:11.953"</f>
        <v>19:03:11.953</v>
      </c>
      <c r="T172" t="str">
        <f>"19:03:11.953"</f>
        <v>19:03:11.953</v>
      </c>
      <c r="U172" t="str">
        <f t="shared" si="7"/>
        <v>AB63B2</v>
      </c>
      <c r="V172">
        <v>0</v>
      </c>
      <c r="W172">
        <v>0</v>
      </c>
      <c r="X172">
        <v>6</v>
      </c>
      <c r="Z172">
        <v>0</v>
      </c>
      <c r="AA172">
        <v>9</v>
      </c>
      <c r="AB172">
        <v>3</v>
      </c>
      <c r="AC172">
        <v>0</v>
      </c>
      <c r="AD172">
        <v>10</v>
      </c>
      <c r="AE172">
        <v>0</v>
      </c>
      <c r="AF172">
        <v>0</v>
      </c>
      <c r="AG172">
        <v>2</v>
      </c>
      <c r="AH172">
        <v>0</v>
      </c>
      <c r="AI172" t="s">
        <v>159</v>
      </c>
      <c r="AJ172">
        <v>41.990260999999997</v>
      </c>
      <c r="AK172" t="s">
        <v>141</v>
      </c>
      <c r="AL172">
        <v>-87.894937999999996</v>
      </c>
      <c r="AS172">
        <v>1</v>
      </c>
      <c r="AT172" t="s">
        <v>118</v>
      </c>
      <c r="AU172" t="b">
        <v>1</v>
      </c>
      <c r="AV172">
        <v>180</v>
      </c>
      <c r="AW172">
        <v>8.625</v>
      </c>
      <c r="AX172">
        <v>1</v>
      </c>
      <c r="AZ172">
        <v>7205</v>
      </c>
      <c r="BA172">
        <v>1</v>
      </c>
      <c r="BB172" t="str">
        <f t="shared" si="8"/>
        <v xml:space="preserve">KAP400  </v>
      </c>
      <c r="BC172">
        <v>1</v>
      </c>
      <c r="BE172">
        <v>0</v>
      </c>
      <c r="BF172">
        <v>0</v>
      </c>
      <c r="BG172">
        <v>0</v>
      </c>
      <c r="BI172">
        <v>1</v>
      </c>
      <c r="BJ172">
        <v>1</v>
      </c>
      <c r="BK172">
        <v>1</v>
      </c>
      <c r="BL172">
        <v>0</v>
      </c>
      <c r="BO172">
        <v>0</v>
      </c>
      <c r="BP172">
        <v>0</v>
      </c>
      <c r="BW172" t="str">
        <f>"19:03:11.953"</f>
        <v>19:03:11.953</v>
      </c>
      <c r="BX172" t="s">
        <v>119</v>
      </c>
      <c r="BY172" t="s">
        <v>120</v>
      </c>
      <c r="CJ172">
        <v>0</v>
      </c>
      <c r="CK172">
        <v>0</v>
      </c>
      <c r="CL172">
        <v>0</v>
      </c>
      <c r="CM172">
        <v>2</v>
      </c>
      <c r="CN172">
        <v>0</v>
      </c>
      <c r="CO172">
        <v>7</v>
      </c>
      <c r="CP172" t="s">
        <v>121</v>
      </c>
      <c r="CQ172">
        <v>582</v>
      </c>
      <c r="CR172">
        <v>0</v>
      </c>
      <c r="CW172">
        <v>5338559</v>
      </c>
      <c r="CY172">
        <v>0</v>
      </c>
      <c r="CZ172">
        <v>0</v>
      </c>
      <c r="DA172">
        <v>0</v>
      </c>
      <c r="DB172">
        <v>1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</row>
    <row r="173" spans="1:113" x14ac:dyDescent="0.3">
      <c r="A173" t="str">
        <f>"06/16/2022 19:03:13.300"</f>
        <v>06/16/2022 19:03:13.300</v>
      </c>
      <c r="C173" t="str">
        <f t="shared" si="6"/>
        <v>FFBF5BC0</v>
      </c>
      <c r="D173" t="s">
        <v>113</v>
      </c>
      <c r="E173">
        <v>8</v>
      </c>
      <c r="H173">
        <v>206</v>
      </c>
      <c r="I173" t="s">
        <v>114</v>
      </c>
      <c r="J173" t="s">
        <v>115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"19:03:13.023"</f>
        <v>19:03:13.023</v>
      </c>
      <c r="T173" t="str">
        <f>"19:03:13.023"</f>
        <v>19:03:13.023</v>
      </c>
      <c r="U173" t="str">
        <f t="shared" si="7"/>
        <v>AB63B2</v>
      </c>
      <c r="V173">
        <v>0</v>
      </c>
      <c r="W173">
        <v>0</v>
      </c>
      <c r="X173">
        <v>6</v>
      </c>
      <c r="Z173">
        <v>0</v>
      </c>
      <c r="AA173">
        <v>9</v>
      </c>
      <c r="AB173">
        <v>3</v>
      </c>
      <c r="AC173">
        <v>0</v>
      </c>
      <c r="AD173">
        <v>10</v>
      </c>
      <c r="AE173">
        <v>0</v>
      </c>
      <c r="AF173">
        <v>0</v>
      </c>
      <c r="AG173">
        <v>2</v>
      </c>
      <c r="AH173">
        <v>0</v>
      </c>
      <c r="AI173" t="s">
        <v>160</v>
      </c>
      <c r="AJ173">
        <v>41.990217999999999</v>
      </c>
      <c r="AK173" t="s">
        <v>136</v>
      </c>
      <c r="AL173">
        <v>-87.894917000000007</v>
      </c>
      <c r="AS173">
        <v>1</v>
      </c>
      <c r="AT173" t="s">
        <v>118</v>
      </c>
      <c r="AU173" t="b">
        <v>1</v>
      </c>
      <c r="AV173">
        <v>180</v>
      </c>
      <c r="AW173">
        <v>8.625</v>
      </c>
      <c r="AX173">
        <v>1</v>
      </c>
      <c r="AZ173">
        <v>7205</v>
      </c>
      <c r="BA173">
        <v>1</v>
      </c>
      <c r="BB173" t="str">
        <f t="shared" si="8"/>
        <v xml:space="preserve">KAP400  </v>
      </c>
      <c r="BC173">
        <v>1</v>
      </c>
      <c r="BE173">
        <v>0</v>
      </c>
      <c r="BF173">
        <v>0</v>
      </c>
      <c r="BG173">
        <v>0</v>
      </c>
      <c r="BI173">
        <v>1</v>
      </c>
      <c r="BJ173">
        <v>1</v>
      </c>
      <c r="BK173">
        <v>1</v>
      </c>
      <c r="BL173">
        <v>0</v>
      </c>
      <c r="BO173">
        <v>0</v>
      </c>
      <c r="BP173">
        <v>0</v>
      </c>
      <c r="BW173" t="str">
        <f>"19:03:13.025"</f>
        <v>19:03:13.025</v>
      </c>
      <c r="BX173" t="s">
        <v>119</v>
      </c>
      <c r="BY173" t="s">
        <v>120</v>
      </c>
      <c r="CJ173">
        <v>0</v>
      </c>
      <c r="CK173">
        <v>0</v>
      </c>
      <c r="CL173">
        <v>0</v>
      </c>
      <c r="CM173">
        <v>2</v>
      </c>
      <c r="CN173">
        <v>0</v>
      </c>
      <c r="CO173">
        <v>7</v>
      </c>
      <c r="CP173" t="s">
        <v>121</v>
      </c>
      <c r="CQ173">
        <v>582</v>
      </c>
      <c r="CR173">
        <v>0</v>
      </c>
      <c r="CW173">
        <v>5340286</v>
      </c>
      <c r="CY173">
        <v>0</v>
      </c>
      <c r="CZ173">
        <v>0</v>
      </c>
      <c r="DA173">
        <v>0</v>
      </c>
      <c r="DB173">
        <v>1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</row>
    <row r="174" spans="1:113" x14ac:dyDescent="0.3">
      <c r="A174" t="str">
        <f>"06/16/2022 19:03:14.239"</f>
        <v>06/16/2022 19:03:14.239</v>
      </c>
      <c r="C174" t="str">
        <f t="shared" si="6"/>
        <v>FFBF5BC0</v>
      </c>
      <c r="D174" t="s">
        <v>113</v>
      </c>
      <c r="E174">
        <v>8</v>
      </c>
      <c r="H174">
        <v>206</v>
      </c>
      <c r="I174" t="s">
        <v>114</v>
      </c>
      <c r="J174" t="s">
        <v>115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>"19:03:14.023"</f>
        <v>19:03:14.023</v>
      </c>
      <c r="T174" t="str">
        <f>"19:03:14.023"</f>
        <v>19:03:14.023</v>
      </c>
      <c r="U174" t="str">
        <f t="shared" si="7"/>
        <v>AB63B2</v>
      </c>
      <c r="V174">
        <v>0</v>
      </c>
      <c r="W174">
        <v>0</v>
      </c>
      <c r="X174">
        <v>6</v>
      </c>
      <c r="Z174">
        <v>0</v>
      </c>
      <c r="AA174">
        <v>9</v>
      </c>
      <c r="AB174">
        <v>3</v>
      </c>
      <c r="AC174">
        <v>0</v>
      </c>
      <c r="AD174">
        <v>10</v>
      </c>
      <c r="AE174">
        <v>0</v>
      </c>
      <c r="AF174">
        <v>0</v>
      </c>
      <c r="AG174">
        <v>2</v>
      </c>
      <c r="AH174">
        <v>0</v>
      </c>
      <c r="AI174" t="s">
        <v>161</v>
      </c>
      <c r="AJ174">
        <v>41.990197000000002</v>
      </c>
      <c r="AK174" t="s">
        <v>136</v>
      </c>
      <c r="AL174">
        <v>-87.894917000000007</v>
      </c>
      <c r="AS174">
        <v>1</v>
      </c>
      <c r="AT174" t="s">
        <v>118</v>
      </c>
      <c r="AU174" t="b">
        <v>1</v>
      </c>
      <c r="AV174">
        <v>180</v>
      </c>
      <c r="AW174">
        <v>8.625</v>
      </c>
      <c r="AX174">
        <v>1</v>
      </c>
      <c r="AZ174">
        <v>7205</v>
      </c>
      <c r="BA174">
        <v>1</v>
      </c>
      <c r="BB174" t="str">
        <f t="shared" si="8"/>
        <v xml:space="preserve">KAP400  </v>
      </c>
      <c r="BC174">
        <v>1</v>
      </c>
      <c r="BE174">
        <v>0</v>
      </c>
      <c r="BF174">
        <v>0</v>
      </c>
      <c r="BG174">
        <v>0</v>
      </c>
      <c r="BI174">
        <v>1</v>
      </c>
      <c r="BJ174">
        <v>1</v>
      </c>
      <c r="BK174">
        <v>1</v>
      </c>
      <c r="BL174">
        <v>0</v>
      </c>
      <c r="BO174">
        <v>0</v>
      </c>
      <c r="BP174">
        <v>0</v>
      </c>
      <c r="BW174" t="str">
        <f>"19:03:14.031"</f>
        <v>19:03:14.031</v>
      </c>
      <c r="BX174" t="s">
        <v>119</v>
      </c>
      <c r="BY174" t="s">
        <v>120</v>
      </c>
      <c r="CJ174">
        <v>0</v>
      </c>
      <c r="CK174">
        <v>0</v>
      </c>
      <c r="CL174">
        <v>0</v>
      </c>
      <c r="CM174">
        <v>2</v>
      </c>
      <c r="CN174">
        <v>0</v>
      </c>
      <c r="CO174">
        <v>7</v>
      </c>
      <c r="CP174" t="s">
        <v>121</v>
      </c>
      <c r="CQ174">
        <v>581</v>
      </c>
      <c r="CR174">
        <v>0</v>
      </c>
      <c r="CW174">
        <v>14353587</v>
      </c>
      <c r="CY174">
        <v>0</v>
      </c>
      <c r="CZ174">
        <v>0</v>
      </c>
      <c r="DA174">
        <v>0</v>
      </c>
      <c r="DB174">
        <v>1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</row>
    <row r="175" spans="1:113" x14ac:dyDescent="0.3">
      <c r="A175" t="str">
        <f>"06/16/2022 19:03:15.255"</f>
        <v>06/16/2022 19:03:15.255</v>
      </c>
      <c r="C175" t="str">
        <f t="shared" si="6"/>
        <v>FFBF5BC0</v>
      </c>
      <c r="D175" t="s">
        <v>113</v>
      </c>
      <c r="E175">
        <v>8</v>
      </c>
      <c r="H175">
        <v>206</v>
      </c>
      <c r="I175" t="s">
        <v>114</v>
      </c>
      <c r="J175" t="s">
        <v>115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>"19:03:14.930"</f>
        <v>19:03:14.930</v>
      </c>
      <c r="T175" t="str">
        <f>"19:03:14.930"</f>
        <v>19:03:14.930</v>
      </c>
      <c r="U175" t="str">
        <f t="shared" si="7"/>
        <v>AB63B2</v>
      </c>
      <c r="V175">
        <v>0</v>
      </c>
      <c r="W175">
        <v>0</v>
      </c>
      <c r="X175">
        <v>6</v>
      </c>
      <c r="Z175">
        <v>0</v>
      </c>
      <c r="AA175">
        <v>9</v>
      </c>
      <c r="AB175">
        <v>3</v>
      </c>
      <c r="AC175">
        <v>0</v>
      </c>
      <c r="AD175">
        <v>10</v>
      </c>
      <c r="AE175">
        <v>0</v>
      </c>
      <c r="AF175">
        <v>0</v>
      </c>
      <c r="AG175">
        <v>2</v>
      </c>
      <c r="AH175">
        <v>0</v>
      </c>
      <c r="AI175" t="s">
        <v>162</v>
      </c>
      <c r="AJ175">
        <v>41.990153999999997</v>
      </c>
      <c r="AK175" t="s">
        <v>141</v>
      </c>
      <c r="AL175">
        <v>-87.894937999999996</v>
      </c>
      <c r="AS175">
        <v>1</v>
      </c>
      <c r="AT175" t="s">
        <v>118</v>
      </c>
      <c r="AU175" t="b">
        <v>1</v>
      </c>
      <c r="AV175">
        <v>180</v>
      </c>
      <c r="AW175">
        <v>8.125</v>
      </c>
      <c r="AX175">
        <v>1</v>
      </c>
      <c r="AZ175">
        <v>7205</v>
      </c>
      <c r="BA175">
        <v>1</v>
      </c>
      <c r="BB175" t="str">
        <f t="shared" si="8"/>
        <v xml:space="preserve">KAP400  </v>
      </c>
      <c r="BC175">
        <v>1</v>
      </c>
      <c r="BE175">
        <v>0</v>
      </c>
      <c r="BF175">
        <v>0</v>
      </c>
      <c r="BG175">
        <v>0</v>
      </c>
      <c r="BI175">
        <v>1</v>
      </c>
      <c r="BJ175">
        <v>1</v>
      </c>
      <c r="BK175">
        <v>1</v>
      </c>
      <c r="BL175">
        <v>0</v>
      </c>
      <c r="BO175">
        <v>0</v>
      </c>
      <c r="BP175">
        <v>0</v>
      </c>
      <c r="BW175" t="str">
        <f>"19:03:14.934"</f>
        <v>19:03:14.934</v>
      </c>
      <c r="BX175" t="s">
        <v>119</v>
      </c>
      <c r="BY175" t="s">
        <v>120</v>
      </c>
      <c r="CJ175">
        <v>0</v>
      </c>
      <c r="CK175">
        <v>0</v>
      </c>
      <c r="CL175">
        <v>0</v>
      </c>
      <c r="CM175">
        <v>2</v>
      </c>
      <c r="CN175">
        <v>0</v>
      </c>
      <c r="CO175">
        <v>7</v>
      </c>
      <c r="CP175" t="s">
        <v>121</v>
      </c>
      <c r="CQ175">
        <v>582</v>
      </c>
      <c r="CR175">
        <v>0</v>
      </c>
      <c r="CW175">
        <v>5343313</v>
      </c>
      <c r="CY175">
        <v>0</v>
      </c>
      <c r="CZ175">
        <v>0</v>
      </c>
      <c r="DA175">
        <v>0</v>
      </c>
      <c r="DB175">
        <v>1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</row>
    <row r="176" spans="1:113" x14ac:dyDescent="0.3">
      <c r="A176" t="str">
        <f>"06/16/2022 19:03:16.115"</f>
        <v>06/16/2022 19:03:16.115</v>
      </c>
      <c r="C176" t="str">
        <f t="shared" si="6"/>
        <v>FFBF5BC0</v>
      </c>
      <c r="D176" t="s">
        <v>113</v>
      </c>
      <c r="E176">
        <v>8</v>
      </c>
      <c r="H176">
        <v>206</v>
      </c>
      <c r="I176" t="s">
        <v>114</v>
      </c>
      <c r="J176" t="s">
        <v>115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>"19:03:15.891"</f>
        <v>19:03:15.891</v>
      </c>
      <c r="T176" t="str">
        <f>"19:03:15.891"</f>
        <v>19:03:15.891</v>
      </c>
      <c r="U176" t="str">
        <f t="shared" si="7"/>
        <v>AB63B2</v>
      </c>
      <c r="V176">
        <v>0</v>
      </c>
      <c r="W176">
        <v>0</v>
      </c>
      <c r="X176">
        <v>6</v>
      </c>
      <c r="Z176">
        <v>0</v>
      </c>
      <c r="AA176">
        <v>9</v>
      </c>
      <c r="AB176">
        <v>3</v>
      </c>
      <c r="AC176">
        <v>0</v>
      </c>
      <c r="AD176">
        <v>10</v>
      </c>
      <c r="AE176">
        <v>0</v>
      </c>
      <c r="AF176">
        <v>0</v>
      </c>
      <c r="AG176">
        <v>2</v>
      </c>
      <c r="AH176">
        <v>0</v>
      </c>
      <c r="AI176" t="s">
        <v>163</v>
      </c>
      <c r="AJ176">
        <v>41.990132000000003</v>
      </c>
      <c r="AK176" t="s">
        <v>141</v>
      </c>
      <c r="AL176">
        <v>-87.894937999999996</v>
      </c>
      <c r="AS176">
        <v>1</v>
      </c>
      <c r="AT176" t="s">
        <v>118</v>
      </c>
      <c r="AU176" t="b">
        <v>1</v>
      </c>
      <c r="AV176">
        <v>182.81</v>
      </c>
      <c r="AW176">
        <v>8.125</v>
      </c>
      <c r="AX176">
        <v>1</v>
      </c>
      <c r="AZ176">
        <v>7205</v>
      </c>
      <c r="BA176">
        <v>1</v>
      </c>
      <c r="BB176" t="str">
        <f t="shared" si="8"/>
        <v xml:space="preserve">KAP400  </v>
      </c>
      <c r="BC176">
        <v>1</v>
      </c>
      <c r="BE176">
        <v>0</v>
      </c>
      <c r="BF176">
        <v>0</v>
      </c>
      <c r="BG176">
        <v>0</v>
      </c>
      <c r="BI176">
        <v>1</v>
      </c>
      <c r="BJ176">
        <v>1</v>
      </c>
      <c r="BK176">
        <v>1</v>
      </c>
      <c r="BL176">
        <v>0</v>
      </c>
      <c r="BO176">
        <v>0</v>
      </c>
      <c r="BP176">
        <v>0</v>
      </c>
      <c r="BW176" t="str">
        <f>"19:03:15.894"</f>
        <v>19:03:15.894</v>
      </c>
      <c r="BX176" t="s">
        <v>119</v>
      </c>
      <c r="BY176" t="s">
        <v>120</v>
      </c>
      <c r="CJ176">
        <v>0</v>
      </c>
      <c r="CK176">
        <v>0</v>
      </c>
      <c r="CL176">
        <v>0</v>
      </c>
      <c r="CM176">
        <v>2</v>
      </c>
      <c r="CN176">
        <v>0</v>
      </c>
      <c r="CO176">
        <v>7</v>
      </c>
      <c r="CP176" t="s">
        <v>121</v>
      </c>
      <c r="CQ176">
        <v>581</v>
      </c>
      <c r="CR176">
        <v>0</v>
      </c>
      <c r="CW176">
        <v>14356707</v>
      </c>
      <c r="CY176">
        <v>0</v>
      </c>
      <c r="CZ176">
        <v>0</v>
      </c>
      <c r="DA176">
        <v>0</v>
      </c>
      <c r="DB176">
        <v>1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</row>
    <row r="177" spans="1:113" x14ac:dyDescent="0.3">
      <c r="A177" t="str">
        <f>"06/16/2022 19:03:17.092"</f>
        <v>06/16/2022 19:03:17.092</v>
      </c>
      <c r="C177" t="str">
        <f t="shared" si="6"/>
        <v>FFBF5BC0</v>
      </c>
      <c r="D177" t="s">
        <v>113</v>
      </c>
      <c r="E177">
        <v>8</v>
      </c>
      <c r="H177">
        <v>206</v>
      </c>
      <c r="I177" t="s">
        <v>114</v>
      </c>
      <c r="J177" t="s">
        <v>115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>"19:03:16.891"</f>
        <v>19:03:16.891</v>
      </c>
      <c r="T177" t="str">
        <f>"19:03:16.891"</f>
        <v>19:03:16.891</v>
      </c>
      <c r="U177" t="str">
        <f t="shared" si="7"/>
        <v>AB63B2</v>
      </c>
      <c r="V177">
        <v>0</v>
      </c>
      <c r="W177">
        <v>0</v>
      </c>
      <c r="X177">
        <v>6</v>
      </c>
      <c r="Z177">
        <v>0</v>
      </c>
      <c r="AA177">
        <v>9</v>
      </c>
      <c r="AB177">
        <v>3</v>
      </c>
      <c r="AC177">
        <v>0</v>
      </c>
      <c r="AD177">
        <v>10</v>
      </c>
      <c r="AE177">
        <v>0</v>
      </c>
      <c r="AF177">
        <v>0</v>
      </c>
      <c r="AG177">
        <v>2</v>
      </c>
      <c r="AH177">
        <v>0</v>
      </c>
      <c r="AI177" t="s">
        <v>164</v>
      </c>
      <c r="AJ177">
        <v>41.990068000000001</v>
      </c>
      <c r="AK177" t="s">
        <v>141</v>
      </c>
      <c r="AL177">
        <v>-87.894937999999996</v>
      </c>
      <c r="AS177">
        <v>1</v>
      </c>
      <c r="AT177" t="s">
        <v>118</v>
      </c>
      <c r="AU177" t="b">
        <v>1</v>
      </c>
      <c r="AV177">
        <v>182.81</v>
      </c>
      <c r="AW177">
        <v>7.625</v>
      </c>
      <c r="AX177">
        <v>1</v>
      </c>
      <c r="AZ177">
        <v>7205</v>
      </c>
      <c r="BA177">
        <v>1</v>
      </c>
      <c r="BB177" t="str">
        <f t="shared" si="8"/>
        <v xml:space="preserve">KAP400  </v>
      </c>
      <c r="BC177">
        <v>1</v>
      </c>
      <c r="BE177">
        <v>0</v>
      </c>
      <c r="BF177">
        <v>0</v>
      </c>
      <c r="BG177">
        <v>0</v>
      </c>
      <c r="BI177">
        <v>1</v>
      </c>
      <c r="BJ177">
        <v>1</v>
      </c>
      <c r="BK177">
        <v>1</v>
      </c>
      <c r="BL177">
        <v>0</v>
      </c>
      <c r="BO177">
        <v>0</v>
      </c>
      <c r="BP177">
        <v>0</v>
      </c>
      <c r="BW177" t="str">
        <f>"19:03:16.897"</f>
        <v>19:03:16.897</v>
      </c>
      <c r="BX177" t="s">
        <v>119</v>
      </c>
      <c r="BY177" t="s">
        <v>120</v>
      </c>
      <c r="CJ177">
        <v>0</v>
      </c>
      <c r="CK177">
        <v>0</v>
      </c>
      <c r="CL177">
        <v>0</v>
      </c>
      <c r="CM177">
        <v>2</v>
      </c>
      <c r="CN177">
        <v>0</v>
      </c>
      <c r="CO177">
        <v>7</v>
      </c>
      <c r="CP177" t="s">
        <v>121</v>
      </c>
      <c r="CQ177">
        <v>582</v>
      </c>
      <c r="CR177">
        <v>0</v>
      </c>
      <c r="CW177">
        <v>5346712</v>
      </c>
      <c r="CY177">
        <v>0</v>
      </c>
      <c r="CZ177">
        <v>0</v>
      </c>
      <c r="DA177">
        <v>0</v>
      </c>
      <c r="DB177">
        <v>1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</row>
    <row r="178" spans="1:113" x14ac:dyDescent="0.3">
      <c r="A178" t="str">
        <f>"06/16/2022 19:03:18.483"</f>
        <v>06/16/2022 19:03:18.483</v>
      </c>
      <c r="C178" t="str">
        <f t="shared" si="6"/>
        <v>FFBF5BC0</v>
      </c>
      <c r="D178" t="s">
        <v>113</v>
      </c>
      <c r="E178">
        <v>8</v>
      </c>
      <c r="H178">
        <v>206</v>
      </c>
      <c r="I178" t="s">
        <v>114</v>
      </c>
      <c r="J178" t="s">
        <v>115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>"19:03:18.227"</f>
        <v>19:03:18.227</v>
      </c>
      <c r="T178" t="str">
        <f>"19:03:18.227"</f>
        <v>19:03:18.227</v>
      </c>
      <c r="U178" t="str">
        <f t="shared" si="7"/>
        <v>AB63B2</v>
      </c>
      <c r="V178">
        <v>0</v>
      </c>
      <c r="W178">
        <v>0</v>
      </c>
      <c r="X178">
        <v>6</v>
      </c>
      <c r="Z178">
        <v>0</v>
      </c>
      <c r="AA178">
        <v>9</v>
      </c>
      <c r="AB178">
        <v>3</v>
      </c>
      <c r="AC178">
        <v>0</v>
      </c>
      <c r="AD178">
        <v>10</v>
      </c>
      <c r="AE178">
        <v>0</v>
      </c>
      <c r="AF178">
        <v>0</v>
      </c>
      <c r="AG178">
        <v>2</v>
      </c>
      <c r="AH178">
        <v>0</v>
      </c>
      <c r="AI178" t="s">
        <v>165</v>
      </c>
      <c r="AJ178">
        <v>41.990046999999997</v>
      </c>
      <c r="AK178" t="s">
        <v>141</v>
      </c>
      <c r="AL178">
        <v>-87.894937999999996</v>
      </c>
      <c r="AS178">
        <v>1</v>
      </c>
      <c r="AT178" t="s">
        <v>118</v>
      </c>
      <c r="AU178" t="b">
        <v>1</v>
      </c>
      <c r="AV178">
        <v>180</v>
      </c>
      <c r="AW178">
        <v>7.125</v>
      </c>
      <c r="AX178">
        <v>1</v>
      </c>
      <c r="AZ178">
        <v>7205</v>
      </c>
      <c r="BA178">
        <v>1</v>
      </c>
      <c r="BB178" t="str">
        <f t="shared" si="8"/>
        <v xml:space="preserve">KAP400  </v>
      </c>
      <c r="BC178">
        <v>1</v>
      </c>
      <c r="BE178">
        <v>0</v>
      </c>
      <c r="BF178">
        <v>0</v>
      </c>
      <c r="BG178">
        <v>0</v>
      </c>
      <c r="BI178">
        <v>1</v>
      </c>
      <c r="BJ178">
        <v>1</v>
      </c>
      <c r="BK178">
        <v>1</v>
      </c>
      <c r="BL178">
        <v>0</v>
      </c>
      <c r="BO178">
        <v>0</v>
      </c>
      <c r="BP178">
        <v>0</v>
      </c>
      <c r="BW178" t="str">
        <f>"19:03:18.234"</f>
        <v>19:03:18.234</v>
      </c>
      <c r="BX178" t="s">
        <v>119</v>
      </c>
      <c r="BY178" t="s">
        <v>120</v>
      </c>
      <c r="CJ178">
        <v>0</v>
      </c>
      <c r="CK178">
        <v>0</v>
      </c>
      <c r="CL178">
        <v>0</v>
      </c>
      <c r="CM178">
        <v>2</v>
      </c>
      <c r="CN178">
        <v>0</v>
      </c>
      <c r="CO178">
        <v>7</v>
      </c>
      <c r="CP178" t="s">
        <v>121</v>
      </c>
      <c r="CQ178">
        <v>582</v>
      </c>
      <c r="CR178">
        <v>0</v>
      </c>
      <c r="CW178">
        <v>5348789</v>
      </c>
      <c r="CY178">
        <v>0</v>
      </c>
      <c r="CZ178">
        <v>0</v>
      </c>
      <c r="DA178">
        <v>0</v>
      </c>
      <c r="DB178">
        <v>1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</row>
    <row r="179" spans="1:113" x14ac:dyDescent="0.3">
      <c r="A179" t="str">
        <f>"06/16/2022 19:03:19.515"</f>
        <v>06/16/2022 19:03:19.515</v>
      </c>
      <c r="C179" t="str">
        <f t="shared" si="6"/>
        <v>FFBF5BC0</v>
      </c>
      <c r="D179" t="s">
        <v>113</v>
      </c>
      <c r="E179">
        <v>8</v>
      </c>
      <c r="H179">
        <v>206</v>
      </c>
      <c r="I179" t="s">
        <v>114</v>
      </c>
      <c r="J179" t="s">
        <v>115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>"19:03:19.070"</f>
        <v>19:03:19.070</v>
      </c>
      <c r="T179" t="str">
        <f>"19:03:19.070"</f>
        <v>19:03:19.070</v>
      </c>
      <c r="U179" t="str">
        <f t="shared" si="7"/>
        <v>AB63B2</v>
      </c>
      <c r="V179">
        <v>0</v>
      </c>
      <c r="W179">
        <v>0</v>
      </c>
      <c r="X179">
        <v>6</v>
      </c>
      <c r="Z179">
        <v>0</v>
      </c>
      <c r="AA179">
        <v>9</v>
      </c>
      <c r="AB179">
        <v>3</v>
      </c>
      <c r="AC179">
        <v>0</v>
      </c>
      <c r="AD179">
        <v>10</v>
      </c>
      <c r="AE179">
        <v>0</v>
      </c>
      <c r="AF179">
        <v>0</v>
      </c>
      <c r="AG179">
        <v>2</v>
      </c>
      <c r="AH179">
        <v>0</v>
      </c>
      <c r="AI179" t="s">
        <v>166</v>
      </c>
      <c r="AJ179">
        <v>41.990003999999999</v>
      </c>
      <c r="AK179" t="s">
        <v>141</v>
      </c>
      <c r="AL179">
        <v>-87.894937999999996</v>
      </c>
      <c r="AS179">
        <v>1</v>
      </c>
      <c r="AT179" t="s">
        <v>118</v>
      </c>
      <c r="AU179" t="b">
        <v>1</v>
      </c>
      <c r="AV179">
        <v>180</v>
      </c>
      <c r="AW179">
        <v>7.125</v>
      </c>
      <c r="AX179">
        <v>1</v>
      </c>
      <c r="AZ179">
        <v>7205</v>
      </c>
      <c r="BA179">
        <v>1</v>
      </c>
      <c r="BB179" t="str">
        <f t="shared" si="8"/>
        <v xml:space="preserve">KAP400  </v>
      </c>
      <c r="BC179">
        <v>1</v>
      </c>
      <c r="BE179">
        <v>0</v>
      </c>
      <c r="BF179">
        <v>0</v>
      </c>
      <c r="BG179">
        <v>0</v>
      </c>
      <c r="BI179">
        <v>1</v>
      </c>
      <c r="BJ179">
        <v>1</v>
      </c>
      <c r="BK179">
        <v>1</v>
      </c>
      <c r="BL179">
        <v>0</v>
      </c>
      <c r="BO179">
        <v>0</v>
      </c>
      <c r="BP179">
        <v>0</v>
      </c>
      <c r="BW179" t="str">
        <f>"19:03:19.076"</f>
        <v>19:03:19.076</v>
      </c>
      <c r="BX179" t="s">
        <v>119</v>
      </c>
      <c r="BY179" t="s">
        <v>120</v>
      </c>
      <c r="CJ179">
        <v>0</v>
      </c>
      <c r="CK179">
        <v>0</v>
      </c>
      <c r="CL179">
        <v>0</v>
      </c>
      <c r="CM179">
        <v>2</v>
      </c>
      <c r="CN179">
        <v>0</v>
      </c>
      <c r="CO179">
        <v>7</v>
      </c>
      <c r="CP179" t="s">
        <v>121</v>
      </c>
      <c r="CQ179">
        <v>581</v>
      </c>
      <c r="CR179">
        <v>0</v>
      </c>
      <c r="CW179">
        <v>14362141</v>
      </c>
      <c r="CY179">
        <v>0</v>
      </c>
      <c r="CZ179">
        <v>0</v>
      </c>
      <c r="DA179">
        <v>0</v>
      </c>
      <c r="DB179">
        <v>1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</row>
    <row r="180" spans="1:113" x14ac:dyDescent="0.3">
      <c r="A180" t="str">
        <f>"06/16/2022 19:03:20.390"</f>
        <v>06/16/2022 19:03:20.390</v>
      </c>
      <c r="C180" t="str">
        <f t="shared" si="6"/>
        <v>FFBF5BC0</v>
      </c>
      <c r="D180" t="s">
        <v>113</v>
      </c>
      <c r="E180">
        <v>8</v>
      </c>
      <c r="H180">
        <v>206</v>
      </c>
      <c r="I180" t="s">
        <v>114</v>
      </c>
      <c r="J180" t="s">
        <v>115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>"19:03:20.180"</f>
        <v>19:03:20.180</v>
      </c>
      <c r="T180" t="str">
        <f>"19:03:20.180"</f>
        <v>19:03:20.180</v>
      </c>
      <c r="U180" t="str">
        <f t="shared" si="7"/>
        <v>AB63B2</v>
      </c>
      <c r="V180">
        <v>0</v>
      </c>
      <c r="W180">
        <v>0</v>
      </c>
      <c r="X180">
        <v>6</v>
      </c>
      <c r="Z180">
        <v>0</v>
      </c>
      <c r="AA180">
        <v>9</v>
      </c>
      <c r="AB180">
        <v>3</v>
      </c>
      <c r="AC180">
        <v>0</v>
      </c>
      <c r="AD180">
        <v>10</v>
      </c>
      <c r="AE180">
        <v>0</v>
      </c>
      <c r="AF180">
        <v>0</v>
      </c>
      <c r="AG180">
        <v>2</v>
      </c>
      <c r="AH180">
        <v>0</v>
      </c>
      <c r="AI180" t="s">
        <v>167</v>
      </c>
      <c r="AJ180">
        <v>41.989981999999998</v>
      </c>
      <c r="AK180" t="s">
        <v>141</v>
      </c>
      <c r="AL180">
        <v>-87.894937999999996</v>
      </c>
      <c r="AS180">
        <v>1</v>
      </c>
      <c r="AT180" t="s">
        <v>118</v>
      </c>
      <c r="AU180" t="b">
        <v>1</v>
      </c>
      <c r="AV180">
        <v>177.19</v>
      </c>
      <c r="AW180">
        <v>6.625</v>
      </c>
      <c r="AX180">
        <v>1</v>
      </c>
      <c r="AZ180">
        <v>7205</v>
      </c>
      <c r="BA180">
        <v>1</v>
      </c>
      <c r="BB180" t="str">
        <f t="shared" si="8"/>
        <v xml:space="preserve">KAP400  </v>
      </c>
      <c r="BC180">
        <v>1</v>
      </c>
      <c r="BE180">
        <v>0</v>
      </c>
      <c r="BF180">
        <v>0</v>
      </c>
      <c r="BG180">
        <v>0</v>
      </c>
      <c r="BI180">
        <v>1</v>
      </c>
      <c r="BJ180">
        <v>1</v>
      </c>
      <c r="BK180">
        <v>1</v>
      </c>
      <c r="BL180">
        <v>0</v>
      </c>
      <c r="BO180">
        <v>0</v>
      </c>
      <c r="BP180">
        <v>0</v>
      </c>
      <c r="BW180" t="str">
        <f>"19:03:20.182"</f>
        <v>19:03:20.182</v>
      </c>
      <c r="BX180" t="s">
        <v>119</v>
      </c>
      <c r="BY180" t="s">
        <v>120</v>
      </c>
      <c r="CJ180">
        <v>0</v>
      </c>
      <c r="CK180">
        <v>0</v>
      </c>
      <c r="CL180">
        <v>0</v>
      </c>
      <c r="CM180">
        <v>2</v>
      </c>
      <c r="CN180">
        <v>0</v>
      </c>
      <c r="CO180">
        <v>7</v>
      </c>
      <c r="CP180" t="s">
        <v>121</v>
      </c>
      <c r="CQ180">
        <v>581</v>
      </c>
      <c r="CR180">
        <v>0</v>
      </c>
      <c r="CW180">
        <v>14363983</v>
      </c>
      <c r="CY180">
        <v>0</v>
      </c>
      <c r="CZ180">
        <v>0</v>
      </c>
      <c r="DA180">
        <v>0</v>
      </c>
      <c r="DB180">
        <v>1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</row>
    <row r="181" spans="1:113" x14ac:dyDescent="0.3">
      <c r="A181" t="str">
        <f>"06/16/2022 19:03:21.563"</f>
        <v>06/16/2022 19:03:21.563</v>
      </c>
      <c r="C181" t="str">
        <f t="shared" si="6"/>
        <v>FFBF5BC0</v>
      </c>
      <c r="D181" t="s">
        <v>113</v>
      </c>
      <c r="E181">
        <v>8</v>
      </c>
      <c r="H181">
        <v>206</v>
      </c>
      <c r="I181" t="s">
        <v>114</v>
      </c>
      <c r="J181" t="s">
        <v>115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>"19:03:21.297"</f>
        <v>19:03:21.297</v>
      </c>
      <c r="T181" t="str">
        <f>"19:03:21.297"</f>
        <v>19:03:21.297</v>
      </c>
      <c r="U181" t="str">
        <f t="shared" si="7"/>
        <v>AB63B2</v>
      </c>
      <c r="V181">
        <v>0</v>
      </c>
      <c r="W181">
        <v>0</v>
      </c>
      <c r="X181">
        <v>6</v>
      </c>
      <c r="Z181">
        <v>0</v>
      </c>
      <c r="AA181">
        <v>9</v>
      </c>
      <c r="AB181">
        <v>3</v>
      </c>
      <c r="AC181">
        <v>0</v>
      </c>
      <c r="AD181">
        <v>10</v>
      </c>
      <c r="AE181">
        <v>0</v>
      </c>
      <c r="AF181">
        <v>0</v>
      </c>
      <c r="AG181">
        <v>2</v>
      </c>
      <c r="AH181">
        <v>0</v>
      </c>
      <c r="AI181" t="s">
        <v>168</v>
      </c>
      <c r="AJ181">
        <v>41.989961000000001</v>
      </c>
      <c r="AK181" t="s">
        <v>141</v>
      </c>
      <c r="AL181">
        <v>-87.894937999999996</v>
      </c>
      <c r="AS181">
        <v>1</v>
      </c>
      <c r="AT181" t="s">
        <v>118</v>
      </c>
      <c r="AU181" t="b">
        <v>1</v>
      </c>
      <c r="AV181">
        <v>177.19</v>
      </c>
      <c r="AW181">
        <v>7.125</v>
      </c>
      <c r="AX181">
        <v>1</v>
      </c>
      <c r="AZ181">
        <v>7205</v>
      </c>
      <c r="BA181">
        <v>1</v>
      </c>
      <c r="BB181" t="str">
        <f t="shared" si="8"/>
        <v xml:space="preserve">KAP400  </v>
      </c>
      <c r="BC181">
        <v>1</v>
      </c>
      <c r="BE181">
        <v>0</v>
      </c>
      <c r="BF181">
        <v>0</v>
      </c>
      <c r="BG181">
        <v>0</v>
      </c>
      <c r="BI181">
        <v>1</v>
      </c>
      <c r="BJ181">
        <v>1</v>
      </c>
      <c r="BK181">
        <v>1</v>
      </c>
      <c r="BL181">
        <v>0</v>
      </c>
      <c r="BO181">
        <v>0</v>
      </c>
      <c r="BP181">
        <v>0</v>
      </c>
      <c r="BW181" t="str">
        <f>"19:03:21.299"</f>
        <v>19:03:21.299</v>
      </c>
      <c r="BX181" t="s">
        <v>119</v>
      </c>
      <c r="BY181" t="s">
        <v>120</v>
      </c>
      <c r="CJ181">
        <v>0</v>
      </c>
      <c r="CK181">
        <v>0</v>
      </c>
      <c r="CL181">
        <v>0</v>
      </c>
      <c r="CM181">
        <v>2</v>
      </c>
      <c r="CN181">
        <v>0</v>
      </c>
      <c r="CO181">
        <v>6</v>
      </c>
      <c r="CP181" t="s">
        <v>121</v>
      </c>
      <c r="CQ181">
        <v>579</v>
      </c>
      <c r="CR181">
        <v>0</v>
      </c>
      <c r="CW181">
        <v>247121</v>
      </c>
      <c r="CY181">
        <v>0</v>
      </c>
      <c r="CZ181">
        <v>0</v>
      </c>
      <c r="DA181">
        <v>0</v>
      </c>
      <c r="DB181">
        <v>1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</row>
    <row r="182" spans="1:113" x14ac:dyDescent="0.3">
      <c r="A182" t="str">
        <f>"06/16/2022 19:03:22.546"</f>
        <v>06/16/2022 19:03:22.546</v>
      </c>
      <c r="C182" t="str">
        <f t="shared" si="6"/>
        <v>FFBF5BC0</v>
      </c>
      <c r="D182" t="s">
        <v>113</v>
      </c>
      <c r="E182">
        <v>8</v>
      </c>
      <c r="H182">
        <v>206</v>
      </c>
      <c r="I182" t="s">
        <v>114</v>
      </c>
      <c r="J182" t="s">
        <v>115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"19:03:22.320"</f>
        <v>19:03:22.320</v>
      </c>
      <c r="T182" t="str">
        <f>"19:03:22.320"</f>
        <v>19:03:22.320</v>
      </c>
      <c r="U182" t="str">
        <f t="shared" si="7"/>
        <v>AB63B2</v>
      </c>
      <c r="V182">
        <v>0</v>
      </c>
      <c r="W182">
        <v>0</v>
      </c>
      <c r="X182">
        <v>6</v>
      </c>
      <c r="Z182">
        <v>0</v>
      </c>
      <c r="AA182">
        <v>9</v>
      </c>
      <c r="AB182">
        <v>3</v>
      </c>
      <c r="AC182">
        <v>0</v>
      </c>
      <c r="AD182">
        <v>10</v>
      </c>
      <c r="AE182">
        <v>0</v>
      </c>
      <c r="AF182">
        <v>0</v>
      </c>
      <c r="AG182">
        <v>2</v>
      </c>
      <c r="AH182">
        <v>0</v>
      </c>
      <c r="AI182" t="s">
        <v>169</v>
      </c>
      <c r="AJ182">
        <v>41.989918000000003</v>
      </c>
      <c r="AK182" t="s">
        <v>141</v>
      </c>
      <c r="AL182">
        <v>-87.894937999999996</v>
      </c>
      <c r="AS182">
        <v>1</v>
      </c>
      <c r="AT182" t="s">
        <v>118</v>
      </c>
      <c r="AU182" t="b">
        <v>1</v>
      </c>
      <c r="AV182">
        <v>174.38</v>
      </c>
      <c r="AW182">
        <v>7.125</v>
      </c>
      <c r="AX182">
        <v>1</v>
      </c>
      <c r="AZ182">
        <v>7205</v>
      </c>
      <c r="BA182">
        <v>1</v>
      </c>
      <c r="BB182" t="str">
        <f t="shared" si="8"/>
        <v xml:space="preserve">KAP400  </v>
      </c>
      <c r="BC182">
        <v>1</v>
      </c>
      <c r="BE182">
        <v>0</v>
      </c>
      <c r="BF182">
        <v>0</v>
      </c>
      <c r="BG182">
        <v>0</v>
      </c>
      <c r="BI182">
        <v>1</v>
      </c>
      <c r="BJ182">
        <v>1</v>
      </c>
      <c r="BK182">
        <v>1</v>
      </c>
      <c r="BL182">
        <v>0</v>
      </c>
      <c r="BO182">
        <v>0</v>
      </c>
      <c r="BP182">
        <v>0</v>
      </c>
      <c r="BW182" t="str">
        <f>"19:03:22.325"</f>
        <v>19:03:22.325</v>
      </c>
      <c r="BX182" t="s">
        <v>119</v>
      </c>
      <c r="BY182" t="s">
        <v>120</v>
      </c>
      <c r="CJ182">
        <v>0</v>
      </c>
      <c r="CK182">
        <v>0</v>
      </c>
      <c r="CL182">
        <v>0</v>
      </c>
      <c r="CM182">
        <v>2</v>
      </c>
      <c r="CN182">
        <v>0</v>
      </c>
      <c r="CO182">
        <v>6</v>
      </c>
      <c r="CP182" t="s">
        <v>121</v>
      </c>
      <c r="CQ182">
        <v>582</v>
      </c>
      <c r="CR182">
        <v>0</v>
      </c>
      <c r="CW182">
        <v>5355496</v>
      </c>
      <c r="CY182">
        <v>0</v>
      </c>
      <c r="CZ182">
        <v>0</v>
      </c>
      <c r="DA182">
        <v>0</v>
      </c>
      <c r="DB182">
        <v>1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</row>
    <row r="183" spans="1:113" x14ac:dyDescent="0.3">
      <c r="A183" t="str">
        <f>"06/16/2022 19:03:23.608"</f>
        <v>06/16/2022 19:03:23.608</v>
      </c>
      <c r="C183" t="str">
        <f t="shared" si="6"/>
        <v>FFBF5BC0</v>
      </c>
      <c r="D183" t="s">
        <v>113</v>
      </c>
      <c r="E183">
        <v>8</v>
      </c>
      <c r="H183">
        <v>206</v>
      </c>
      <c r="I183" t="s">
        <v>114</v>
      </c>
      <c r="J183" t="s">
        <v>115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>"19:03:23.375"</f>
        <v>19:03:23.375</v>
      </c>
      <c r="T183" t="str">
        <f>"19:03:23.375"</f>
        <v>19:03:23.375</v>
      </c>
      <c r="U183" t="str">
        <f t="shared" si="7"/>
        <v>AB63B2</v>
      </c>
      <c r="V183">
        <v>0</v>
      </c>
      <c r="W183">
        <v>0</v>
      </c>
      <c r="X183">
        <v>6</v>
      </c>
      <c r="Z183">
        <v>0</v>
      </c>
      <c r="AA183">
        <v>9</v>
      </c>
      <c r="AB183">
        <v>3</v>
      </c>
      <c r="AC183">
        <v>0</v>
      </c>
      <c r="AD183">
        <v>10</v>
      </c>
      <c r="AE183">
        <v>0</v>
      </c>
      <c r="AF183">
        <v>0</v>
      </c>
      <c r="AG183">
        <v>2</v>
      </c>
      <c r="AH183">
        <v>0</v>
      </c>
      <c r="AI183" t="s">
        <v>170</v>
      </c>
      <c r="AJ183">
        <v>41.989896000000002</v>
      </c>
      <c r="AK183" t="s">
        <v>136</v>
      </c>
      <c r="AL183">
        <v>-87.894917000000007</v>
      </c>
      <c r="AS183">
        <v>1</v>
      </c>
      <c r="AT183" t="s">
        <v>118</v>
      </c>
      <c r="AU183" t="b">
        <v>1</v>
      </c>
      <c r="AV183">
        <v>177.19</v>
      </c>
      <c r="AW183">
        <v>7.125</v>
      </c>
      <c r="AX183">
        <v>1</v>
      </c>
      <c r="AZ183">
        <v>7205</v>
      </c>
      <c r="BA183">
        <v>1</v>
      </c>
      <c r="BB183" t="str">
        <f t="shared" si="8"/>
        <v xml:space="preserve">KAP400  </v>
      </c>
      <c r="BC183">
        <v>1</v>
      </c>
      <c r="BE183">
        <v>0</v>
      </c>
      <c r="BF183">
        <v>0</v>
      </c>
      <c r="BG183">
        <v>0</v>
      </c>
      <c r="BI183">
        <v>1</v>
      </c>
      <c r="BJ183">
        <v>1</v>
      </c>
      <c r="BK183">
        <v>1</v>
      </c>
      <c r="BL183">
        <v>0</v>
      </c>
      <c r="BO183">
        <v>0</v>
      </c>
      <c r="BP183">
        <v>0</v>
      </c>
      <c r="BW183" t="str">
        <f>"19:03:23.381"</f>
        <v>19:03:23.381</v>
      </c>
      <c r="BX183" t="s">
        <v>119</v>
      </c>
      <c r="BY183" t="s">
        <v>120</v>
      </c>
      <c r="CJ183">
        <v>0</v>
      </c>
      <c r="CK183">
        <v>0</v>
      </c>
      <c r="CL183">
        <v>0</v>
      </c>
      <c r="CM183">
        <v>2</v>
      </c>
      <c r="CN183">
        <v>0</v>
      </c>
      <c r="CO183">
        <v>7</v>
      </c>
      <c r="CP183" t="s">
        <v>121</v>
      </c>
      <c r="CQ183">
        <v>582</v>
      </c>
      <c r="CR183">
        <v>0</v>
      </c>
      <c r="CW183">
        <v>5357184</v>
      </c>
      <c r="CY183">
        <v>0</v>
      </c>
      <c r="CZ183">
        <v>0</v>
      </c>
      <c r="DA183">
        <v>0</v>
      </c>
      <c r="DB183">
        <v>1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</row>
    <row r="184" spans="1:113" x14ac:dyDescent="0.3">
      <c r="A184" t="str">
        <f>"06/16/2022 19:03:24.609"</f>
        <v>06/16/2022 19:03:24.609</v>
      </c>
      <c r="C184" t="str">
        <f t="shared" si="6"/>
        <v>FFBF5BC0</v>
      </c>
      <c r="D184" t="s">
        <v>113</v>
      </c>
      <c r="E184">
        <v>8</v>
      </c>
      <c r="H184">
        <v>206</v>
      </c>
      <c r="I184" t="s">
        <v>114</v>
      </c>
      <c r="J184" t="s">
        <v>115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>"19:03:24.320"</f>
        <v>19:03:24.320</v>
      </c>
      <c r="T184" t="str">
        <f>"19:03:24.320"</f>
        <v>19:03:24.320</v>
      </c>
      <c r="U184" t="str">
        <f t="shared" si="7"/>
        <v>AB63B2</v>
      </c>
      <c r="V184">
        <v>0</v>
      </c>
      <c r="W184">
        <v>0</v>
      </c>
      <c r="X184">
        <v>6</v>
      </c>
      <c r="Z184">
        <v>0</v>
      </c>
      <c r="AA184">
        <v>9</v>
      </c>
      <c r="AB184">
        <v>3</v>
      </c>
      <c r="AC184">
        <v>0</v>
      </c>
      <c r="AD184">
        <v>10</v>
      </c>
      <c r="AE184">
        <v>0</v>
      </c>
      <c r="AF184">
        <v>0</v>
      </c>
      <c r="AG184">
        <v>2</v>
      </c>
      <c r="AH184">
        <v>0</v>
      </c>
      <c r="AI184" t="s">
        <v>171</v>
      </c>
      <c r="AJ184">
        <v>41.989852999999997</v>
      </c>
      <c r="AK184" t="s">
        <v>136</v>
      </c>
      <c r="AL184">
        <v>-87.894917000000007</v>
      </c>
      <c r="AS184">
        <v>1</v>
      </c>
      <c r="AT184" t="s">
        <v>118</v>
      </c>
      <c r="AU184" t="b">
        <v>1</v>
      </c>
      <c r="AV184">
        <v>177.19</v>
      </c>
      <c r="AW184">
        <v>7.125</v>
      </c>
      <c r="AX184">
        <v>1</v>
      </c>
      <c r="AZ184">
        <v>7205</v>
      </c>
      <c r="BA184">
        <v>1</v>
      </c>
      <c r="BB184" t="str">
        <f t="shared" si="8"/>
        <v xml:space="preserve">KAP400  </v>
      </c>
      <c r="BC184">
        <v>1</v>
      </c>
      <c r="BE184">
        <v>0</v>
      </c>
      <c r="BF184">
        <v>0</v>
      </c>
      <c r="BG184">
        <v>0</v>
      </c>
      <c r="BI184">
        <v>1</v>
      </c>
      <c r="BJ184">
        <v>1</v>
      </c>
      <c r="BK184">
        <v>1</v>
      </c>
      <c r="BL184">
        <v>0</v>
      </c>
      <c r="BO184">
        <v>0</v>
      </c>
      <c r="BP184">
        <v>0</v>
      </c>
      <c r="BW184" t="str">
        <f>"19:03:24.322"</f>
        <v>19:03:24.322</v>
      </c>
      <c r="BX184" t="s">
        <v>119</v>
      </c>
      <c r="BY184" t="s">
        <v>120</v>
      </c>
      <c r="CJ184">
        <v>0</v>
      </c>
      <c r="CK184">
        <v>0</v>
      </c>
      <c r="CL184">
        <v>0</v>
      </c>
      <c r="CM184">
        <v>2</v>
      </c>
      <c r="CN184">
        <v>0</v>
      </c>
      <c r="CO184">
        <v>7</v>
      </c>
      <c r="CP184" t="s">
        <v>121</v>
      </c>
      <c r="CQ184">
        <v>581</v>
      </c>
      <c r="CR184">
        <v>0</v>
      </c>
      <c r="CW184">
        <v>14371178</v>
      </c>
      <c r="CY184">
        <v>0</v>
      </c>
      <c r="CZ184">
        <v>0</v>
      </c>
      <c r="DA184">
        <v>0</v>
      </c>
      <c r="DB184">
        <v>1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</row>
    <row r="185" spans="1:113" x14ac:dyDescent="0.3">
      <c r="A185" t="str">
        <f>"06/16/2022 19:03:25.562"</f>
        <v>06/16/2022 19:03:25.562</v>
      </c>
      <c r="C185" t="str">
        <f t="shared" si="6"/>
        <v>FFBF5BC0</v>
      </c>
      <c r="D185" t="s">
        <v>113</v>
      </c>
      <c r="E185">
        <v>8</v>
      </c>
      <c r="H185">
        <v>206</v>
      </c>
      <c r="I185" t="s">
        <v>114</v>
      </c>
      <c r="J185" t="s">
        <v>115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>"19:03:25.297"</f>
        <v>19:03:25.297</v>
      </c>
      <c r="T185" t="str">
        <f>"19:03:25.297"</f>
        <v>19:03:25.297</v>
      </c>
      <c r="U185" t="str">
        <f t="shared" si="7"/>
        <v>AB63B2</v>
      </c>
      <c r="V185">
        <v>0</v>
      </c>
      <c r="W185">
        <v>0</v>
      </c>
      <c r="X185">
        <v>6</v>
      </c>
      <c r="Z185">
        <v>0</v>
      </c>
      <c r="AA185">
        <v>9</v>
      </c>
      <c r="AB185">
        <v>3</v>
      </c>
      <c r="AC185">
        <v>0</v>
      </c>
      <c r="AD185">
        <v>10</v>
      </c>
      <c r="AE185">
        <v>0</v>
      </c>
      <c r="AF185">
        <v>0</v>
      </c>
      <c r="AG185">
        <v>2</v>
      </c>
      <c r="AH185">
        <v>0</v>
      </c>
      <c r="AI185" t="s">
        <v>172</v>
      </c>
      <c r="AJ185">
        <v>41.989809999999999</v>
      </c>
      <c r="AK185" t="s">
        <v>136</v>
      </c>
      <c r="AL185">
        <v>-87.894917000000007</v>
      </c>
      <c r="AS185">
        <v>1</v>
      </c>
      <c r="AT185" t="s">
        <v>118</v>
      </c>
      <c r="AU185" t="b">
        <v>1</v>
      </c>
      <c r="AV185">
        <v>177.19</v>
      </c>
      <c r="AW185">
        <v>7.625</v>
      </c>
      <c r="AX185">
        <v>1</v>
      </c>
      <c r="AZ185">
        <v>7205</v>
      </c>
      <c r="BA185">
        <v>1</v>
      </c>
      <c r="BB185" t="str">
        <f t="shared" si="8"/>
        <v xml:space="preserve">KAP400  </v>
      </c>
      <c r="BC185">
        <v>1</v>
      </c>
      <c r="BE185">
        <v>0</v>
      </c>
      <c r="BF185">
        <v>0</v>
      </c>
      <c r="BG185">
        <v>0</v>
      </c>
      <c r="BI185">
        <v>1</v>
      </c>
      <c r="BJ185">
        <v>1</v>
      </c>
      <c r="BK185">
        <v>1</v>
      </c>
      <c r="BL185">
        <v>0</v>
      </c>
      <c r="BO185">
        <v>0</v>
      </c>
      <c r="BP185">
        <v>0</v>
      </c>
      <c r="BW185" t="str">
        <f>"19:03:25.298"</f>
        <v>19:03:25.298</v>
      </c>
      <c r="BX185" t="s">
        <v>119</v>
      </c>
      <c r="BY185" t="s">
        <v>120</v>
      </c>
      <c r="CJ185">
        <v>0</v>
      </c>
      <c r="CK185">
        <v>0</v>
      </c>
      <c r="CL185">
        <v>0</v>
      </c>
      <c r="CM185">
        <v>2</v>
      </c>
      <c r="CN185">
        <v>0</v>
      </c>
      <c r="CO185">
        <v>7</v>
      </c>
      <c r="CP185" t="s">
        <v>121</v>
      </c>
      <c r="CQ185">
        <v>582</v>
      </c>
      <c r="CR185">
        <v>0</v>
      </c>
      <c r="CW185">
        <v>5360264</v>
      </c>
      <c r="CY185">
        <v>0</v>
      </c>
      <c r="CZ185">
        <v>0</v>
      </c>
      <c r="DA185">
        <v>0</v>
      </c>
      <c r="DB185">
        <v>1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</row>
    <row r="186" spans="1:113" x14ac:dyDescent="0.3">
      <c r="A186" t="str">
        <f>"06/16/2022 19:03:26.438"</f>
        <v>06/16/2022 19:03:26.438</v>
      </c>
      <c r="C186" t="str">
        <f t="shared" si="6"/>
        <v>FFBF5BC0</v>
      </c>
      <c r="D186" t="s">
        <v>113</v>
      </c>
      <c r="E186">
        <v>8</v>
      </c>
      <c r="H186">
        <v>206</v>
      </c>
      <c r="I186" t="s">
        <v>114</v>
      </c>
      <c r="J186" t="s">
        <v>115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>"19:03:26.227"</f>
        <v>19:03:26.227</v>
      </c>
      <c r="T186" t="str">
        <f>"19:03:26.227"</f>
        <v>19:03:26.227</v>
      </c>
      <c r="U186" t="str">
        <f t="shared" si="7"/>
        <v>AB63B2</v>
      </c>
      <c r="V186">
        <v>0</v>
      </c>
      <c r="W186">
        <v>0</v>
      </c>
      <c r="X186">
        <v>6</v>
      </c>
      <c r="Z186">
        <v>0</v>
      </c>
      <c r="AA186">
        <v>9</v>
      </c>
      <c r="AB186">
        <v>3</v>
      </c>
      <c r="AC186">
        <v>0</v>
      </c>
      <c r="AD186">
        <v>10</v>
      </c>
      <c r="AE186">
        <v>0</v>
      </c>
      <c r="AF186">
        <v>0</v>
      </c>
      <c r="AG186">
        <v>2</v>
      </c>
      <c r="AH186">
        <v>0</v>
      </c>
      <c r="AI186" t="s">
        <v>173</v>
      </c>
      <c r="AJ186">
        <v>41.989789000000002</v>
      </c>
      <c r="AK186" t="s">
        <v>136</v>
      </c>
      <c r="AL186">
        <v>-87.894917000000007</v>
      </c>
      <c r="AS186">
        <v>1</v>
      </c>
      <c r="AT186" t="s">
        <v>118</v>
      </c>
      <c r="AU186" t="b">
        <v>1</v>
      </c>
      <c r="AV186">
        <v>177.19</v>
      </c>
      <c r="AW186">
        <v>8.125</v>
      </c>
      <c r="AX186">
        <v>1</v>
      </c>
      <c r="AZ186">
        <v>7205</v>
      </c>
      <c r="BA186">
        <v>1</v>
      </c>
      <c r="BB186" t="str">
        <f t="shared" si="8"/>
        <v xml:space="preserve">KAP400  </v>
      </c>
      <c r="BC186">
        <v>1</v>
      </c>
      <c r="BE186">
        <v>0</v>
      </c>
      <c r="BF186">
        <v>0</v>
      </c>
      <c r="BG186">
        <v>0</v>
      </c>
      <c r="BI186">
        <v>1</v>
      </c>
      <c r="BJ186">
        <v>1</v>
      </c>
      <c r="BK186">
        <v>1</v>
      </c>
      <c r="BL186">
        <v>0</v>
      </c>
      <c r="BO186">
        <v>0</v>
      </c>
      <c r="BP186">
        <v>0</v>
      </c>
      <c r="BW186" t="str">
        <f>"19:03:26.229"</f>
        <v>19:03:26.229</v>
      </c>
      <c r="BX186" t="s">
        <v>119</v>
      </c>
      <c r="BY186" t="s">
        <v>120</v>
      </c>
      <c r="CJ186">
        <v>0</v>
      </c>
      <c r="CK186">
        <v>0</v>
      </c>
      <c r="CL186">
        <v>0</v>
      </c>
      <c r="CM186">
        <v>2</v>
      </c>
      <c r="CN186">
        <v>0</v>
      </c>
      <c r="CO186">
        <v>7</v>
      </c>
      <c r="CP186" t="s">
        <v>121</v>
      </c>
      <c r="CQ186">
        <v>582</v>
      </c>
      <c r="CR186">
        <v>0</v>
      </c>
      <c r="CW186">
        <v>5361864</v>
      </c>
      <c r="CY186">
        <v>0</v>
      </c>
      <c r="CZ186">
        <v>0</v>
      </c>
      <c r="DA186">
        <v>0</v>
      </c>
      <c r="DB186">
        <v>1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</row>
    <row r="187" spans="1:113" x14ac:dyDescent="0.3">
      <c r="A187" t="str">
        <f>"06/16/2022 19:03:27.593"</f>
        <v>06/16/2022 19:03:27.593</v>
      </c>
      <c r="C187" t="str">
        <f t="shared" si="6"/>
        <v>FFBF5BC0</v>
      </c>
      <c r="D187" t="s">
        <v>113</v>
      </c>
      <c r="E187">
        <v>8</v>
      </c>
      <c r="H187">
        <v>206</v>
      </c>
      <c r="I187" t="s">
        <v>114</v>
      </c>
      <c r="J187" t="s">
        <v>115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>"19:03:27.391"</f>
        <v>19:03:27.391</v>
      </c>
      <c r="T187" t="str">
        <f>"19:03:27.391"</f>
        <v>19:03:27.391</v>
      </c>
      <c r="U187" t="str">
        <f t="shared" si="7"/>
        <v>AB63B2</v>
      </c>
      <c r="V187">
        <v>0</v>
      </c>
      <c r="W187">
        <v>0</v>
      </c>
      <c r="X187">
        <v>6</v>
      </c>
      <c r="Z187">
        <v>0</v>
      </c>
      <c r="AA187">
        <v>9</v>
      </c>
      <c r="AB187">
        <v>3</v>
      </c>
      <c r="AC187">
        <v>0</v>
      </c>
      <c r="AD187">
        <v>10</v>
      </c>
      <c r="AE187">
        <v>0</v>
      </c>
      <c r="AF187">
        <v>0</v>
      </c>
      <c r="AG187">
        <v>2</v>
      </c>
      <c r="AH187">
        <v>0</v>
      </c>
      <c r="AI187" t="s">
        <v>174</v>
      </c>
      <c r="AJ187">
        <v>41.989745999999997</v>
      </c>
      <c r="AK187" t="s">
        <v>136</v>
      </c>
      <c r="AL187">
        <v>-87.894917000000007</v>
      </c>
      <c r="AS187">
        <v>1</v>
      </c>
      <c r="AT187" t="s">
        <v>118</v>
      </c>
      <c r="AU187" t="b">
        <v>1</v>
      </c>
      <c r="AV187">
        <v>180</v>
      </c>
      <c r="AW187">
        <v>8.125</v>
      </c>
      <c r="AX187">
        <v>1</v>
      </c>
      <c r="AZ187">
        <v>7205</v>
      </c>
      <c r="BA187">
        <v>1</v>
      </c>
      <c r="BB187" t="str">
        <f t="shared" si="8"/>
        <v xml:space="preserve">KAP400  </v>
      </c>
      <c r="BC187">
        <v>1</v>
      </c>
      <c r="BE187">
        <v>0</v>
      </c>
      <c r="BF187">
        <v>0</v>
      </c>
      <c r="BG187">
        <v>0</v>
      </c>
      <c r="BI187">
        <v>1</v>
      </c>
      <c r="BJ187">
        <v>1</v>
      </c>
      <c r="BK187">
        <v>1</v>
      </c>
      <c r="BL187">
        <v>0</v>
      </c>
      <c r="BO187">
        <v>0</v>
      </c>
      <c r="BP187">
        <v>0</v>
      </c>
      <c r="BW187" t="str">
        <f>"19:03:27.396"</f>
        <v>19:03:27.396</v>
      </c>
      <c r="BX187" t="s">
        <v>119</v>
      </c>
      <c r="BY187" t="s">
        <v>120</v>
      </c>
      <c r="CJ187">
        <v>0</v>
      </c>
      <c r="CK187">
        <v>0</v>
      </c>
      <c r="CL187">
        <v>0</v>
      </c>
      <c r="CM187">
        <v>2</v>
      </c>
      <c r="CN187">
        <v>0</v>
      </c>
      <c r="CO187">
        <v>7</v>
      </c>
      <c r="CP187" t="s">
        <v>121</v>
      </c>
      <c r="CQ187">
        <v>582</v>
      </c>
      <c r="CR187">
        <v>0</v>
      </c>
      <c r="CW187">
        <v>5363780</v>
      </c>
      <c r="CY187">
        <v>0</v>
      </c>
      <c r="CZ187">
        <v>0</v>
      </c>
      <c r="DA187">
        <v>0</v>
      </c>
      <c r="DB187">
        <v>1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</row>
    <row r="188" spans="1:113" x14ac:dyDescent="0.3">
      <c r="A188" t="str">
        <f>"06/16/2022 19:03:28.593"</f>
        <v>06/16/2022 19:03:28.593</v>
      </c>
      <c r="C188" t="str">
        <f t="shared" si="6"/>
        <v>FFBF5BC0</v>
      </c>
      <c r="D188" t="s">
        <v>113</v>
      </c>
      <c r="E188">
        <v>8</v>
      </c>
      <c r="H188">
        <v>206</v>
      </c>
      <c r="I188" t="s">
        <v>114</v>
      </c>
      <c r="J188" t="s">
        <v>115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>"19:03:28.383"</f>
        <v>19:03:28.383</v>
      </c>
      <c r="T188" t="str">
        <f>"19:03:28.383"</f>
        <v>19:03:28.383</v>
      </c>
      <c r="U188" t="str">
        <f t="shared" si="7"/>
        <v>AB63B2</v>
      </c>
      <c r="V188">
        <v>0</v>
      </c>
      <c r="W188">
        <v>0</v>
      </c>
      <c r="X188">
        <v>6</v>
      </c>
      <c r="Z188">
        <v>0</v>
      </c>
      <c r="AA188">
        <v>9</v>
      </c>
      <c r="AB188">
        <v>3</v>
      </c>
      <c r="AC188">
        <v>0</v>
      </c>
      <c r="AD188">
        <v>10</v>
      </c>
      <c r="AE188">
        <v>0</v>
      </c>
      <c r="AF188">
        <v>0</v>
      </c>
      <c r="AG188">
        <v>2</v>
      </c>
      <c r="AH188">
        <v>0</v>
      </c>
      <c r="AI188" t="s">
        <v>175</v>
      </c>
      <c r="AJ188">
        <v>41.989702999999999</v>
      </c>
      <c r="AK188" t="s">
        <v>136</v>
      </c>
      <c r="AL188">
        <v>-87.894917000000007</v>
      </c>
      <c r="AS188">
        <v>1</v>
      </c>
      <c r="AT188" t="s">
        <v>118</v>
      </c>
      <c r="AU188" t="b">
        <v>1</v>
      </c>
      <c r="AV188">
        <v>180</v>
      </c>
      <c r="AW188">
        <v>7.625</v>
      </c>
      <c r="AX188">
        <v>1</v>
      </c>
      <c r="AZ188">
        <v>7205</v>
      </c>
      <c r="BA188">
        <v>1</v>
      </c>
      <c r="BB188" t="str">
        <f t="shared" si="8"/>
        <v xml:space="preserve">KAP400  </v>
      </c>
      <c r="BC188">
        <v>1</v>
      </c>
      <c r="BE188">
        <v>0</v>
      </c>
      <c r="BF188">
        <v>0</v>
      </c>
      <c r="BG188">
        <v>0</v>
      </c>
      <c r="BI188">
        <v>1</v>
      </c>
      <c r="BJ188">
        <v>1</v>
      </c>
      <c r="BK188">
        <v>1</v>
      </c>
      <c r="BL188">
        <v>0</v>
      </c>
      <c r="BO188">
        <v>0</v>
      </c>
      <c r="BP188">
        <v>0</v>
      </c>
      <c r="BW188" t="str">
        <f>"19:03:28.388"</f>
        <v>19:03:28.388</v>
      </c>
      <c r="BX188" t="s">
        <v>119</v>
      </c>
      <c r="BY188" t="s">
        <v>120</v>
      </c>
      <c r="CJ188">
        <v>0</v>
      </c>
      <c r="CK188">
        <v>0</v>
      </c>
      <c r="CL188">
        <v>0</v>
      </c>
      <c r="CM188">
        <v>2</v>
      </c>
      <c r="CN188">
        <v>0</v>
      </c>
      <c r="CO188">
        <v>7</v>
      </c>
      <c r="CP188" t="s">
        <v>121</v>
      </c>
      <c r="CQ188">
        <v>582</v>
      </c>
      <c r="CR188">
        <v>0</v>
      </c>
      <c r="CW188">
        <v>5365300</v>
      </c>
      <c r="CY188">
        <v>0</v>
      </c>
      <c r="CZ188">
        <v>0</v>
      </c>
      <c r="DA188">
        <v>0</v>
      </c>
      <c r="DB188">
        <v>1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</row>
    <row r="189" spans="1:113" x14ac:dyDescent="0.3">
      <c r="A189" t="str">
        <f>"06/16/2022 19:03:29.593"</f>
        <v>06/16/2022 19:03:29.593</v>
      </c>
      <c r="C189" t="str">
        <f t="shared" si="6"/>
        <v>FFBF5BC0</v>
      </c>
      <c r="D189" t="s">
        <v>113</v>
      </c>
      <c r="E189">
        <v>8</v>
      </c>
      <c r="H189">
        <v>206</v>
      </c>
      <c r="I189" t="s">
        <v>114</v>
      </c>
      <c r="J189" t="s">
        <v>115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>"19:03:29.352"</f>
        <v>19:03:29.352</v>
      </c>
      <c r="T189" t="str">
        <f>"19:03:29.352"</f>
        <v>19:03:29.352</v>
      </c>
      <c r="U189" t="str">
        <f t="shared" si="7"/>
        <v>AB63B2</v>
      </c>
      <c r="V189">
        <v>0</v>
      </c>
      <c r="W189">
        <v>0</v>
      </c>
      <c r="X189">
        <v>6</v>
      </c>
      <c r="Z189">
        <v>0</v>
      </c>
      <c r="AA189">
        <v>9</v>
      </c>
      <c r="AB189">
        <v>3</v>
      </c>
      <c r="AC189">
        <v>0</v>
      </c>
      <c r="AD189">
        <v>10</v>
      </c>
      <c r="AE189">
        <v>0</v>
      </c>
      <c r="AF189">
        <v>0</v>
      </c>
      <c r="AG189">
        <v>2</v>
      </c>
      <c r="AH189">
        <v>0</v>
      </c>
      <c r="AI189" t="s">
        <v>176</v>
      </c>
      <c r="AJ189">
        <v>41.989682000000002</v>
      </c>
      <c r="AK189" t="s">
        <v>136</v>
      </c>
      <c r="AL189">
        <v>-87.894917000000007</v>
      </c>
      <c r="AS189">
        <v>1</v>
      </c>
      <c r="AT189" t="s">
        <v>118</v>
      </c>
      <c r="AU189" t="b">
        <v>1</v>
      </c>
      <c r="AV189">
        <v>180</v>
      </c>
      <c r="AW189">
        <v>7.125</v>
      </c>
      <c r="AX189">
        <v>1</v>
      </c>
      <c r="AZ189">
        <v>7205</v>
      </c>
      <c r="BA189">
        <v>1</v>
      </c>
      <c r="BB189" t="str">
        <f t="shared" si="8"/>
        <v xml:space="preserve">KAP400  </v>
      </c>
      <c r="BC189">
        <v>1</v>
      </c>
      <c r="BE189">
        <v>0</v>
      </c>
      <c r="BF189">
        <v>0</v>
      </c>
      <c r="BG189">
        <v>0</v>
      </c>
      <c r="BI189">
        <v>1</v>
      </c>
      <c r="BJ189">
        <v>1</v>
      </c>
      <c r="BK189">
        <v>1</v>
      </c>
      <c r="BL189">
        <v>0</v>
      </c>
      <c r="BO189">
        <v>0</v>
      </c>
      <c r="BP189">
        <v>0</v>
      </c>
      <c r="BW189" t="str">
        <f>"19:03:29.358"</f>
        <v>19:03:29.358</v>
      </c>
      <c r="BX189" t="s">
        <v>119</v>
      </c>
      <c r="BY189" t="s">
        <v>120</v>
      </c>
      <c r="CJ189">
        <v>0</v>
      </c>
      <c r="CK189">
        <v>0</v>
      </c>
      <c r="CL189">
        <v>0</v>
      </c>
      <c r="CM189">
        <v>2</v>
      </c>
      <c r="CN189">
        <v>0</v>
      </c>
      <c r="CO189">
        <v>7</v>
      </c>
      <c r="CP189" t="s">
        <v>121</v>
      </c>
      <c r="CQ189">
        <v>582</v>
      </c>
      <c r="CR189">
        <v>0</v>
      </c>
      <c r="CW189">
        <v>5366753</v>
      </c>
      <c r="CY189">
        <v>0</v>
      </c>
      <c r="CZ189">
        <v>0</v>
      </c>
      <c r="DA189">
        <v>0</v>
      </c>
      <c r="DB189">
        <v>1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</row>
    <row r="190" spans="1:113" x14ac:dyDescent="0.3">
      <c r="A190" t="str">
        <f>"06/16/2022 19:03:31.173"</f>
        <v>06/16/2022 19:03:31.173</v>
      </c>
      <c r="C190" t="str">
        <f t="shared" si="6"/>
        <v>FFBF5BC0</v>
      </c>
      <c r="D190" t="s">
        <v>113</v>
      </c>
      <c r="E190">
        <v>8</v>
      </c>
      <c r="H190">
        <v>206</v>
      </c>
      <c r="I190" t="s">
        <v>114</v>
      </c>
      <c r="J190" t="s">
        <v>115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>"19:03:30.898"</f>
        <v>19:03:30.898</v>
      </c>
      <c r="T190" t="str">
        <f>"19:03:30.898"</f>
        <v>19:03:30.898</v>
      </c>
      <c r="U190" t="str">
        <f t="shared" si="7"/>
        <v>AB63B2</v>
      </c>
      <c r="V190">
        <v>0</v>
      </c>
      <c r="W190">
        <v>0</v>
      </c>
      <c r="X190">
        <v>6</v>
      </c>
      <c r="Z190">
        <v>0</v>
      </c>
      <c r="AA190">
        <v>9</v>
      </c>
      <c r="AB190">
        <v>3</v>
      </c>
      <c r="AC190">
        <v>0</v>
      </c>
      <c r="AD190">
        <v>10</v>
      </c>
      <c r="AE190">
        <v>0</v>
      </c>
      <c r="AF190">
        <v>0</v>
      </c>
      <c r="AG190">
        <v>2</v>
      </c>
      <c r="AH190">
        <v>0</v>
      </c>
      <c r="AI190" t="s">
        <v>177</v>
      </c>
      <c r="AJ190">
        <v>41.989638999999997</v>
      </c>
      <c r="AK190" t="s">
        <v>136</v>
      </c>
      <c r="AL190">
        <v>-87.894917000000007</v>
      </c>
      <c r="AS190">
        <v>1</v>
      </c>
      <c r="AT190" t="s">
        <v>118</v>
      </c>
      <c r="AU190" t="b">
        <v>1</v>
      </c>
      <c r="AV190">
        <v>182.81</v>
      </c>
      <c r="AW190">
        <v>6.625</v>
      </c>
      <c r="AX190">
        <v>1</v>
      </c>
      <c r="AZ190">
        <v>7205</v>
      </c>
      <c r="BA190">
        <v>1</v>
      </c>
      <c r="BB190" t="str">
        <f t="shared" si="8"/>
        <v xml:space="preserve">KAP400  </v>
      </c>
      <c r="BC190">
        <v>1</v>
      </c>
      <c r="BE190">
        <v>0</v>
      </c>
      <c r="BF190">
        <v>0</v>
      </c>
      <c r="BG190">
        <v>0</v>
      </c>
      <c r="BI190">
        <v>1</v>
      </c>
      <c r="BJ190">
        <v>1</v>
      </c>
      <c r="BK190">
        <v>1</v>
      </c>
      <c r="BL190">
        <v>0</v>
      </c>
      <c r="BO190">
        <v>0</v>
      </c>
      <c r="BP190">
        <v>0</v>
      </c>
      <c r="BW190" t="str">
        <f>"19:03:30.903"</f>
        <v>19:03:30.903</v>
      </c>
      <c r="BX190" t="s">
        <v>119</v>
      </c>
      <c r="BY190" t="s">
        <v>120</v>
      </c>
      <c r="CJ190">
        <v>0</v>
      </c>
      <c r="CK190">
        <v>0</v>
      </c>
      <c r="CL190">
        <v>0</v>
      </c>
      <c r="CM190">
        <v>2</v>
      </c>
      <c r="CN190">
        <v>0</v>
      </c>
      <c r="CO190">
        <v>7</v>
      </c>
      <c r="CP190" t="s">
        <v>121</v>
      </c>
      <c r="CQ190">
        <v>579</v>
      </c>
      <c r="CR190">
        <v>0</v>
      </c>
      <c r="CW190">
        <v>268258</v>
      </c>
      <c r="CY190">
        <v>0</v>
      </c>
      <c r="CZ190">
        <v>0</v>
      </c>
      <c r="DA190">
        <v>0</v>
      </c>
      <c r="DB190">
        <v>1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</row>
    <row r="191" spans="1:113" x14ac:dyDescent="0.3">
      <c r="A191" t="str">
        <f>"06/16/2022 19:03:32.343"</f>
        <v>06/16/2022 19:03:32.343</v>
      </c>
      <c r="C191" t="str">
        <f t="shared" si="6"/>
        <v>FFBF5BC0</v>
      </c>
      <c r="D191" t="s">
        <v>113</v>
      </c>
      <c r="E191">
        <v>8</v>
      </c>
      <c r="H191">
        <v>206</v>
      </c>
      <c r="I191" t="s">
        <v>114</v>
      </c>
      <c r="J191" t="s">
        <v>115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>"19:03:32.086"</f>
        <v>19:03:32.086</v>
      </c>
      <c r="T191" t="str">
        <f>"19:03:32.086"</f>
        <v>19:03:32.086</v>
      </c>
      <c r="U191" t="str">
        <f t="shared" si="7"/>
        <v>AB63B2</v>
      </c>
      <c r="V191">
        <v>0</v>
      </c>
      <c r="W191">
        <v>0</v>
      </c>
      <c r="X191">
        <v>6</v>
      </c>
      <c r="Z191">
        <v>0</v>
      </c>
      <c r="AA191">
        <v>9</v>
      </c>
      <c r="AB191">
        <v>3</v>
      </c>
      <c r="AC191">
        <v>0</v>
      </c>
      <c r="AD191">
        <v>10</v>
      </c>
      <c r="AE191">
        <v>0</v>
      </c>
      <c r="AF191">
        <v>0</v>
      </c>
      <c r="AG191">
        <v>2</v>
      </c>
      <c r="AH191">
        <v>0</v>
      </c>
      <c r="AI191" t="s">
        <v>178</v>
      </c>
      <c r="AJ191">
        <v>41.989595999999999</v>
      </c>
      <c r="AK191" t="s">
        <v>136</v>
      </c>
      <c r="AL191">
        <v>-87.894917000000007</v>
      </c>
      <c r="AS191">
        <v>1</v>
      </c>
      <c r="AT191" t="s">
        <v>118</v>
      </c>
      <c r="AU191" t="b">
        <v>1</v>
      </c>
      <c r="AV191">
        <v>182.81</v>
      </c>
      <c r="AW191">
        <v>6.125</v>
      </c>
      <c r="AX191">
        <v>1</v>
      </c>
      <c r="AZ191">
        <v>7205</v>
      </c>
      <c r="BA191">
        <v>1</v>
      </c>
      <c r="BB191" t="str">
        <f t="shared" si="8"/>
        <v xml:space="preserve">KAP400  </v>
      </c>
      <c r="BC191">
        <v>1</v>
      </c>
      <c r="BE191">
        <v>0</v>
      </c>
      <c r="BF191">
        <v>0</v>
      </c>
      <c r="BG191">
        <v>0</v>
      </c>
      <c r="BI191">
        <v>1</v>
      </c>
      <c r="BJ191">
        <v>1</v>
      </c>
      <c r="BK191">
        <v>1</v>
      </c>
      <c r="BL191">
        <v>0</v>
      </c>
      <c r="BO191">
        <v>0</v>
      </c>
      <c r="BP191">
        <v>0</v>
      </c>
      <c r="BW191" t="str">
        <f>"19:03:32.086"</f>
        <v>19:03:32.086</v>
      </c>
      <c r="BX191" t="s">
        <v>119</v>
      </c>
      <c r="BY191" t="s">
        <v>120</v>
      </c>
      <c r="CJ191">
        <v>0</v>
      </c>
      <c r="CK191">
        <v>0</v>
      </c>
      <c r="CL191">
        <v>0</v>
      </c>
      <c r="CM191">
        <v>2</v>
      </c>
      <c r="CN191">
        <v>0</v>
      </c>
      <c r="CO191">
        <v>7</v>
      </c>
      <c r="CP191" t="s">
        <v>121</v>
      </c>
      <c r="CQ191">
        <v>579</v>
      </c>
      <c r="CR191">
        <v>0</v>
      </c>
      <c r="CW191">
        <v>270760</v>
      </c>
      <c r="CY191">
        <v>0</v>
      </c>
      <c r="CZ191">
        <v>0</v>
      </c>
      <c r="DA191">
        <v>0</v>
      </c>
      <c r="DB191">
        <v>1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</row>
    <row r="192" spans="1:113" x14ac:dyDescent="0.3">
      <c r="A192" t="str">
        <f>"06/16/2022 19:03:33.297"</f>
        <v>06/16/2022 19:03:33.297</v>
      </c>
      <c r="C192" t="str">
        <f t="shared" si="6"/>
        <v>FFBF5BC0</v>
      </c>
      <c r="D192" t="s">
        <v>113</v>
      </c>
      <c r="E192">
        <v>8</v>
      </c>
      <c r="H192">
        <v>206</v>
      </c>
      <c r="I192" t="s">
        <v>114</v>
      </c>
      <c r="J192" t="s">
        <v>115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>"19:03:33.094"</f>
        <v>19:03:33.094</v>
      </c>
      <c r="T192" t="str">
        <f>"19:03:33.094"</f>
        <v>19:03:33.094</v>
      </c>
      <c r="U192" t="str">
        <f t="shared" si="7"/>
        <v>AB63B2</v>
      </c>
      <c r="V192">
        <v>0</v>
      </c>
      <c r="W192">
        <v>0</v>
      </c>
      <c r="X192">
        <v>6</v>
      </c>
      <c r="Z192">
        <v>0</v>
      </c>
      <c r="AA192">
        <v>9</v>
      </c>
      <c r="AB192">
        <v>3</v>
      </c>
      <c r="AC192">
        <v>0</v>
      </c>
      <c r="AD192">
        <v>10</v>
      </c>
      <c r="AE192">
        <v>0</v>
      </c>
      <c r="AF192">
        <v>0</v>
      </c>
      <c r="AG192">
        <v>2</v>
      </c>
      <c r="AH192">
        <v>0</v>
      </c>
      <c r="AI192" t="s">
        <v>179</v>
      </c>
      <c r="AJ192">
        <v>41.989573999999998</v>
      </c>
      <c r="AK192" t="s">
        <v>136</v>
      </c>
      <c r="AL192">
        <v>-87.894917000000007</v>
      </c>
      <c r="AS192">
        <v>1</v>
      </c>
      <c r="AT192" t="s">
        <v>118</v>
      </c>
      <c r="AU192" t="b">
        <v>1</v>
      </c>
      <c r="AV192">
        <v>182.81</v>
      </c>
      <c r="AW192">
        <v>5.125</v>
      </c>
      <c r="AX192">
        <v>1</v>
      </c>
      <c r="AZ192">
        <v>7205</v>
      </c>
      <c r="BA192">
        <v>1</v>
      </c>
      <c r="BB192" t="str">
        <f t="shared" si="8"/>
        <v xml:space="preserve">KAP400  </v>
      </c>
      <c r="BC192">
        <v>1</v>
      </c>
      <c r="BE192">
        <v>0</v>
      </c>
      <c r="BF192">
        <v>0</v>
      </c>
      <c r="BG192">
        <v>0</v>
      </c>
      <c r="BI192">
        <v>1</v>
      </c>
      <c r="BJ192">
        <v>1</v>
      </c>
      <c r="BK192">
        <v>1</v>
      </c>
      <c r="BL192">
        <v>0</v>
      </c>
      <c r="BO192">
        <v>0</v>
      </c>
      <c r="BP192">
        <v>0</v>
      </c>
      <c r="BW192" t="str">
        <f>"19:03:33.096"</f>
        <v>19:03:33.096</v>
      </c>
      <c r="BX192" t="s">
        <v>119</v>
      </c>
      <c r="BY192" t="s">
        <v>120</v>
      </c>
      <c r="CJ192">
        <v>0</v>
      </c>
      <c r="CK192">
        <v>0</v>
      </c>
      <c r="CL192">
        <v>0</v>
      </c>
      <c r="CM192">
        <v>2</v>
      </c>
      <c r="CN192">
        <v>0</v>
      </c>
      <c r="CO192">
        <v>7</v>
      </c>
      <c r="CP192" t="s">
        <v>121</v>
      </c>
      <c r="CQ192">
        <v>582</v>
      </c>
      <c r="CR192">
        <v>0</v>
      </c>
      <c r="CW192">
        <v>5372733</v>
      </c>
      <c r="CY192">
        <v>0</v>
      </c>
      <c r="CZ192">
        <v>0</v>
      </c>
      <c r="DA192">
        <v>0</v>
      </c>
      <c r="DB192">
        <v>1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</row>
    <row r="193" spans="1:113" x14ac:dyDescent="0.3">
      <c r="A193" t="str">
        <f>"06/16/2022 19:03:34.422"</f>
        <v>06/16/2022 19:03:34.422</v>
      </c>
      <c r="C193" t="str">
        <f t="shared" si="6"/>
        <v>FFBF5BC0</v>
      </c>
      <c r="D193" t="s">
        <v>113</v>
      </c>
      <c r="E193">
        <v>8</v>
      </c>
      <c r="H193">
        <v>206</v>
      </c>
      <c r="I193" t="s">
        <v>114</v>
      </c>
      <c r="J193" t="s">
        <v>115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>"19:03:34.234"</f>
        <v>19:03:34.234</v>
      </c>
      <c r="T193" t="str">
        <f>"19:03:34.234"</f>
        <v>19:03:34.234</v>
      </c>
      <c r="U193" t="str">
        <f t="shared" si="7"/>
        <v>AB63B2</v>
      </c>
      <c r="V193">
        <v>0</v>
      </c>
      <c r="W193">
        <v>0</v>
      </c>
      <c r="X193">
        <v>6</v>
      </c>
      <c r="Z193">
        <v>0</v>
      </c>
      <c r="AA193">
        <v>9</v>
      </c>
      <c r="AB193">
        <v>3</v>
      </c>
      <c r="AC193">
        <v>0</v>
      </c>
      <c r="AD193">
        <v>10</v>
      </c>
      <c r="AE193">
        <v>0</v>
      </c>
      <c r="AF193">
        <v>0</v>
      </c>
      <c r="AG193">
        <v>2</v>
      </c>
      <c r="AH193">
        <v>0</v>
      </c>
      <c r="AI193" t="s">
        <v>180</v>
      </c>
      <c r="AJ193">
        <v>41.989553000000001</v>
      </c>
      <c r="AK193" t="s">
        <v>136</v>
      </c>
      <c r="AL193">
        <v>-87.894917000000007</v>
      </c>
      <c r="AS193">
        <v>1</v>
      </c>
      <c r="AT193" t="s">
        <v>118</v>
      </c>
      <c r="AU193" t="b">
        <v>1</v>
      </c>
      <c r="AV193">
        <v>182.81</v>
      </c>
      <c r="AW193">
        <v>4.625</v>
      </c>
      <c r="AX193">
        <v>1</v>
      </c>
      <c r="AZ193">
        <v>7205</v>
      </c>
      <c r="BA193">
        <v>1</v>
      </c>
      <c r="BB193" t="str">
        <f t="shared" si="8"/>
        <v xml:space="preserve">KAP400  </v>
      </c>
      <c r="BC193">
        <v>1</v>
      </c>
      <c r="BE193">
        <v>0</v>
      </c>
      <c r="BF193">
        <v>0</v>
      </c>
      <c r="BG193">
        <v>0</v>
      </c>
      <c r="BI193">
        <v>1</v>
      </c>
      <c r="BJ193">
        <v>1</v>
      </c>
      <c r="BK193">
        <v>1</v>
      </c>
      <c r="BL193">
        <v>0</v>
      </c>
      <c r="BO193">
        <v>0</v>
      </c>
      <c r="BP193">
        <v>0</v>
      </c>
      <c r="BW193" t="str">
        <f>"19:03:34.236"</f>
        <v>19:03:34.236</v>
      </c>
      <c r="BX193" t="s">
        <v>119</v>
      </c>
      <c r="BY193" t="s">
        <v>120</v>
      </c>
      <c r="CJ193">
        <v>0</v>
      </c>
      <c r="CK193">
        <v>0</v>
      </c>
      <c r="CL193">
        <v>0</v>
      </c>
      <c r="CM193">
        <v>2</v>
      </c>
      <c r="CN193">
        <v>0</v>
      </c>
      <c r="CO193">
        <v>7</v>
      </c>
      <c r="CP193" t="s">
        <v>121</v>
      </c>
      <c r="CQ193">
        <v>582</v>
      </c>
      <c r="CR193">
        <v>0</v>
      </c>
      <c r="CW193">
        <v>5374659</v>
      </c>
      <c r="CY193">
        <v>0</v>
      </c>
      <c r="CZ193">
        <v>0</v>
      </c>
      <c r="DA193">
        <v>0</v>
      </c>
      <c r="DB193">
        <v>1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</row>
    <row r="194" spans="1:113" x14ac:dyDescent="0.3">
      <c r="A194" t="str">
        <f>"06/16/2022 19:03:36.173"</f>
        <v>06/16/2022 19:03:36.173</v>
      </c>
      <c r="C194" t="str">
        <f t="shared" ref="C194:C257" si="9">"FFBF5BC0"</f>
        <v>FFBF5BC0</v>
      </c>
      <c r="D194" t="s">
        <v>113</v>
      </c>
      <c r="E194">
        <v>8</v>
      </c>
      <c r="H194">
        <v>206</v>
      </c>
      <c r="I194" t="s">
        <v>114</v>
      </c>
      <c r="J194" t="s">
        <v>115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>"19:03:35.813"</f>
        <v>19:03:35.813</v>
      </c>
      <c r="T194" t="str">
        <f>"19:03:35.813"</f>
        <v>19:03:35.813</v>
      </c>
      <c r="U194" t="str">
        <f t="shared" ref="U194:U257" si="10">"AB63B2"</f>
        <v>AB63B2</v>
      </c>
      <c r="V194">
        <v>0</v>
      </c>
      <c r="W194">
        <v>0</v>
      </c>
      <c r="X194">
        <v>6</v>
      </c>
      <c r="Z194">
        <v>0</v>
      </c>
      <c r="AA194">
        <v>9</v>
      </c>
      <c r="AB194">
        <v>3</v>
      </c>
      <c r="AC194">
        <v>0</v>
      </c>
      <c r="AD194">
        <v>10</v>
      </c>
      <c r="AE194">
        <v>0</v>
      </c>
      <c r="AF194">
        <v>0</v>
      </c>
      <c r="AG194">
        <v>2</v>
      </c>
      <c r="AH194">
        <v>0</v>
      </c>
      <c r="AI194" t="s">
        <v>181</v>
      </c>
      <c r="AJ194">
        <v>41.989531999999997</v>
      </c>
      <c r="AK194" t="s">
        <v>136</v>
      </c>
      <c r="AL194">
        <v>-87.894917000000007</v>
      </c>
      <c r="AS194">
        <v>1</v>
      </c>
      <c r="AT194" t="s">
        <v>118</v>
      </c>
      <c r="AU194" t="b">
        <v>1</v>
      </c>
      <c r="AV194">
        <v>182.81</v>
      </c>
      <c r="AW194">
        <v>3.125</v>
      </c>
      <c r="AX194">
        <v>1</v>
      </c>
      <c r="AZ194">
        <v>7205</v>
      </c>
      <c r="BA194">
        <v>1</v>
      </c>
      <c r="BB194" t="str">
        <f t="shared" ref="BB194:BB257" si="11">"KAP400  "</f>
        <v xml:space="preserve">KAP400  </v>
      </c>
      <c r="BC194">
        <v>1</v>
      </c>
      <c r="BE194">
        <v>0</v>
      </c>
      <c r="BF194">
        <v>0</v>
      </c>
      <c r="BG194">
        <v>0</v>
      </c>
      <c r="BI194">
        <v>1</v>
      </c>
      <c r="BJ194">
        <v>1</v>
      </c>
      <c r="BK194">
        <v>1</v>
      </c>
      <c r="BL194">
        <v>0</v>
      </c>
      <c r="BO194">
        <v>0</v>
      </c>
      <c r="BP194">
        <v>0</v>
      </c>
      <c r="BW194" t="str">
        <f>"19:03:35.815"</f>
        <v>19:03:35.815</v>
      </c>
      <c r="BX194" t="s">
        <v>119</v>
      </c>
      <c r="BY194" t="s">
        <v>120</v>
      </c>
      <c r="CJ194">
        <v>0</v>
      </c>
      <c r="CK194">
        <v>0</v>
      </c>
      <c r="CL194">
        <v>0</v>
      </c>
      <c r="CM194">
        <v>2</v>
      </c>
      <c r="CN194">
        <v>0</v>
      </c>
      <c r="CO194">
        <v>7</v>
      </c>
      <c r="CP194" t="s">
        <v>121</v>
      </c>
      <c r="CQ194">
        <v>582</v>
      </c>
      <c r="CR194">
        <v>0</v>
      </c>
      <c r="CW194">
        <v>5377303</v>
      </c>
      <c r="CY194">
        <v>0</v>
      </c>
      <c r="CZ194">
        <v>0</v>
      </c>
      <c r="DA194">
        <v>0</v>
      </c>
      <c r="DB194">
        <v>1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</row>
    <row r="195" spans="1:113" x14ac:dyDescent="0.3">
      <c r="A195" t="str">
        <f>"06/16/2022 19:03:37.530"</f>
        <v>06/16/2022 19:03:37.530</v>
      </c>
      <c r="C195" t="str">
        <f t="shared" si="9"/>
        <v>FFBF5BC0</v>
      </c>
      <c r="D195" t="s">
        <v>113</v>
      </c>
      <c r="E195">
        <v>8</v>
      </c>
      <c r="H195">
        <v>206</v>
      </c>
      <c r="I195" t="s">
        <v>114</v>
      </c>
      <c r="J195" t="s">
        <v>115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"19:03:37.234"</f>
        <v>19:03:37.234</v>
      </c>
      <c r="T195" t="str">
        <f>"19:03:37.234"</f>
        <v>19:03:37.234</v>
      </c>
      <c r="U195" t="str">
        <f t="shared" si="10"/>
        <v>AB63B2</v>
      </c>
      <c r="V195">
        <v>0</v>
      </c>
      <c r="W195">
        <v>0</v>
      </c>
      <c r="X195">
        <v>6</v>
      </c>
      <c r="Z195">
        <v>0</v>
      </c>
      <c r="AA195">
        <v>9</v>
      </c>
      <c r="AB195">
        <v>3</v>
      </c>
      <c r="AC195">
        <v>0</v>
      </c>
      <c r="AD195">
        <v>10</v>
      </c>
      <c r="AE195">
        <v>0</v>
      </c>
      <c r="AF195">
        <v>0</v>
      </c>
      <c r="AG195">
        <v>2</v>
      </c>
      <c r="AH195">
        <v>0</v>
      </c>
      <c r="AI195" t="s">
        <v>182</v>
      </c>
      <c r="AJ195">
        <v>41.989510000000003</v>
      </c>
      <c r="AK195" t="s">
        <v>136</v>
      </c>
      <c r="AL195">
        <v>-87.894917000000007</v>
      </c>
      <c r="AS195">
        <v>1</v>
      </c>
      <c r="AT195" t="s">
        <v>118</v>
      </c>
      <c r="AU195" t="b">
        <v>1</v>
      </c>
      <c r="AV195">
        <v>182.81</v>
      </c>
      <c r="AW195">
        <v>2.625</v>
      </c>
      <c r="AX195">
        <v>1</v>
      </c>
      <c r="AZ195">
        <v>7205</v>
      </c>
      <c r="BA195">
        <v>1</v>
      </c>
      <c r="BB195" t="str">
        <f t="shared" si="11"/>
        <v xml:space="preserve">KAP400  </v>
      </c>
      <c r="BC195">
        <v>1</v>
      </c>
      <c r="BE195">
        <v>0</v>
      </c>
      <c r="BF195">
        <v>0</v>
      </c>
      <c r="BG195">
        <v>0</v>
      </c>
      <c r="BI195">
        <v>1</v>
      </c>
      <c r="BJ195">
        <v>1</v>
      </c>
      <c r="BK195">
        <v>1</v>
      </c>
      <c r="BL195">
        <v>0</v>
      </c>
      <c r="BO195">
        <v>0</v>
      </c>
      <c r="BP195">
        <v>0</v>
      </c>
      <c r="BW195" t="str">
        <f>"19:03:37.236"</f>
        <v>19:03:37.236</v>
      </c>
      <c r="BX195" t="s">
        <v>119</v>
      </c>
      <c r="BY195" t="s">
        <v>120</v>
      </c>
      <c r="CJ195">
        <v>0</v>
      </c>
      <c r="CK195">
        <v>0</v>
      </c>
      <c r="CL195">
        <v>0</v>
      </c>
      <c r="CM195">
        <v>2</v>
      </c>
      <c r="CN195">
        <v>0</v>
      </c>
      <c r="CO195">
        <v>7</v>
      </c>
      <c r="CP195" t="s">
        <v>121</v>
      </c>
      <c r="CQ195">
        <v>582</v>
      </c>
      <c r="CR195">
        <v>0</v>
      </c>
      <c r="CW195">
        <v>5379559</v>
      </c>
      <c r="CY195">
        <v>0</v>
      </c>
      <c r="CZ195">
        <v>0</v>
      </c>
      <c r="DA195">
        <v>0</v>
      </c>
      <c r="DB195">
        <v>1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</row>
    <row r="196" spans="1:113" x14ac:dyDescent="0.3">
      <c r="A196" t="str">
        <f>"06/16/2022 19:03:38.843"</f>
        <v>06/16/2022 19:03:38.843</v>
      </c>
      <c r="C196" t="str">
        <f t="shared" si="9"/>
        <v>FFBF5BC0</v>
      </c>
      <c r="D196" t="s">
        <v>113</v>
      </c>
      <c r="E196">
        <v>8</v>
      </c>
      <c r="H196">
        <v>206</v>
      </c>
      <c r="I196" t="s">
        <v>114</v>
      </c>
      <c r="J196" t="s">
        <v>115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"19:03:38.570"</f>
        <v>19:03:38.570</v>
      </c>
      <c r="T196" t="str">
        <f>"19:03:38.570"</f>
        <v>19:03:38.570</v>
      </c>
      <c r="U196" t="str">
        <f t="shared" si="10"/>
        <v>AB63B2</v>
      </c>
      <c r="V196">
        <v>0</v>
      </c>
      <c r="W196">
        <v>0</v>
      </c>
      <c r="X196">
        <v>6</v>
      </c>
      <c r="Z196">
        <v>0</v>
      </c>
      <c r="AA196">
        <v>9</v>
      </c>
      <c r="AB196">
        <v>3</v>
      </c>
      <c r="AC196">
        <v>0</v>
      </c>
      <c r="AD196">
        <v>10</v>
      </c>
      <c r="AE196">
        <v>0</v>
      </c>
      <c r="AF196">
        <v>0</v>
      </c>
      <c r="AG196">
        <v>2</v>
      </c>
      <c r="AH196">
        <v>0</v>
      </c>
      <c r="AI196" t="s">
        <v>182</v>
      </c>
      <c r="AJ196">
        <v>41.989510000000003</v>
      </c>
      <c r="AK196" t="s">
        <v>136</v>
      </c>
      <c r="AL196">
        <v>-87.894917000000007</v>
      </c>
      <c r="AS196">
        <v>1</v>
      </c>
      <c r="AT196" t="s">
        <v>118</v>
      </c>
      <c r="AU196" t="b">
        <v>1</v>
      </c>
      <c r="AV196">
        <v>182.81</v>
      </c>
      <c r="AW196">
        <v>2.625</v>
      </c>
      <c r="AX196">
        <v>1</v>
      </c>
      <c r="AZ196">
        <v>7205</v>
      </c>
      <c r="BA196">
        <v>1</v>
      </c>
      <c r="BB196" t="str">
        <f t="shared" si="11"/>
        <v xml:space="preserve">KAP400  </v>
      </c>
      <c r="BC196">
        <v>1</v>
      </c>
      <c r="BE196">
        <v>0</v>
      </c>
      <c r="BF196">
        <v>0</v>
      </c>
      <c r="BG196">
        <v>0</v>
      </c>
      <c r="BI196">
        <v>1</v>
      </c>
      <c r="BJ196">
        <v>1</v>
      </c>
      <c r="BK196">
        <v>1</v>
      </c>
      <c r="BL196">
        <v>0</v>
      </c>
      <c r="BO196">
        <v>0</v>
      </c>
      <c r="BP196">
        <v>0</v>
      </c>
      <c r="BW196" t="str">
        <f>"19:03:38.571"</f>
        <v>19:03:38.571</v>
      </c>
      <c r="BX196" t="s">
        <v>119</v>
      </c>
      <c r="BY196" t="s">
        <v>120</v>
      </c>
      <c r="CJ196">
        <v>0</v>
      </c>
      <c r="CK196">
        <v>0</v>
      </c>
      <c r="CL196">
        <v>0</v>
      </c>
      <c r="CM196">
        <v>2</v>
      </c>
      <c r="CN196">
        <v>0</v>
      </c>
      <c r="CO196">
        <v>7</v>
      </c>
      <c r="CP196" t="s">
        <v>121</v>
      </c>
      <c r="CQ196">
        <v>579</v>
      </c>
      <c r="CR196">
        <v>0</v>
      </c>
      <c r="CW196">
        <v>285171</v>
      </c>
      <c r="CY196">
        <v>0</v>
      </c>
      <c r="CZ196">
        <v>0</v>
      </c>
      <c r="DA196">
        <v>0</v>
      </c>
      <c r="DB196">
        <v>1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</row>
    <row r="197" spans="1:113" x14ac:dyDescent="0.3">
      <c r="A197" t="str">
        <f>"06/16/2022 19:03:39.890"</f>
        <v>06/16/2022 19:03:39.890</v>
      </c>
      <c r="C197" t="str">
        <f t="shared" si="9"/>
        <v>FFBF5BC0</v>
      </c>
      <c r="D197" t="s">
        <v>113</v>
      </c>
      <c r="E197">
        <v>8</v>
      </c>
      <c r="H197">
        <v>206</v>
      </c>
      <c r="I197" t="s">
        <v>114</v>
      </c>
      <c r="J197" t="s">
        <v>115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>"19:03:39.656"</f>
        <v>19:03:39.656</v>
      </c>
      <c r="T197" t="str">
        <f>"19:03:39.656"</f>
        <v>19:03:39.656</v>
      </c>
      <c r="U197" t="str">
        <f t="shared" si="10"/>
        <v>AB63B2</v>
      </c>
      <c r="V197">
        <v>0</v>
      </c>
      <c r="W197">
        <v>0</v>
      </c>
      <c r="X197">
        <v>6</v>
      </c>
      <c r="Z197">
        <v>0</v>
      </c>
      <c r="AA197">
        <v>9</v>
      </c>
      <c r="AB197">
        <v>3</v>
      </c>
      <c r="AC197">
        <v>0</v>
      </c>
      <c r="AD197">
        <v>10</v>
      </c>
      <c r="AE197">
        <v>0</v>
      </c>
      <c r="AF197">
        <v>0</v>
      </c>
      <c r="AG197">
        <v>2</v>
      </c>
      <c r="AH197">
        <v>0</v>
      </c>
      <c r="AI197" t="s">
        <v>183</v>
      </c>
      <c r="AJ197">
        <v>41.989488999999999</v>
      </c>
      <c r="AK197" t="s">
        <v>141</v>
      </c>
      <c r="AL197">
        <v>-87.894937999999996</v>
      </c>
      <c r="AS197">
        <v>1</v>
      </c>
      <c r="AT197" t="s">
        <v>118</v>
      </c>
      <c r="AU197" t="b">
        <v>1</v>
      </c>
      <c r="AV197">
        <v>182.81</v>
      </c>
      <c r="AW197">
        <v>2.625</v>
      </c>
      <c r="AX197">
        <v>1</v>
      </c>
      <c r="AZ197">
        <v>7205</v>
      </c>
      <c r="BA197">
        <v>1</v>
      </c>
      <c r="BB197" t="str">
        <f t="shared" si="11"/>
        <v xml:space="preserve">KAP400  </v>
      </c>
      <c r="BC197">
        <v>1</v>
      </c>
      <c r="BE197">
        <v>0</v>
      </c>
      <c r="BF197">
        <v>0</v>
      </c>
      <c r="BG197">
        <v>0</v>
      </c>
      <c r="BI197">
        <v>1</v>
      </c>
      <c r="BJ197">
        <v>1</v>
      </c>
      <c r="BK197">
        <v>1</v>
      </c>
      <c r="BL197">
        <v>0</v>
      </c>
      <c r="BO197">
        <v>0</v>
      </c>
      <c r="BP197">
        <v>0</v>
      </c>
      <c r="BW197" t="str">
        <f>"19:03:39.663"</f>
        <v>19:03:39.663</v>
      </c>
      <c r="BX197" t="s">
        <v>119</v>
      </c>
      <c r="BY197" t="s">
        <v>120</v>
      </c>
      <c r="CJ197">
        <v>0</v>
      </c>
      <c r="CK197">
        <v>0</v>
      </c>
      <c r="CL197">
        <v>0</v>
      </c>
      <c r="CM197">
        <v>2</v>
      </c>
      <c r="CN197">
        <v>0</v>
      </c>
      <c r="CO197">
        <v>7</v>
      </c>
      <c r="CP197" t="s">
        <v>121</v>
      </c>
      <c r="CQ197">
        <v>579</v>
      </c>
      <c r="CR197">
        <v>0</v>
      </c>
      <c r="CW197">
        <v>287660</v>
      </c>
      <c r="CY197">
        <v>0</v>
      </c>
      <c r="CZ197">
        <v>0</v>
      </c>
      <c r="DA197">
        <v>0</v>
      </c>
      <c r="DB197">
        <v>1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</row>
    <row r="198" spans="1:113" x14ac:dyDescent="0.3">
      <c r="A198" t="str">
        <f>"06/16/2022 19:03:41.016"</f>
        <v>06/16/2022 19:03:41.016</v>
      </c>
      <c r="C198" t="str">
        <f t="shared" si="9"/>
        <v>FFBF5BC0</v>
      </c>
      <c r="D198" t="s">
        <v>113</v>
      </c>
      <c r="E198">
        <v>8</v>
      </c>
      <c r="H198">
        <v>206</v>
      </c>
      <c r="I198" t="s">
        <v>114</v>
      </c>
      <c r="J198" t="s">
        <v>115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>"19:03:40.672"</f>
        <v>19:03:40.672</v>
      </c>
      <c r="T198" t="str">
        <f>"19:03:40.672"</f>
        <v>19:03:40.672</v>
      </c>
      <c r="U198" t="str">
        <f t="shared" si="10"/>
        <v>AB63B2</v>
      </c>
      <c r="V198">
        <v>0</v>
      </c>
      <c r="W198">
        <v>0</v>
      </c>
      <c r="X198">
        <v>6</v>
      </c>
      <c r="Z198">
        <v>0</v>
      </c>
      <c r="AA198">
        <v>9</v>
      </c>
      <c r="AB198">
        <v>3</v>
      </c>
      <c r="AC198">
        <v>0</v>
      </c>
      <c r="AD198">
        <v>10</v>
      </c>
      <c r="AE198">
        <v>0</v>
      </c>
      <c r="AF198">
        <v>0</v>
      </c>
      <c r="AG198">
        <v>2</v>
      </c>
      <c r="AH198">
        <v>0</v>
      </c>
      <c r="AI198" t="s">
        <v>183</v>
      </c>
      <c r="AJ198">
        <v>41.989488999999999</v>
      </c>
      <c r="AK198" t="s">
        <v>141</v>
      </c>
      <c r="AL198">
        <v>-87.894937999999996</v>
      </c>
      <c r="AS198">
        <v>1</v>
      </c>
      <c r="AT198" t="s">
        <v>118</v>
      </c>
      <c r="AU198" t="b">
        <v>1</v>
      </c>
      <c r="AV198">
        <v>182.81</v>
      </c>
      <c r="AW198">
        <v>2.125</v>
      </c>
      <c r="AX198">
        <v>1</v>
      </c>
      <c r="AZ198">
        <v>7205</v>
      </c>
      <c r="BA198">
        <v>1</v>
      </c>
      <c r="BB198" t="str">
        <f t="shared" si="11"/>
        <v xml:space="preserve">KAP400  </v>
      </c>
      <c r="BC198">
        <v>1</v>
      </c>
      <c r="BE198">
        <v>0</v>
      </c>
      <c r="BF198">
        <v>0</v>
      </c>
      <c r="BG198">
        <v>0</v>
      </c>
      <c r="BI198">
        <v>1</v>
      </c>
      <c r="BJ198">
        <v>1</v>
      </c>
      <c r="BK198">
        <v>1</v>
      </c>
      <c r="BL198">
        <v>0</v>
      </c>
      <c r="BO198">
        <v>0</v>
      </c>
      <c r="BP198">
        <v>0</v>
      </c>
      <c r="BW198" t="str">
        <f>"19:03:40.677"</f>
        <v>19:03:40.677</v>
      </c>
      <c r="BX198" t="s">
        <v>119</v>
      </c>
      <c r="BY198" t="s">
        <v>120</v>
      </c>
      <c r="CJ198">
        <v>0</v>
      </c>
      <c r="CK198">
        <v>0</v>
      </c>
      <c r="CL198">
        <v>0</v>
      </c>
      <c r="CM198">
        <v>2</v>
      </c>
      <c r="CN198">
        <v>0</v>
      </c>
      <c r="CO198">
        <v>7</v>
      </c>
      <c r="CP198" t="s">
        <v>121</v>
      </c>
      <c r="CQ198">
        <v>582</v>
      </c>
      <c r="CR198">
        <v>0</v>
      </c>
      <c r="CW198">
        <v>5385104</v>
      </c>
      <c r="CY198">
        <v>0</v>
      </c>
      <c r="CZ198">
        <v>0</v>
      </c>
      <c r="DA198">
        <v>0</v>
      </c>
      <c r="DB198">
        <v>1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</row>
    <row r="199" spans="1:113" x14ac:dyDescent="0.3">
      <c r="A199" t="str">
        <f>"06/16/2022 19:03:41.890"</f>
        <v>06/16/2022 19:03:41.890</v>
      </c>
      <c r="C199" t="str">
        <f t="shared" si="9"/>
        <v>FFBF5BC0</v>
      </c>
      <c r="D199" t="s">
        <v>113</v>
      </c>
      <c r="E199">
        <v>8</v>
      </c>
      <c r="H199">
        <v>206</v>
      </c>
      <c r="I199" t="s">
        <v>114</v>
      </c>
      <c r="J199" t="s">
        <v>115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>"19:03:41.656"</f>
        <v>19:03:41.656</v>
      </c>
      <c r="T199" t="str">
        <f>"19:03:41.656"</f>
        <v>19:03:41.656</v>
      </c>
      <c r="U199" t="str">
        <f t="shared" si="10"/>
        <v>AB63B2</v>
      </c>
      <c r="V199">
        <v>0</v>
      </c>
      <c r="W199">
        <v>0</v>
      </c>
      <c r="X199">
        <v>6</v>
      </c>
      <c r="Z199">
        <v>0</v>
      </c>
      <c r="AA199">
        <v>9</v>
      </c>
      <c r="AB199">
        <v>3</v>
      </c>
      <c r="AC199">
        <v>0</v>
      </c>
      <c r="AD199">
        <v>10</v>
      </c>
      <c r="AE199">
        <v>0</v>
      </c>
      <c r="AF199">
        <v>0</v>
      </c>
      <c r="AG199">
        <v>2</v>
      </c>
      <c r="AH199">
        <v>0</v>
      </c>
      <c r="AI199" t="s">
        <v>184</v>
      </c>
      <c r="AJ199">
        <v>41.989466999999998</v>
      </c>
      <c r="AK199" t="s">
        <v>141</v>
      </c>
      <c r="AL199">
        <v>-87.894937999999996</v>
      </c>
      <c r="AS199">
        <v>1</v>
      </c>
      <c r="AT199" t="s">
        <v>118</v>
      </c>
      <c r="AU199" t="b">
        <v>1</v>
      </c>
      <c r="AV199">
        <v>182.81</v>
      </c>
      <c r="AW199">
        <v>2.125</v>
      </c>
      <c r="AX199">
        <v>1</v>
      </c>
      <c r="AZ199">
        <v>7205</v>
      </c>
      <c r="BA199">
        <v>1</v>
      </c>
      <c r="BB199" t="str">
        <f t="shared" si="11"/>
        <v xml:space="preserve">KAP400  </v>
      </c>
      <c r="BC199">
        <v>1</v>
      </c>
      <c r="BE199">
        <v>0</v>
      </c>
      <c r="BF199">
        <v>0</v>
      </c>
      <c r="BG199">
        <v>0</v>
      </c>
      <c r="BI199">
        <v>1</v>
      </c>
      <c r="BJ199">
        <v>1</v>
      </c>
      <c r="BK199">
        <v>1</v>
      </c>
      <c r="BL199">
        <v>0</v>
      </c>
      <c r="BO199">
        <v>0</v>
      </c>
      <c r="BP199">
        <v>0</v>
      </c>
      <c r="BW199" t="str">
        <f>"19:03:41.660"</f>
        <v>19:03:41.660</v>
      </c>
      <c r="BX199" t="s">
        <v>119</v>
      </c>
      <c r="BY199" t="s">
        <v>120</v>
      </c>
      <c r="CJ199">
        <v>0</v>
      </c>
      <c r="CK199">
        <v>0</v>
      </c>
      <c r="CL199">
        <v>0</v>
      </c>
      <c r="CM199">
        <v>2</v>
      </c>
      <c r="CN199">
        <v>0</v>
      </c>
      <c r="CO199">
        <v>7</v>
      </c>
      <c r="CP199" t="s">
        <v>121</v>
      </c>
      <c r="CQ199">
        <v>582</v>
      </c>
      <c r="CR199">
        <v>0</v>
      </c>
      <c r="CW199">
        <v>5386696</v>
      </c>
      <c r="CY199">
        <v>0</v>
      </c>
      <c r="CZ199">
        <v>0</v>
      </c>
      <c r="DA199">
        <v>0</v>
      </c>
      <c r="DB199">
        <v>1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</row>
    <row r="200" spans="1:113" x14ac:dyDescent="0.3">
      <c r="A200" t="str">
        <f>"06/16/2022 19:03:43.062"</f>
        <v>06/16/2022 19:03:43.062</v>
      </c>
      <c r="C200" t="str">
        <f t="shared" si="9"/>
        <v>FFBF5BC0</v>
      </c>
      <c r="D200" t="s">
        <v>113</v>
      </c>
      <c r="E200">
        <v>8</v>
      </c>
      <c r="H200">
        <v>206</v>
      </c>
      <c r="I200" t="s">
        <v>114</v>
      </c>
      <c r="J200" t="s">
        <v>115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"19:03:42.781"</f>
        <v>19:03:42.781</v>
      </c>
      <c r="T200" t="str">
        <f>"19:03:42.781"</f>
        <v>19:03:42.781</v>
      </c>
      <c r="U200" t="str">
        <f t="shared" si="10"/>
        <v>AB63B2</v>
      </c>
      <c r="V200">
        <v>0</v>
      </c>
      <c r="W200">
        <v>0</v>
      </c>
      <c r="X200">
        <v>6</v>
      </c>
      <c r="Z200">
        <v>0</v>
      </c>
      <c r="AA200">
        <v>9</v>
      </c>
      <c r="AB200">
        <v>3</v>
      </c>
      <c r="AC200">
        <v>0</v>
      </c>
      <c r="AD200">
        <v>10</v>
      </c>
      <c r="AE200">
        <v>0</v>
      </c>
      <c r="AF200">
        <v>0</v>
      </c>
      <c r="AG200">
        <v>2</v>
      </c>
      <c r="AH200">
        <v>0</v>
      </c>
      <c r="AI200" t="s">
        <v>184</v>
      </c>
      <c r="AJ200">
        <v>41.989466999999998</v>
      </c>
      <c r="AK200" t="s">
        <v>141</v>
      </c>
      <c r="AL200">
        <v>-87.894937999999996</v>
      </c>
      <c r="AS200">
        <v>1</v>
      </c>
      <c r="AT200" t="s">
        <v>118</v>
      </c>
      <c r="AU200" t="b">
        <v>1</v>
      </c>
      <c r="AV200">
        <v>182.81</v>
      </c>
      <c r="AW200">
        <v>2.125</v>
      </c>
      <c r="AX200">
        <v>1</v>
      </c>
      <c r="AZ200">
        <v>7205</v>
      </c>
      <c r="BA200">
        <v>1</v>
      </c>
      <c r="BB200" t="str">
        <f t="shared" si="11"/>
        <v xml:space="preserve">KAP400  </v>
      </c>
      <c r="BC200">
        <v>1</v>
      </c>
      <c r="BE200">
        <v>0</v>
      </c>
      <c r="BF200">
        <v>0</v>
      </c>
      <c r="BG200">
        <v>0</v>
      </c>
      <c r="BI200">
        <v>1</v>
      </c>
      <c r="BJ200">
        <v>1</v>
      </c>
      <c r="BK200">
        <v>1</v>
      </c>
      <c r="BL200">
        <v>0</v>
      </c>
      <c r="BO200">
        <v>0</v>
      </c>
      <c r="BP200">
        <v>0</v>
      </c>
      <c r="BW200" t="str">
        <f>"19:03:42.789"</f>
        <v>19:03:42.789</v>
      </c>
      <c r="BX200" t="s">
        <v>119</v>
      </c>
      <c r="BY200" t="s">
        <v>120</v>
      </c>
      <c r="CJ200">
        <v>0</v>
      </c>
      <c r="CK200">
        <v>0</v>
      </c>
      <c r="CL200">
        <v>0</v>
      </c>
      <c r="CM200">
        <v>2</v>
      </c>
      <c r="CN200">
        <v>0</v>
      </c>
      <c r="CO200">
        <v>7</v>
      </c>
      <c r="CP200" t="s">
        <v>121</v>
      </c>
      <c r="CQ200">
        <v>579</v>
      </c>
      <c r="CR200">
        <v>0</v>
      </c>
      <c r="CW200">
        <v>294419</v>
      </c>
      <c r="CY200">
        <v>0</v>
      </c>
      <c r="CZ200">
        <v>0</v>
      </c>
      <c r="DA200">
        <v>0</v>
      </c>
      <c r="DB200">
        <v>1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</row>
    <row r="201" spans="1:113" x14ac:dyDescent="0.3">
      <c r="A201" t="str">
        <f>"06/16/2022 19:03:43.859"</f>
        <v>06/16/2022 19:03:43.859</v>
      </c>
      <c r="C201" t="str">
        <f t="shared" si="9"/>
        <v>FFBF5BC0</v>
      </c>
      <c r="D201" t="s">
        <v>113</v>
      </c>
      <c r="E201">
        <v>8</v>
      </c>
      <c r="H201">
        <v>206</v>
      </c>
      <c r="I201" t="s">
        <v>114</v>
      </c>
      <c r="J201" t="s">
        <v>115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>"19:03:43.633"</f>
        <v>19:03:43.633</v>
      </c>
      <c r="T201" t="str">
        <f>"19:03:43.633"</f>
        <v>19:03:43.633</v>
      </c>
      <c r="U201" t="str">
        <f t="shared" si="10"/>
        <v>AB63B2</v>
      </c>
      <c r="V201">
        <v>0</v>
      </c>
      <c r="W201">
        <v>0</v>
      </c>
      <c r="X201">
        <v>6</v>
      </c>
      <c r="Z201">
        <v>0</v>
      </c>
      <c r="AA201">
        <v>9</v>
      </c>
      <c r="AB201">
        <v>3</v>
      </c>
      <c r="AC201">
        <v>0</v>
      </c>
      <c r="AD201">
        <v>10</v>
      </c>
      <c r="AE201">
        <v>0</v>
      </c>
      <c r="AF201">
        <v>0</v>
      </c>
      <c r="AG201">
        <v>2</v>
      </c>
      <c r="AH201">
        <v>0</v>
      </c>
      <c r="AI201" t="s">
        <v>185</v>
      </c>
      <c r="AJ201">
        <v>41.989446000000001</v>
      </c>
      <c r="AK201" t="s">
        <v>141</v>
      </c>
      <c r="AL201">
        <v>-87.894937999999996</v>
      </c>
      <c r="AS201">
        <v>1</v>
      </c>
      <c r="AT201" t="s">
        <v>118</v>
      </c>
      <c r="AU201" t="b">
        <v>1</v>
      </c>
      <c r="AV201">
        <v>182.81</v>
      </c>
      <c r="AW201">
        <v>2.125</v>
      </c>
      <c r="AX201">
        <v>1</v>
      </c>
      <c r="AZ201">
        <v>7205</v>
      </c>
      <c r="BA201">
        <v>1</v>
      </c>
      <c r="BB201" t="str">
        <f t="shared" si="11"/>
        <v xml:space="preserve">KAP400  </v>
      </c>
      <c r="BC201">
        <v>1</v>
      </c>
      <c r="BE201">
        <v>0</v>
      </c>
      <c r="BF201">
        <v>0</v>
      </c>
      <c r="BG201">
        <v>0</v>
      </c>
      <c r="BI201">
        <v>1</v>
      </c>
      <c r="BJ201">
        <v>1</v>
      </c>
      <c r="BK201">
        <v>1</v>
      </c>
      <c r="BL201">
        <v>0</v>
      </c>
      <c r="BO201">
        <v>0</v>
      </c>
      <c r="BP201">
        <v>0</v>
      </c>
      <c r="BW201" t="str">
        <f>"19:03:43.636"</f>
        <v>19:03:43.636</v>
      </c>
      <c r="BX201" t="s">
        <v>119</v>
      </c>
      <c r="BY201" t="s">
        <v>120</v>
      </c>
      <c r="CJ201">
        <v>0</v>
      </c>
      <c r="CK201">
        <v>0</v>
      </c>
      <c r="CL201">
        <v>0</v>
      </c>
      <c r="CM201">
        <v>2</v>
      </c>
      <c r="CN201">
        <v>0</v>
      </c>
      <c r="CO201">
        <v>7</v>
      </c>
      <c r="CP201" t="s">
        <v>121</v>
      </c>
      <c r="CQ201">
        <v>582</v>
      </c>
      <c r="CR201">
        <v>0</v>
      </c>
      <c r="CW201">
        <v>5389808</v>
      </c>
      <c r="CY201">
        <v>0</v>
      </c>
      <c r="CZ201">
        <v>0</v>
      </c>
      <c r="DA201">
        <v>0</v>
      </c>
      <c r="DB201">
        <v>1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</row>
    <row r="202" spans="1:113" x14ac:dyDescent="0.3">
      <c r="A202" t="str">
        <f>"06/16/2022 19:03:45.031"</f>
        <v>06/16/2022 19:03:45.031</v>
      </c>
      <c r="C202" t="str">
        <f t="shared" si="9"/>
        <v>FFBF5BC0</v>
      </c>
      <c r="D202" t="s">
        <v>113</v>
      </c>
      <c r="E202">
        <v>8</v>
      </c>
      <c r="H202">
        <v>206</v>
      </c>
      <c r="I202" t="s">
        <v>114</v>
      </c>
      <c r="J202" t="s">
        <v>115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>"19:03:44.727"</f>
        <v>19:03:44.727</v>
      </c>
      <c r="T202" t="str">
        <f>"19:03:44.727"</f>
        <v>19:03:44.727</v>
      </c>
      <c r="U202" t="str">
        <f t="shared" si="10"/>
        <v>AB63B2</v>
      </c>
      <c r="V202">
        <v>0</v>
      </c>
      <c r="W202">
        <v>0</v>
      </c>
      <c r="X202">
        <v>6</v>
      </c>
      <c r="Z202">
        <v>0</v>
      </c>
      <c r="AA202">
        <v>9</v>
      </c>
      <c r="AB202">
        <v>3</v>
      </c>
      <c r="AC202">
        <v>0</v>
      </c>
      <c r="AD202">
        <v>10</v>
      </c>
      <c r="AE202">
        <v>0</v>
      </c>
      <c r="AF202">
        <v>0</v>
      </c>
      <c r="AG202">
        <v>2</v>
      </c>
      <c r="AH202">
        <v>0</v>
      </c>
      <c r="AI202" t="s">
        <v>185</v>
      </c>
      <c r="AJ202">
        <v>41.989446000000001</v>
      </c>
      <c r="AK202" t="s">
        <v>141</v>
      </c>
      <c r="AL202">
        <v>-87.894937999999996</v>
      </c>
      <c r="AS202">
        <v>1</v>
      </c>
      <c r="AT202" t="s">
        <v>118</v>
      </c>
      <c r="AU202" t="b">
        <v>1</v>
      </c>
      <c r="AV202">
        <v>182.81</v>
      </c>
      <c r="AW202">
        <v>2.125</v>
      </c>
      <c r="AX202">
        <v>1</v>
      </c>
      <c r="AZ202">
        <v>7205</v>
      </c>
      <c r="BA202">
        <v>1</v>
      </c>
      <c r="BB202" t="str">
        <f t="shared" si="11"/>
        <v xml:space="preserve">KAP400  </v>
      </c>
      <c r="BC202">
        <v>1</v>
      </c>
      <c r="BE202">
        <v>0</v>
      </c>
      <c r="BF202">
        <v>0</v>
      </c>
      <c r="BG202">
        <v>0</v>
      </c>
      <c r="BI202">
        <v>1</v>
      </c>
      <c r="BJ202">
        <v>1</v>
      </c>
      <c r="BK202">
        <v>1</v>
      </c>
      <c r="BL202">
        <v>0</v>
      </c>
      <c r="BO202">
        <v>0</v>
      </c>
      <c r="BP202">
        <v>0</v>
      </c>
      <c r="BW202" t="str">
        <f>"19:03:44.732"</f>
        <v>19:03:44.732</v>
      </c>
      <c r="BX202" t="s">
        <v>119</v>
      </c>
      <c r="BY202" t="s">
        <v>120</v>
      </c>
      <c r="CJ202">
        <v>0</v>
      </c>
      <c r="CK202">
        <v>0</v>
      </c>
      <c r="CL202">
        <v>0</v>
      </c>
      <c r="CM202">
        <v>2</v>
      </c>
      <c r="CN202">
        <v>0</v>
      </c>
      <c r="CO202">
        <v>7</v>
      </c>
      <c r="CP202" t="s">
        <v>121</v>
      </c>
      <c r="CQ202">
        <v>582</v>
      </c>
      <c r="CR202">
        <v>0</v>
      </c>
      <c r="CW202">
        <v>5391696</v>
      </c>
      <c r="CY202">
        <v>0</v>
      </c>
      <c r="CZ202">
        <v>0</v>
      </c>
      <c r="DA202">
        <v>0</v>
      </c>
      <c r="DB202">
        <v>1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</row>
    <row r="203" spans="1:113" x14ac:dyDescent="0.3">
      <c r="A203" t="str">
        <f>"06/16/2022 19:03:46.157"</f>
        <v>06/16/2022 19:03:46.157</v>
      </c>
      <c r="C203" t="str">
        <f t="shared" si="9"/>
        <v>FFBF5BC0</v>
      </c>
      <c r="D203" t="s">
        <v>113</v>
      </c>
      <c r="E203">
        <v>8</v>
      </c>
      <c r="H203">
        <v>206</v>
      </c>
      <c r="I203" t="s">
        <v>114</v>
      </c>
      <c r="J203" t="s">
        <v>115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>"19:03:45.805"</f>
        <v>19:03:45.805</v>
      </c>
      <c r="T203" t="str">
        <f>"19:03:45.805"</f>
        <v>19:03:45.805</v>
      </c>
      <c r="U203" t="str">
        <f t="shared" si="10"/>
        <v>AB63B2</v>
      </c>
      <c r="V203">
        <v>0</v>
      </c>
      <c r="W203">
        <v>0</v>
      </c>
      <c r="X203">
        <v>6</v>
      </c>
      <c r="Z203">
        <v>0</v>
      </c>
      <c r="AA203">
        <v>9</v>
      </c>
      <c r="AB203">
        <v>3</v>
      </c>
      <c r="AC203">
        <v>0</v>
      </c>
      <c r="AD203">
        <v>10</v>
      </c>
      <c r="AE203">
        <v>0</v>
      </c>
      <c r="AF203">
        <v>0</v>
      </c>
      <c r="AG203">
        <v>2</v>
      </c>
      <c r="AH203">
        <v>0</v>
      </c>
      <c r="AI203" t="s">
        <v>186</v>
      </c>
      <c r="AJ203">
        <v>41.989424</v>
      </c>
      <c r="AK203" t="s">
        <v>141</v>
      </c>
      <c r="AL203">
        <v>-87.894937999999996</v>
      </c>
      <c r="AS203">
        <v>1</v>
      </c>
      <c r="AT203" t="s">
        <v>118</v>
      </c>
      <c r="AU203" t="b">
        <v>1</v>
      </c>
      <c r="AV203">
        <v>182.81</v>
      </c>
      <c r="AW203">
        <v>1.625</v>
      </c>
      <c r="AX203">
        <v>1</v>
      </c>
      <c r="AZ203">
        <v>7205</v>
      </c>
      <c r="BA203">
        <v>1</v>
      </c>
      <c r="BB203" t="str">
        <f t="shared" si="11"/>
        <v xml:space="preserve">KAP400  </v>
      </c>
      <c r="BC203">
        <v>1</v>
      </c>
      <c r="BE203">
        <v>0</v>
      </c>
      <c r="BF203">
        <v>0</v>
      </c>
      <c r="BG203">
        <v>0</v>
      </c>
      <c r="BI203">
        <v>1</v>
      </c>
      <c r="BJ203">
        <v>1</v>
      </c>
      <c r="BK203">
        <v>1</v>
      </c>
      <c r="BL203">
        <v>0</v>
      </c>
      <c r="BO203">
        <v>0</v>
      </c>
      <c r="BP203">
        <v>0</v>
      </c>
      <c r="BW203" t="str">
        <f>"19:03:45.807"</f>
        <v>19:03:45.807</v>
      </c>
      <c r="BX203" t="s">
        <v>119</v>
      </c>
      <c r="BY203" t="s">
        <v>120</v>
      </c>
      <c r="CJ203">
        <v>0</v>
      </c>
      <c r="CK203">
        <v>0</v>
      </c>
      <c r="CL203">
        <v>0</v>
      </c>
      <c r="CM203">
        <v>2</v>
      </c>
      <c r="CN203">
        <v>0</v>
      </c>
      <c r="CO203">
        <v>7</v>
      </c>
      <c r="CP203" t="s">
        <v>121</v>
      </c>
      <c r="CQ203">
        <v>579</v>
      </c>
      <c r="CR203">
        <v>0</v>
      </c>
      <c r="CW203">
        <v>301134</v>
      </c>
      <c r="CY203">
        <v>0</v>
      </c>
      <c r="CZ203">
        <v>0</v>
      </c>
      <c r="DA203">
        <v>0</v>
      </c>
      <c r="DB203">
        <v>1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</row>
    <row r="204" spans="1:113" x14ac:dyDescent="0.3">
      <c r="A204" t="str">
        <f>"06/16/2022 19:03:47.249"</f>
        <v>06/16/2022 19:03:47.249</v>
      </c>
      <c r="C204" t="str">
        <f t="shared" si="9"/>
        <v>FFBF5BC0</v>
      </c>
      <c r="D204" t="s">
        <v>113</v>
      </c>
      <c r="E204">
        <v>8</v>
      </c>
      <c r="H204">
        <v>206</v>
      </c>
      <c r="I204" t="s">
        <v>114</v>
      </c>
      <c r="J204" t="s">
        <v>115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"19:03:46.844"</f>
        <v>19:03:46.844</v>
      </c>
      <c r="T204" t="str">
        <f>"19:03:46.844"</f>
        <v>19:03:46.844</v>
      </c>
      <c r="U204" t="str">
        <f t="shared" si="10"/>
        <v>AB63B2</v>
      </c>
      <c r="V204">
        <v>0</v>
      </c>
      <c r="W204">
        <v>0</v>
      </c>
      <c r="X204">
        <v>6</v>
      </c>
      <c r="Z204">
        <v>0</v>
      </c>
      <c r="AA204">
        <v>9</v>
      </c>
      <c r="AB204">
        <v>3</v>
      </c>
      <c r="AC204">
        <v>0</v>
      </c>
      <c r="AD204">
        <v>10</v>
      </c>
      <c r="AE204">
        <v>0</v>
      </c>
      <c r="AF204">
        <v>0</v>
      </c>
      <c r="AG204">
        <v>2</v>
      </c>
      <c r="AH204">
        <v>0</v>
      </c>
      <c r="AI204" t="s">
        <v>186</v>
      </c>
      <c r="AJ204">
        <v>41.989424</v>
      </c>
      <c r="AK204" t="s">
        <v>141</v>
      </c>
      <c r="AL204">
        <v>-87.894937999999996</v>
      </c>
      <c r="AS204">
        <v>1</v>
      </c>
      <c r="AT204" t="s">
        <v>118</v>
      </c>
      <c r="AU204" t="b">
        <v>1</v>
      </c>
      <c r="AV204">
        <v>182.81</v>
      </c>
      <c r="AW204">
        <v>1.375</v>
      </c>
      <c r="AX204">
        <v>1</v>
      </c>
      <c r="AZ204">
        <v>7205</v>
      </c>
      <c r="BA204">
        <v>1</v>
      </c>
      <c r="BB204" t="str">
        <f t="shared" si="11"/>
        <v xml:space="preserve">KAP400  </v>
      </c>
      <c r="BC204">
        <v>1</v>
      </c>
      <c r="BE204">
        <v>0</v>
      </c>
      <c r="BF204">
        <v>0</v>
      </c>
      <c r="BG204">
        <v>0</v>
      </c>
      <c r="BI204">
        <v>1</v>
      </c>
      <c r="BJ204">
        <v>1</v>
      </c>
      <c r="BK204">
        <v>1</v>
      </c>
      <c r="BL204">
        <v>0</v>
      </c>
      <c r="BO204">
        <v>0</v>
      </c>
      <c r="BP204">
        <v>0</v>
      </c>
      <c r="BW204" t="str">
        <f>"19:03:46.850"</f>
        <v>19:03:46.850</v>
      </c>
      <c r="BX204" t="s">
        <v>119</v>
      </c>
      <c r="BY204" t="s">
        <v>120</v>
      </c>
      <c r="CJ204">
        <v>0</v>
      </c>
      <c r="CK204">
        <v>0</v>
      </c>
      <c r="CL204">
        <v>0</v>
      </c>
      <c r="CM204">
        <v>2</v>
      </c>
      <c r="CN204">
        <v>0</v>
      </c>
      <c r="CO204">
        <v>7</v>
      </c>
      <c r="CP204" t="s">
        <v>121</v>
      </c>
      <c r="CQ204">
        <v>582</v>
      </c>
      <c r="CR204">
        <v>0</v>
      </c>
      <c r="CW204">
        <v>5394966</v>
      </c>
      <c r="CY204">
        <v>0</v>
      </c>
      <c r="CZ204">
        <v>0</v>
      </c>
      <c r="DA204">
        <v>0</v>
      </c>
      <c r="DB204">
        <v>1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</row>
    <row r="205" spans="1:113" x14ac:dyDescent="0.3">
      <c r="A205" t="str">
        <f>"06/16/2022 19:03:48.187"</f>
        <v>06/16/2022 19:03:48.187</v>
      </c>
      <c r="C205" t="str">
        <f t="shared" si="9"/>
        <v>FFBF5BC0</v>
      </c>
      <c r="D205" t="s">
        <v>113</v>
      </c>
      <c r="E205">
        <v>8</v>
      </c>
      <c r="H205">
        <v>206</v>
      </c>
      <c r="I205" t="s">
        <v>114</v>
      </c>
      <c r="J205" t="s">
        <v>115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"19:03:47.938"</f>
        <v>19:03:47.938</v>
      </c>
      <c r="T205" t="str">
        <f>"19:03:47.938"</f>
        <v>19:03:47.938</v>
      </c>
      <c r="U205" t="str">
        <f t="shared" si="10"/>
        <v>AB63B2</v>
      </c>
      <c r="V205">
        <v>0</v>
      </c>
      <c r="W205">
        <v>0</v>
      </c>
      <c r="X205">
        <v>6</v>
      </c>
      <c r="Z205">
        <v>0</v>
      </c>
      <c r="AA205">
        <v>9</v>
      </c>
      <c r="AB205">
        <v>3</v>
      </c>
      <c r="AC205">
        <v>0</v>
      </c>
      <c r="AD205">
        <v>10</v>
      </c>
      <c r="AE205">
        <v>0</v>
      </c>
      <c r="AF205">
        <v>0</v>
      </c>
      <c r="AG205">
        <v>2</v>
      </c>
      <c r="AH205">
        <v>0</v>
      </c>
      <c r="AI205" t="s">
        <v>186</v>
      </c>
      <c r="AJ205">
        <v>41.989424</v>
      </c>
      <c r="AK205" t="s">
        <v>141</v>
      </c>
      <c r="AL205">
        <v>-87.894937999999996</v>
      </c>
      <c r="AS205">
        <v>1</v>
      </c>
      <c r="AT205" t="s">
        <v>118</v>
      </c>
      <c r="AU205" t="b">
        <v>1</v>
      </c>
      <c r="AV205">
        <v>182.81</v>
      </c>
      <c r="AW205">
        <v>0.875</v>
      </c>
      <c r="AX205">
        <v>1</v>
      </c>
      <c r="AZ205">
        <v>7205</v>
      </c>
      <c r="BA205">
        <v>1</v>
      </c>
      <c r="BB205" t="str">
        <f t="shared" si="11"/>
        <v xml:space="preserve">KAP400  </v>
      </c>
      <c r="BC205">
        <v>1</v>
      </c>
      <c r="BE205">
        <v>0</v>
      </c>
      <c r="BF205">
        <v>0</v>
      </c>
      <c r="BG205">
        <v>0</v>
      </c>
      <c r="BI205">
        <v>1</v>
      </c>
      <c r="BJ205">
        <v>1</v>
      </c>
      <c r="BK205">
        <v>1</v>
      </c>
      <c r="BL205">
        <v>0</v>
      </c>
      <c r="BO205">
        <v>0</v>
      </c>
      <c r="BP205">
        <v>0</v>
      </c>
      <c r="BW205" t="str">
        <f>"19:03:47.943"</f>
        <v>19:03:47.943</v>
      </c>
      <c r="BX205" t="s">
        <v>119</v>
      </c>
      <c r="BY205" t="s">
        <v>120</v>
      </c>
      <c r="CJ205">
        <v>0</v>
      </c>
      <c r="CK205">
        <v>0</v>
      </c>
      <c r="CL205">
        <v>0</v>
      </c>
      <c r="CM205">
        <v>2</v>
      </c>
      <c r="CN205">
        <v>0</v>
      </c>
      <c r="CO205">
        <v>7</v>
      </c>
      <c r="CP205" t="s">
        <v>121</v>
      </c>
      <c r="CQ205">
        <v>582</v>
      </c>
      <c r="CR205">
        <v>0</v>
      </c>
      <c r="CW205">
        <v>5396682</v>
      </c>
      <c r="CY205">
        <v>0</v>
      </c>
      <c r="CZ205">
        <v>0</v>
      </c>
      <c r="DA205">
        <v>0</v>
      </c>
      <c r="DB205">
        <v>1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</row>
    <row r="206" spans="1:113" x14ac:dyDescent="0.3">
      <c r="A206" t="str">
        <f>"06/16/2022 19:03:49.171"</f>
        <v>06/16/2022 19:03:49.171</v>
      </c>
      <c r="C206" t="str">
        <f t="shared" si="9"/>
        <v>FFBF5BC0</v>
      </c>
      <c r="D206" t="s">
        <v>113</v>
      </c>
      <c r="E206">
        <v>8</v>
      </c>
      <c r="H206">
        <v>206</v>
      </c>
      <c r="I206" t="s">
        <v>114</v>
      </c>
      <c r="J206" t="s">
        <v>115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"19:03:48.977"</f>
        <v>19:03:48.977</v>
      </c>
      <c r="T206" t="str">
        <f>"19:03:48.977"</f>
        <v>19:03:48.977</v>
      </c>
      <c r="U206" t="str">
        <f t="shared" si="10"/>
        <v>AB63B2</v>
      </c>
      <c r="V206">
        <v>0</v>
      </c>
      <c r="W206">
        <v>0</v>
      </c>
      <c r="X206">
        <v>6</v>
      </c>
      <c r="Z206">
        <v>0</v>
      </c>
      <c r="AA206">
        <v>9</v>
      </c>
      <c r="AB206">
        <v>3</v>
      </c>
      <c r="AC206">
        <v>0</v>
      </c>
      <c r="AD206">
        <v>10</v>
      </c>
      <c r="AE206">
        <v>0</v>
      </c>
      <c r="AF206">
        <v>0</v>
      </c>
      <c r="AG206">
        <v>2</v>
      </c>
      <c r="AH206">
        <v>0</v>
      </c>
      <c r="AI206" t="s">
        <v>186</v>
      </c>
      <c r="AJ206">
        <v>41.989424</v>
      </c>
      <c r="AK206" t="s">
        <v>141</v>
      </c>
      <c r="AL206">
        <v>-87.894937999999996</v>
      </c>
      <c r="AS206">
        <v>1</v>
      </c>
      <c r="AT206" t="s">
        <v>118</v>
      </c>
      <c r="AU206" t="b">
        <v>1</v>
      </c>
      <c r="AV206">
        <v>182.81</v>
      </c>
      <c r="AW206">
        <v>0.25</v>
      </c>
      <c r="AX206">
        <v>1</v>
      </c>
      <c r="AZ206">
        <v>7205</v>
      </c>
      <c r="BA206">
        <v>1</v>
      </c>
      <c r="BB206" t="str">
        <f t="shared" si="11"/>
        <v xml:space="preserve">KAP400  </v>
      </c>
      <c r="BC206">
        <v>1</v>
      </c>
      <c r="BE206">
        <v>0</v>
      </c>
      <c r="BF206">
        <v>0</v>
      </c>
      <c r="BG206">
        <v>0</v>
      </c>
      <c r="BI206">
        <v>1</v>
      </c>
      <c r="BJ206">
        <v>1</v>
      </c>
      <c r="BK206">
        <v>1</v>
      </c>
      <c r="BL206">
        <v>0</v>
      </c>
      <c r="BO206">
        <v>0</v>
      </c>
      <c r="BP206">
        <v>0</v>
      </c>
      <c r="BW206" t="str">
        <f>"19:03:48.977"</f>
        <v>19:03:48.977</v>
      </c>
      <c r="BX206" t="s">
        <v>119</v>
      </c>
      <c r="BY206" t="s">
        <v>120</v>
      </c>
      <c r="CJ206">
        <v>0</v>
      </c>
      <c r="CK206">
        <v>0</v>
      </c>
      <c r="CL206">
        <v>0</v>
      </c>
      <c r="CM206">
        <v>2</v>
      </c>
      <c r="CN206">
        <v>0</v>
      </c>
      <c r="CO206">
        <v>7</v>
      </c>
      <c r="CP206" t="s">
        <v>121</v>
      </c>
      <c r="CQ206">
        <v>581</v>
      </c>
      <c r="CR206">
        <v>0</v>
      </c>
      <c r="CW206">
        <v>14414004</v>
      </c>
      <c r="CY206">
        <v>0</v>
      </c>
      <c r="CZ206">
        <v>0</v>
      </c>
      <c r="DA206">
        <v>0</v>
      </c>
      <c r="DB206">
        <v>1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</row>
    <row r="207" spans="1:113" x14ac:dyDescent="0.3">
      <c r="A207" t="str">
        <f>"06/16/2022 19:03:50.077"</f>
        <v>06/16/2022 19:03:50.077</v>
      </c>
      <c r="C207" t="str">
        <f t="shared" si="9"/>
        <v>FFBF5BC0</v>
      </c>
      <c r="D207" t="s">
        <v>113</v>
      </c>
      <c r="E207">
        <v>8</v>
      </c>
      <c r="H207">
        <v>206</v>
      </c>
      <c r="I207" t="s">
        <v>114</v>
      </c>
      <c r="J207" t="s">
        <v>115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>"19:03:49.867"</f>
        <v>19:03:49.867</v>
      </c>
      <c r="T207" t="str">
        <f>"19:03:49.867"</f>
        <v>19:03:49.867</v>
      </c>
      <c r="U207" t="str">
        <f t="shared" si="10"/>
        <v>AB63B2</v>
      </c>
      <c r="V207">
        <v>0</v>
      </c>
      <c r="W207">
        <v>0</v>
      </c>
      <c r="X207">
        <v>6</v>
      </c>
      <c r="Z207">
        <v>0</v>
      </c>
      <c r="AA207">
        <v>9</v>
      </c>
      <c r="AB207">
        <v>3</v>
      </c>
      <c r="AC207">
        <v>0</v>
      </c>
      <c r="AD207">
        <v>10</v>
      </c>
      <c r="AE207">
        <v>0</v>
      </c>
      <c r="AF207">
        <v>0</v>
      </c>
      <c r="AG207">
        <v>2</v>
      </c>
      <c r="AH207">
        <v>0</v>
      </c>
      <c r="AI207" t="s">
        <v>186</v>
      </c>
      <c r="AJ207">
        <v>41.989424</v>
      </c>
      <c r="AK207" t="s">
        <v>141</v>
      </c>
      <c r="AL207">
        <v>-87.894937999999996</v>
      </c>
      <c r="AS207">
        <v>1</v>
      </c>
      <c r="AT207" t="s">
        <v>118</v>
      </c>
      <c r="AU207" t="b">
        <v>1</v>
      </c>
      <c r="AV207">
        <v>182.81</v>
      </c>
      <c r="AW207">
        <v>0.25</v>
      </c>
      <c r="AX207">
        <v>1</v>
      </c>
      <c r="AZ207">
        <v>7205</v>
      </c>
      <c r="BA207">
        <v>1</v>
      </c>
      <c r="BB207" t="str">
        <f t="shared" si="11"/>
        <v xml:space="preserve">KAP400  </v>
      </c>
      <c r="BC207">
        <v>1</v>
      </c>
      <c r="BE207">
        <v>0</v>
      </c>
      <c r="BF207">
        <v>0</v>
      </c>
      <c r="BG207">
        <v>0</v>
      </c>
      <c r="BI207">
        <v>1</v>
      </c>
      <c r="BJ207">
        <v>1</v>
      </c>
      <c r="BK207">
        <v>1</v>
      </c>
      <c r="BL207">
        <v>0</v>
      </c>
      <c r="BO207">
        <v>0</v>
      </c>
      <c r="BP207">
        <v>0</v>
      </c>
      <c r="BW207" t="str">
        <f>"19:03:49.870"</f>
        <v>19:03:49.870</v>
      </c>
      <c r="BX207" t="s">
        <v>119</v>
      </c>
      <c r="BY207" t="s">
        <v>120</v>
      </c>
      <c r="CJ207">
        <v>0</v>
      </c>
      <c r="CK207">
        <v>0</v>
      </c>
      <c r="CL207">
        <v>0</v>
      </c>
      <c r="CM207">
        <v>2</v>
      </c>
      <c r="CN207">
        <v>0</v>
      </c>
      <c r="CO207">
        <v>7</v>
      </c>
      <c r="CP207" t="s">
        <v>121</v>
      </c>
      <c r="CQ207">
        <v>581</v>
      </c>
      <c r="CR207">
        <v>0</v>
      </c>
      <c r="CW207">
        <v>14415523</v>
      </c>
      <c r="CY207">
        <v>0</v>
      </c>
      <c r="CZ207">
        <v>0</v>
      </c>
      <c r="DA207">
        <v>0</v>
      </c>
      <c r="DB207">
        <v>1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</row>
    <row r="208" spans="1:113" x14ac:dyDescent="0.3">
      <c r="A208" t="str">
        <f>"06/16/2022 19:03:51.161"</f>
        <v>06/16/2022 19:03:51.161</v>
      </c>
      <c r="C208" t="str">
        <f t="shared" si="9"/>
        <v>FFBF5BC0</v>
      </c>
      <c r="D208" t="s">
        <v>113</v>
      </c>
      <c r="E208">
        <v>8</v>
      </c>
      <c r="H208">
        <v>206</v>
      </c>
      <c r="I208" t="s">
        <v>114</v>
      </c>
      <c r="J208" t="s">
        <v>115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>"19:03:50.875"</f>
        <v>19:03:50.875</v>
      </c>
      <c r="T208" t="str">
        <f>"19:03:50.875"</f>
        <v>19:03:50.875</v>
      </c>
      <c r="U208" t="str">
        <f t="shared" si="10"/>
        <v>AB63B2</v>
      </c>
      <c r="V208">
        <v>0</v>
      </c>
      <c r="W208">
        <v>0</v>
      </c>
      <c r="X208">
        <v>6</v>
      </c>
      <c r="Z208">
        <v>0</v>
      </c>
      <c r="AA208">
        <v>9</v>
      </c>
      <c r="AB208">
        <v>3</v>
      </c>
      <c r="AC208">
        <v>0</v>
      </c>
      <c r="AD208">
        <v>10</v>
      </c>
      <c r="AE208">
        <v>0</v>
      </c>
      <c r="AF208">
        <v>0</v>
      </c>
      <c r="AG208">
        <v>2</v>
      </c>
      <c r="AH208">
        <v>0</v>
      </c>
      <c r="AI208" t="s">
        <v>186</v>
      </c>
      <c r="AJ208">
        <v>41.989424</v>
      </c>
      <c r="AK208" t="s">
        <v>141</v>
      </c>
      <c r="AL208">
        <v>-87.894937999999996</v>
      </c>
      <c r="AS208">
        <v>1</v>
      </c>
      <c r="AT208" t="s">
        <v>118</v>
      </c>
      <c r="AU208" t="b">
        <v>1</v>
      </c>
      <c r="AV208">
        <v>182.81</v>
      </c>
      <c r="AW208">
        <v>0.25</v>
      </c>
      <c r="AX208">
        <v>1</v>
      </c>
      <c r="AZ208">
        <v>7205</v>
      </c>
      <c r="BA208">
        <v>1</v>
      </c>
      <c r="BB208" t="str">
        <f t="shared" si="11"/>
        <v xml:space="preserve">KAP400  </v>
      </c>
      <c r="BC208">
        <v>1</v>
      </c>
      <c r="BE208">
        <v>0</v>
      </c>
      <c r="BF208">
        <v>0</v>
      </c>
      <c r="BG208">
        <v>0</v>
      </c>
      <c r="BI208">
        <v>1</v>
      </c>
      <c r="BJ208">
        <v>1</v>
      </c>
      <c r="BK208">
        <v>1</v>
      </c>
      <c r="BL208">
        <v>0</v>
      </c>
      <c r="BO208">
        <v>0</v>
      </c>
      <c r="BP208">
        <v>0</v>
      </c>
      <c r="BW208" t="str">
        <f>"19:03:50.876"</f>
        <v>19:03:50.876</v>
      </c>
      <c r="BX208" t="s">
        <v>119</v>
      </c>
      <c r="BY208" t="s">
        <v>120</v>
      </c>
      <c r="CJ208">
        <v>0</v>
      </c>
      <c r="CK208">
        <v>0</v>
      </c>
      <c r="CL208">
        <v>0</v>
      </c>
      <c r="CM208">
        <v>2</v>
      </c>
      <c r="CN208">
        <v>0</v>
      </c>
      <c r="CO208">
        <v>0</v>
      </c>
      <c r="CP208" t="s">
        <v>121</v>
      </c>
      <c r="CQ208">
        <v>582</v>
      </c>
      <c r="CR208">
        <v>0</v>
      </c>
      <c r="CW208">
        <v>5401332</v>
      </c>
      <c r="CY208">
        <v>0</v>
      </c>
      <c r="CZ208">
        <v>0</v>
      </c>
      <c r="DA208">
        <v>0</v>
      </c>
      <c r="DB208">
        <v>1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</row>
    <row r="209" spans="1:113" x14ac:dyDescent="0.3">
      <c r="A209" t="str">
        <f>"06/16/2022 19:03:52.124"</f>
        <v>06/16/2022 19:03:52.124</v>
      </c>
      <c r="C209" t="str">
        <f t="shared" si="9"/>
        <v>FFBF5BC0</v>
      </c>
      <c r="D209" t="s">
        <v>113</v>
      </c>
      <c r="E209">
        <v>8</v>
      </c>
      <c r="H209">
        <v>206</v>
      </c>
      <c r="I209" t="s">
        <v>114</v>
      </c>
      <c r="J209" t="s">
        <v>115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>"19:03:51.805"</f>
        <v>19:03:51.805</v>
      </c>
      <c r="T209" t="str">
        <f>"19:03:51.805"</f>
        <v>19:03:51.805</v>
      </c>
      <c r="U209" t="str">
        <f t="shared" si="10"/>
        <v>AB63B2</v>
      </c>
      <c r="V209">
        <v>0</v>
      </c>
      <c r="W209">
        <v>0</v>
      </c>
      <c r="X209">
        <v>6</v>
      </c>
      <c r="Z209">
        <v>0</v>
      </c>
      <c r="AA209">
        <v>9</v>
      </c>
      <c r="AB209">
        <v>3</v>
      </c>
      <c r="AC209">
        <v>0</v>
      </c>
      <c r="AD209">
        <v>10</v>
      </c>
      <c r="AE209">
        <v>0</v>
      </c>
      <c r="AF209">
        <v>0</v>
      </c>
      <c r="AG209">
        <v>2</v>
      </c>
      <c r="AH209">
        <v>0</v>
      </c>
      <c r="AI209" t="s">
        <v>186</v>
      </c>
      <c r="AJ209">
        <v>41.989424</v>
      </c>
      <c r="AK209" t="s">
        <v>141</v>
      </c>
      <c r="AL209">
        <v>-87.894937999999996</v>
      </c>
      <c r="AS209">
        <v>1</v>
      </c>
      <c r="AT209" t="s">
        <v>118</v>
      </c>
      <c r="AU209" t="b">
        <v>1</v>
      </c>
      <c r="AV209">
        <v>182.81</v>
      </c>
      <c r="AW209">
        <v>0.25</v>
      </c>
      <c r="AX209">
        <v>1</v>
      </c>
      <c r="AZ209">
        <v>7205</v>
      </c>
      <c r="BA209">
        <v>1</v>
      </c>
      <c r="BB209" t="str">
        <f t="shared" si="11"/>
        <v xml:space="preserve">KAP400  </v>
      </c>
      <c r="BC209">
        <v>1</v>
      </c>
      <c r="BE209">
        <v>0</v>
      </c>
      <c r="BF209">
        <v>0</v>
      </c>
      <c r="BG209">
        <v>0</v>
      </c>
      <c r="BI209">
        <v>1</v>
      </c>
      <c r="BJ209">
        <v>1</v>
      </c>
      <c r="BK209">
        <v>1</v>
      </c>
      <c r="BL209">
        <v>0</v>
      </c>
      <c r="BO209">
        <v>0</v>
      </c>
      <c r="BP209">
        <v>0</v>
      </c>
      <c r="BW209" t="str">
        <f>"19:03:51.805"</f>
        <v>19:03:51.805</v>
      </c>
      <c r="BX209" t="s">
        <v>119</v>
      </c>
      <c r="BY209" t="s">
        <v>120</v>
      </c>
      <c r="CJ209">
        <v>0</v>
      </c>
      <c r="CK209">
        <v>0</v>
      </c>
      <c r="CL209">
        <v>0</v>
      </c>
      <c r="CM209">
        <v>2</v>
      </c>
      <c r="CN209">
        <v>0</v>
      </c>
      <c r="CO209">
        <v>7</v>
      </c>
      <c r="CP209" t="s">
        <v>121</v>
      </c>
      <c r="CQ209">
        <v>582</v>
      </c>
      <c r="CR209">
        <v>0</v>
      </c>
      <c r="CW209">
        <v>5402770</v>
      </c>
      <c r="CY209">
        <v>0</v>
      </c>
      <c r="CZ209">
        <v>0</v>
      </c>
      <c r="DA209">
        <v>0</v>
      </c>
      <c r="DB209">
        <v>1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</row>
    <row r="210" spans="1:113" x14ac:dyDescent="0.3">
      <c r="A210" t="str">
        <f>"06/16/2022 19:03:53.077"</f>
        <v>06/16/2022 19:03:53.077</v>
      </c>
      <c r="C210" t="str">
        <f t="shared" si="9"/>
        <v>FFBF5BC0</v>
      </c>
      <c r="D210" t="s">
        <v>113</v>
      </c>
      <c r="E210">
        <v>8</v>
      </c>
      <c r="H210">
        <v>206</v>
      </c>
      <c r="I210" t="s">
        <v>114</v>
      </c>
      <c r="J210" t="s">
        <v>115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>"19:03:52.852"</f>
        <v>19:03:52.852</v>
      </c>
      <c r="T210" t="str">
        <f>"19:03:52.852"</f>
        <v>19:03:52.852</v>
      </c>
      <c r="U210" t="str">
        <f t="shared" si="10"/>
        <v>AB63B2</v>
      </c>
      <c r="V210">
        <v>0</v>
      </c>
      <c r="W210">
        <v>0</v>
      </c>
      <c r="X210">
        <v>6</v>
      </c>
      <c r="Z210">
        <v>0</v>
      </c>
      <c r="AA210">
        <v>9</v>
      </c>
      <c r="AB210">
        <v>3</v>
      </c>
      <c r="AC210">
        <v>0</v>
      </c>
      <c r="AD210">
        <v>10</v>
      </c>
      <c r="AE210">
        <v>0</v>
      </c>
      <c r="AF210">
        <v>0</v>
      </c>
      <c r="AG210">
        <v>2</v>
      </c>
      <c r="AH210">
        <v>0</v>
      </c>
      <c r="AI210" t="s">
        <v>186</v>
      </c>
      <c r="AJ210">
        <v>41.989424</v>
      </c>
      <c r="AK210" t="s">
        <v>141</v>
      </c>
      <c r="AL210">
        <v>-87.894937999999996</v>
      </c>
      <c r="AS210">
        <v>1</v>
      </c>
      <c r="AT210" t="s">
        <v>118</v>
      </c>
      <c r="AU210" t="b">
        <v>1</v>
      </c>
      <c r="AV210">
        <v>182.81</v>
      </c>
      <c r="AW210">
        <v>0.25</v>
      </c>
      <c r="AX210">
        <v>1</v>
      </c>
      <c r="AZ210">
        <v>7205</v>
      </c>
      <c r="BA210">
        <v>1</v>
      </c>
      <c r="BB210" t="str">
        <f t="shared" si="11"/>
        <v xml:space="preserve">KAP400  </v>
      </c>
      <c r="BC210">
        <v>1</v>
      </c>
      <c r="BE210">
        <v>0</v>
      </c>
      <c r="BF210">
        <v>0</v>
      </c>
      <c r="BG210">
        <v>0</v>
      </c>
      <c r="BI210">
        <v>1</v>
      </c>
      <c r="BJ210">
        <v>1</v>
      </c>
      <c r="BK210">
        <v>1</v>
      </c>
      <c r="BL210">
        <v>0</v>
      </c>
      <c r="BO210">
        <v>0</v>
      </c>
      <c r="BP210">
        <v>0</v>
      </c>
      <c r="BW210" t="str">
        <f>"19:03:52.857"</f>
        <v>19:03:52.857</v>
      </c>
      <c r="BX210" t="s">
        <v>119</v>
      </c>
      <c r="BY210" t="s">
        <v>120</v>
      </c>
      <c r="CJ210">
        <v>0</v>
      </c>
      <c r="CK210">
        <v>0</v>
      </c>
      <c r="CL210">
        <v>0</v>
      </c>
      <c r="CM210">
        <v>2</v>
      </c>
      <c r="CN210">
        <v>0</v>
      </c>
      <c r="CO210">
        <v>7</v>
      </c>
      <c r="CP210" t="s">
        <v>121</v>
      </c>
      <c r="CQ210">
        <v>582</v>
      </c>
      <c r="CR210">
        <v>0</v>
      </c>
      <c r="CW210">
        <v>5404420</v>
      </c>
      <c r="CY210">
        <v>0</v>
      </c>
      <c r="CZ210">
        <v>0</v>
      </c>
      <c r="DA210">
        <v>0</v>
      </c>
      <c r="DB210">
        <v>1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</row>
    <row r="211" spans="1:113" x14ac:dyDescent="0.3">
      <c r="A211" t="str">
        <f>"06/16/2022 19:03:54.140"</f>
        <v>06/16/2022 19:03:54.140</v>
      </c>
      <c r="C211" t="str">
        <f t="shared" si="9"/>
        <v>FFBF5BC0</v>
      </c>
      <c r="D211" t="s">
        <v>113</v>
      </c>
      <c r="E211">
        <v>8</v>
      </c>
      <c r="H211">
        <v>206</v>
      </c>
      <c r="I211" t="s">
        <v>114</v>
      </c>
      <c r="J211" t="s">
        <v>115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>"19:03:53.852"</f>
        <v>19:03:53.852</v>
      </c>
      <c r="T211" t="str">
        <f>"19:03:53.852"</f>
        <v>19:03:53.852</v>
      </c>
      <c r="U211" t="str">
        <f t="shared" si="10"/>
        <v>AB63B2</v>
      </c>
      <c r="V211">
        <v>0</v>
      </c>
      <c r="W211">
        <v>0</v>
      </c>
      <c r="X211">
        <v>6</v>
      </c>
      <c r="Z211">
        <v>0</v>
      </c>
      <c r="AA211">
        <v>9</v>
      </c>
      <c r="AB211">
        <v>3</v>
      </c>
      <c r="AC211">
        <v>0</v>
      </c>
      <c r="AD211">
        <v>10</v>
      </c>
      <c r="AE211">
        <v>0</v>
      </c>
      <c r="AF211">
        <v>0</v>
      </c>
      <c r="AG211">
        <v>2</v>
      </c>
      <c r="AH211">
        <v>0</v>
      </c>
      <c r="AI211" t="s">
        <v>186</v>
      </c>
      <c r="AJ211">
        <v>41.989424</v>
      </c>
      <c r="AK211" t="s">
        <v>141</v>
      </c>
      <c r="AL211">
        <v>-87.894937999999996</v>
      </c>
      <c r="AS211">
        <v>1</v>
      </c>
      <c r="AT211" t="s">
        <v>118</v>
      </c>
      <c r="AU211" t="b">
        <v>1</v>
      </c>
      <c r="AV211">
        <v>182.81</v>
      </c>
      <c r="AW211">
        <v>0.25</v>
      </c>
      <c r="AX211">
        <v>1</v>
      </c>
      <c r="AZ211">
        <v>7205</v>
      </c>
      <c r="BA211">
        <v>1</v>
      </c>
      <c r="BB211" t="str">
        <f t="shared" si="11"/>
        <v xml:space="preserve">KAP400  </v>
      </c>
      <c r="BC211">
        <v>1</v>
      </c>
      <c r="BE211">
        <v>0</v>
      </c>
      <c r="BF211">
        <v>0</v>
      </c>
      <c r="BG211">
        <v>0</v>
      </c>
      <c r="BI211">
        <v>1</v>
      </c>
      <c r="BJ211">
        <v>1</v>
      </c>
      <c r="BK211">
        <v>1</v>
      </c>
      <c r="BL211">
        <v>0</v>
      </c>
      <c r="BO211">
        <v>0</v>
      </c>
      <c r="BP211">
        <v>0</v>
      </c>
      <c r="BW211" t="str">
        <f>"19:03:53.855"</f>
        <v>19:03:53.855</v>
      </c>
      <c r="BX211" t="s">
        <v>119</v>
      </c>
      <c r="BY211" t="s">
        <v>120</v>
      </c>
      <c r="CJ211">
        <v>0</v>
      </c>
      <c r="CK211">
        <v>0</v>
      </c>
      <c r="CL211">
        <v>0</v>
      </c>
      <c r="CM211">
        <v>2</v>
      </c>
      <c r="CN211">
        <v>0</v>
      </c>
      <c r="CO211">
        <v>7</v>
      </c>
      <c r="CP211" t="s">
        <v>121</v>
      </c>
      <c r="CQ211">
        <v>582</v>
      </c>
      <c r="CR211">
        <v>0</v>
      </c>
      <c r="CW211">
        <v>5406118</v>
      </c>
      <c r="CY211">
        <v>0</v>
      </c>
      <c r="CZ211">
        <v>0</v>
      </c>
      <c r="DA211">
        <v>0</v>
      </c>
      <c r="DB211">
        <v>1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</row>
    <row r="212" spans="1:113" x14ac:dyDescent="0.3">
      <c r="A212" t="str">
        <f>"06/16/2022 19:03:54.984"</f>
        <v>06/16/2022 19:03:54.984</v>
      </c>
      <c r="C212" t="str">
        <f t="shared" si="9"/>
        <v>FFBF5BC0</v>
      </c>
      <c r="D212" t="s">
        <v>113</v>
      </c>
      <c r="E212">
        <v>8</v>
      </c>
      <c r="H212">
        <v>206</v>
      </c>
      <c r="I212" t="s">
        <v>114</v>
      </c>
      <c r="J212" t="s">
        <v>115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>"19:03:54.742"</f>
        <v>19:03:54.742</v>
      </c>
      <c r="T212" t="str">
        <f>"19:03:54.742"</f>
        <v>19:03:54.742</v>
      </c>
      <c r="U212" t="str">
        <f t="shared" si="10"/>
        <v>AB63B2</v>
      </c>
      <c r="V212">
        <v>0</v>
      </c>
      <c r="W212">
        <v>0</v>
      </c>
      <c r="X212">
        <v>6</v>
      </c>
      <c r="Z212">
        <v>0</v>
      </c>
      <c r="AA212">
        <v>9</v>
      </c>
      <c r="AB212">
        <v>3</v>
      </c>
      <c r="AC212">
        <v>0</v>
      </c>
      <c r="AD212">
        <v>10</v>
      </c>
      <c r="AE212">
        <v>0</v>
      </c>
      <c r="AF212">
        <v>0</v>
      </c>
      <c r="AG212">
        <v>2</v>
      </c>
      <c r="AH212">
        <v>0</v>
      </c>
      <c r="AI212" t="s">
        <v>186</v>
      </c>
      <c r="AJ212">
        <v>41.989424</v>
      </c>
      <c r="AK212" t="s">
        <v>141</v>
      </c>
      <c r="AL212">
        <v>-87.894937999999996</v>
      </c>
      <c r="AS212">
        <v>1</v>
      </c>
      <c r="AT212" t="s">
        <v>118</v>
      </c>
      <c r="AU212" t="b">
        <v>1</v>
      </c>
      <c r="AV212">
        <v>182.81</v>
      </c>
      <c r="AW212">
        <v>0.25</v>
      </c>
      <c r="AX212">
        <v>1</v>
      </c>
      <c r="AZ212">
        <v>7205</v>
      </c>
      <c r="BA212">
        <v>1</v>
      </c>
      <c r="BB212" t="str">
        <f t="shared" si="11"/>
        <v xml:space="preserve">KAP400  </v>
      </c>
      <c r="BC212">
        <v>1</v>
      </c>
      <c r="BE212">
        <v>0</v>
      </c>
      <c r="BF212">
        <v>0</v>
      </c>
      <c r="BG212">
        <v>0</v>
      </c>
      <c r="BI212">
        <v>1</v>
      </c>
      <c r="BJ212">
        <v>1</v>
      </c>
      <c r="BK212">
        <v>1</v>
      </c>
      <c r="BL212">
        <v>0</v>
      </c>
      <c r="BO212">
        <v>0</v>
      </c>
      <c r="BP212">
        <v>0</v>
      </c>
      <c r="BW212" t="str">
        <f>"19:03:54.743"</f>
        <v>19:03:54.743</v>
      </c>
      <c r="BX212" t="s">
        <v>119</v>
      </c>
      <c r="BY212" t="s">
        <v>120</v>
      </c>
      <c r="CJ212">
        <v>0</v>
      </c>
      <c r="CK212">
        <v>0</v>
      </c>
      <c r="CL212">
        <v>0</v>
      </c>
      <c r="CM212">
        <v>2</v>
      </c>
      <c r="CN212">
        <v>0</v>
      </c>
      <c r="CO212">
        <v>7</v>
      </c>
      <c r="CP212" t="s">
        <v>121</v>
      </c>
      <c r="CQ212">
        <v>581</v>
      </c>
      <c r="CR212">
        <v>0</v>
      </c>
      <c r="CW212">
        <v>14423705</v>
      </c>
      <c r="CY212">
        <v>0</v>
      </c>
      <c r="CZ212">
        <v>0</v>
      </c>
      <c r="DA212">
        <v>0</v>
      </c>
      <c r="DB212">
        <v>1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</row>
    <row r="213" spans="1:113" x14ac:dyDescent="0.3">
      <c r="A213" t="str">
        <f>"06/16/2022 19:03:56.188"</f>
        <v>06/16/2022 19:03:56.188</v>
      </c>
      <c r="C213" t="str">
        <f t="shared" si="9"/>
        <v>FFBF5BC0</v>
      </c>
      <c r="D213" t="s">
        <v>113</v>
      </c>
      <c r="E213">
        <v>8</v>
      </c>
      <c r="H213">
        <v>206</v>
      </c>
      <c r="I213" t="s">
        <v>114</v>
      </c>
      <c r="J213" t="s">
        <v>115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>"19:03:55.820"</f>
        <v>19:03:55.820</v>
      </c>
      <c r="T213" t="str">
        <f>"19:03:55.820"</f>
        <v>19:03:55.820</v>
      </c>
      <c r="U213" t="str">
        <f t="shared" si="10"/>
        <v>AB63B2</v>
      </c>
      <c r="V213">
        <v>0</v>
      </c>
      <c r="W213">
        <v>0</v>
      </c>
      <c r="X213">
        <v>6</v>
      </c>
      <c r="Z213">
        <v>0</v>
      </c>
      <c r="AA213">
        <v>9</v>
      </c>
      <c r="AB213">
        <v>3</v>
      </c>
      <c r="AC213">
        <v>0</v>
      </c>
      <c r="AD213">
        <v>10</v>
      </c>
      <c r="AE213">
        <v>0</v>
      </c>
      <c r="AF213">
        <v>0</v>
      </c>
      <c r="AG213">
        <v>2</v>
      </c>
      <c r="AH213">
        <v>0</v>
      </c>
      <c r="AI213" t="s">
        <v>186</v>
      </c>
      <c r="AJ213">
        <v>41.989424</v>
      </c>
      <c r="AK213" t="s">
        <v>141</v>
      </c>
      <c r="AL213">
        <v>-87.894937999999996</v>
      </c>
      <c r="AS213">
        <v>1</v>
      </c>
      <c r="AT213" t="s">
        <v>118</v>
      </c>
      <c r="AU213" t="b">
        <v>1</v>
      </c>
      <c r="AV213">
        <v>182.81</v>
      </c>
      <c r="AW213">
        <v>0.25</v>
      </c>
      <c r="AX213">
        <v>1</v>
      </c>
      <c r="AZ213">
        <v>7205</v>
      </c>
      <c r="BA213">
        <v>1</v>
      </c>
      <c r="BB213" t="str">
        <f t="shared" si="11"/>
        <v xml:space="preserve">KAP400  </v>
      </c>
      <c r="BC213">
        <v>1</v>
      </c>
      <c r="BE213">
        <v>0</v>
      </c>
      <c r="BF213">
        <v>0</v>
      </c>
      <c r="BG213">
        <v>0</v>
      </c>
      <c r="BI213">
        <v>1</v>
      </c>
      <c r="BJ213">
        <v>1</v>
      </c>
      <c r="BK213">
        <v>1</v>
      </c>
      <c r="BL213">
        <v>0</v>
      </c>
      <c r="BO213">
        <v>0</v>
      </c>
      <c r="BP213">
        <v>0</v>
      </c>
      <c r="BW213" t="str">
        <f>"19:03:55.827"</f>
        <v>19:03:55.827</v>
      </c>
      <c r="BX213" t="s">
        <v>119</v>
      </c>
      <c r="BY213" t="s">
        <v>120</v>
      </c>
      <c r="CJ213">
        <v>0</v>
      </c>
      <c r="CK213">
        <v>0</v>
      </c>
      <c r="CL213">
        <v>0</v>
      </c>
      <c r="CM213">
        <v>2</v>
      </c>
      <c r="CN213">
        <v>0</v>
      </c>
      <c r="CO213">
        <v>7</v>
      </c>
      <c r="CP213" t="s">
        <v>121</v>
      </c>
      <c r="CQ213">
        <v>581</v>
      </c>
      <c r="CR213">
        <v>0</v>
      </c>
      <c r="CW213">
        <v>14425544</v>
      </c>
      <c r="CY213">
        <v>0</v>
      </c>
      <c r="CZ213">
        <v>0</v>
      </c>
      <c r="DA213">
        <v>0</v>
      </c>
      <c r="DB213">
        <v>1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</row>
    <row r="214" spans="1:113" x14ac:dyDescent="0.3">
      <c r="A214" t="str">
        <f>"06/16/2022 19:03:57.125"</f>
        <v>06/16/2022 19:03:57.125</v>
      </c>
      <c r="C214" t="str">
        <f t="shared" si="9"/>
        <v>FFBF5BC0</v>
      </c>
      <c r="D214" t="s">
        <v>113</v>
      </c>
      <c r="E214">
        <v>8</v>
      </c>
      <c r="H214">
        <v>206</v>
      </c>
      <c r="I214" t="s">
        <v>114</v>
      </c>
      <c r="J214" t="s">
        <v>115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>"19:03:56.813"</f>
        <v>19:03:56.813</v>
      </c>
      <c r="T214" t="str">
        <f>"19:03:56.813"</f>
        <v>19:03:56.813</v>
      </c>
      <c r="U214" t="str">
        <f t="shared" si="10"/>
        <v>AB63B2</v>
      </c>
      <c r="V214">
        <v>0</v>
      </c>
      <c r="W214">
        <v>0</v>
      </c>
      <c r="X214">
        <v>6</v>
      </c>
      <c r="Z214">
        <v>0</v>
      </c>
      <c r="AA214">
        <v>9</v>
      </c>
      <c r="AB214">
        <v>3</v>
      </c>
      <c r="AC214">
        <v>0</v>
      </c>
      <c r="AD214">
        <v>10</v>
      </c>
      <c r="AE214">
        <v>0</v>
      </c>
      <c r="AF214">
        <v>0</v>
      </c>
      <c r="AG214">
        <v>2</v>
      </c>
      <c r="AH214">
        <v>0</v>
      </c>
      <c r="AI214" t="s">
        <v>186</v>
      </c>
      <c r="AJ214">
        <v>41.989424</v>
      </c>
      <c r="AK214" t="s">
        <v>141</v>
      </c>
      <c r="AL214">
        <v>-87.894937999999996</v>
      </c>
      <c r="AS214">
        <v>1</v>
      </c>
      <c r="AT214" t="s">
        <v>118</v>
      </c>
      <c r="AU214" t="b">
        <v>1</v>
      </c>
      <c r="AV214">
        <v>182.81</v>
      </c>
      <c r="AW214">
        <v>0.25</v>
      </c>
      <c r="AX214">
        <v>1</v>
      </c>
      <c r="AZ214">
        <v>7205</v>
      </c>
      <c r="BA214">
        <v>1</v>
      </c>
      <c r="BB214" t="str">
        <f t="shared" si="11"/>
        <v xml:space="preserve">KAP400  </v>
      </c>
      <c r="BC214">
        <v>1</v>
      </c>
      <c r="BE214">
        <v>0</v>
      </c>
      <c r="BF214">
        <v>0</v>
      </c>
      <c r="BG214">
        <v>0</v>
      </c>
      <c r="BI214">
        <v>1</v>
      </c>
      <c r="BJ214">
        <v>1</v>
      </c>
      <c r="BK214">
        <v>1</v>
      </c>
      <c r="BL214">
        <v>0</v>
      </c>
      <c r="BO214">
        <v>0</v>
      </c>
      <c r="BP214">
        <v>0</v>
      </c>
      <c r="BW214" t="str">
        <f>"19:03:56.818"</f>
        <v>19:03:56.818</v>
      </c>
      <c r="BX214" t="s">
        <v>119</v>
      </c>
      <c r="BY214" t="s">
        <v>120</v>
      </c>
      <c r="CJ214">
        <v>0</v>
      </c>
      <c r="CK214">
        <v>0</v>
      </c>
      <c r="CL214">
        <v>0</v>
      </c>
      <c r="CM214">
        <v>2</v>
      </c>
      <c r="CN214">
        <v>0</v>
      </c>
      <c r="CO214">
        <v>7</v>
      </c>
      <c r="CP214" t="s">
        <v>121</v>
      </c>
      <c r="CQ214">
        <v>582</v>
      </c>
      <c r="CR214">
        <v>0</v>
      </c>
      <c r="CW214">
        <v>5410663</v>
      </c>
      <c r="CY214">
        <v>0</v>
      </c>
      <c r="CZ214">
        <v>0</v>
      </c>
      <c r="DA214">
        <v>0</v>
      </c>
      <c r="DB214">
        <v>1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</row>
    <row r="215" spans="1:113" x14ac:dyDescent="0.3">
      <c r="A215" t="str">
        <f>"06/16/2022 19:03:58.062"</f>
        <v>06/16/2022 19:03:58.062</v>
      </c>
      <c r="C215" t="str">
        <f t="shared" si="9"/>
        <v>FFBF5BC0</v>
      </c>
      <c r="D215" t="s">
        <v>113</v>
      </c>
      <c r="E215">
        <v>8</v>
      </c>
      <c r="H215">
        <v>206</v>
      </c>
      <c r="I215" t="s">
        <v>114</v>
      </c>
      <c r="J215" t="s">
        <v>115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>"19:03:57.773"</f>
        <v>19:03:57.773</v>
      </c>
      <c r="T215" t="str">
        <f>"19:03:57.773"</f>
        <v>19:03:57.773</v>
      </c>
      <c r="U215" t="str">
        <f t="shared" si="10"/>
        <v>AB63B2</v>
      </c>
      <c r="V215">
        <v>0</v>
      </c>
      <c r="W215">
        <v>0</v>
      </c>
      <c r="X215">
        <v>6</v>
      </c>
      <c r="Z215">
        <v>0</v>
      </c>
      <c r="AA215">
        <v>9</v>
      </c>
      <c r="AB215">
        <v>3</v>
      </c>
      <c r="AC215">
        <v>0</v>
      </c>
      <c r="AD215">
        <v>10</v>
      </c>
      <c r="AE215">
        <v>0</v>
      </c>
      <c r="AF215">
        <v>0</v>
      </c>
      <c r="AG215">
        <v>2</v>
      </c>
      <c r="AH215">
        <v>0</v>
      </c>
      <c r="AI215" t="s">
        <v>186</v>
      </c>
      <c r="AJ215">
        <v>41.989424</v>
      </c>
      <c r="AK215" t="s">
        <v>141</v>
      </c>
      <c r="AL215">
        <v>-87.894937999999996</v>
      </c>
      <c r="AS215">
        <v>1</v>
      </c>
      <c r="AT215" t="s">
        <v>118</v>
      </c>
      <c r="AU215" t="b">
        <v>1</v>
      </c>
      <c r="AV215">
        <v>182.81</v>
      </c>
      <c r="AW215">
        <v>0.25</v>
      </c>
      <c r="AX215">
        <v>1</v>
      </c>
      <c r="AZ215">
        <v>7205</v>
      </c>
      <c r="BA215">
        <v>1</v>
      </c>
      <c r="BB215" t="str">
        <f t="shared" si="11"/>
        <v xml:space="preserve">KAP400  </v>
      </c>
      <c r="BC215">
        <v>1</v>
      </c>
      <c r="BE215">
        <v>0</v>
      </c>
      <c r="BF215">
        <v>0</v>
      </c>
      <c r="BG215">
        <v>0</v>
      </c>
      <c r="BI215">
        <v>1</v>
      </c>
      <c r="BJ215">
        <v>1</v>
      </c>
      <c r="BK215">
        <v>1</v>
      </c>
      <c r="BL215">
        <v>0</v>
      </c>
      <c r="BO215">
        <v>0</v>
      </c>
      <c r="BP215">
        <v>0</v>
      </c>
      <c r="BW215" t="str">
        <f>"19:03:57.777"</f>
        <v>19:03:57.777</v>
      </c>
      <c r="BX215" t="s">
        <v>119</v>
      </c>
      <c r="BY215" t="s">
        <v>120</v>
      </c>
      <c r="CJ215">
        <v>0</v>
      </c>
      <c r="CK215">
        <v>0</v>
      </c>
      <c r="CL215">
        <v>0</v>
      </c>
      <c r="CM215">
        <v>2</v>
      </c>
      <c r="CN215">
        <v>0</v>
      </c>
      <c r="CO215">
        <v>7</v>
      </c>
      <c r="CP215" t="s">
        <v>121</v>
      </c>
      <c r="CQ215">
        <v>582</v>
      </c>
      <c r="CR215">
        <v>0</v>
      </c>
      <c r="CW215">
        <v>5412218</v>
      </c>
      <c r="CY215">
        <v>0</v>
      </c>
      <c r="CZ215">
        <v>0</v>
      </c>
      <c r="DA215">
        <v>0</v>
      </c>
      <c r="DB215">
        <v>1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</row>
    <row r="216" spans="1:113" x14ac:dyDescent="0.3">
      <c r="A216" t="str">
        <f>"06/16/2022 19:03:58.968"</f>
        <v>06/16/2022 19:03:58.968</v>
      </c>
      <c r="C216" t="str">
        <f t="shared" si="9"/>
        <v>FFBF5BC0</v>
      </c>
      <c r="D216" t="s">
        <v>113</v>
      </c>
      <c r="E216">
        <v>8</v>
      </c>
      <c r="H216">
        <v>206</v>
      </c>
      <c r="I216" t="s">
        <v>114</v>
      </c>
      <c r="J216" t="s">
        <v>115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>"19:03:58.734"</f>
        <v>19:03:58.734</v>
      </c>
      <c r="T216" t="str">
        <f>"19:03:58.734"</f>
        <v>19:03:58.734</v>
      </c>
      <c r="U216" t="str">
        <f t="shared" si="10"/>
        <v>AB63B2</v>
      </c>
      <c r="V216">
        <v>0</v>
      </c>
      <c r="W216">
        <v>0</v>
      </c>
      <c r="X216">
        <v>6</v>
      </c>
      <c r="Z216">
        <v>0</v>
      </c>
      <c r="AA216">
        <v>9</v>
      </c>
      <c r="AB216">
        <v>3</v>
      </c>
      <c r="AC216">
        <v>0</v>
      </c>
      <c r="AD216">
        <v>10</v>
      </c>
      <c r="AE216">
        <v>0</v>
      </c>
      <c r="AF216">
        <v>0</v>
      </c>
      <c r="AG216">
        <v>2</v>
      </c>
      <c r="AH216">
        <v>0</v>
      </c>
      <c r="AI216" t="s">
        <v>186</v>
      </c>
      <c r="AJ216">
        <v>41.989424</v>
      </c>
      <c r="AK216" t="s">
        <v>141</v>
      </c>
      <c r="AL216">
        <v>-87.894937999999996</v>
      </c>
      <c r="AS216">
        <v>1</v>
      </c>
      <c r="AT216" t="s">
        <v>118</v>
      </c>
      <c r="AU216" t="b">
        <v>1</v>
      </c>
      <c r="AV216">
        <v>182.81</v>
      </c>
      <c r="AW216">
        <v>0.25</v>
      </c>
      <c r="AX216">
        <v>1</v>
      </c>
      <c r="AZ216">
        <v>7205</v>
      </c>
      <c r="BA216">
        <v>1</v>
      </c>
      <c r="BB216" t="str">
        <f t="shared" si="11"/>
        <v xml:space="preserve">KAP400  </v>
      </c>
      <c r="BC216">
        <v>1</v>
      </c>
      <c r="BE216">
        <v>0</v>
      </c>
      <c r="BF216">
        <v>0</v>
      </c>
      <c r="BG216">
        <v>0</v>
      </c>
      <c r="BI216">
        <v>1</v>
      </c>
      <c r="BJ216">
        <v>1</v>
      </c>
      <c r="BK216">
        <v>1</v>
      </c>
      <c r="BL216">
        <v>0</v>
      </c>
      <c r="BO216">
        <v>0</v>
      </c>
      <c r="BP216">
        <v>0</v>
      </c>
      <c r="BW216" t="str">
        <f>"19:03:58.739"</f>
        <v>19:03:58.739</v>
      </c>
      <c r="BX216" t="s">
        <v>119</v>
      </c>
      <c r="BY216" t="s">
        <v>120</v>
      </c>
      <c r="CJ216">
        <v>0</v>
      </c>
      <c r="CK216">
        <v>0</v>
      </c>
      <c r="CL216">
        <v>0</v>
      </c>
      <c r="CM216">
        <v>2</v>
      </c>
      <c r="CN216">
        <v>0</v>
      </c>
      <c r="CO216">
        <v>7</v>
      </c>
      <c r="CP216" t="s">
        <v>121</v>
      </c>
      <c r="CQ216">
        <v>582</v>
      </c>
      <c r="CR216">
        <v>0</v>
      </c>
      <c r="CW216">
        <v>5413835</v>
      </c>
      <c r="CY216">
        <v>0</v>
      </c>
      <c r="CZ216">
        <v>0</v>
      </c>
      <c r="DA216">
        <v>0</v>
      </c>
      <c r="DB216">
        <v>1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</row>
    <row r="217" spans="1:113" x14ac:dyDescent="0.3">
      <c r="A217" t="str">
        <f>"06/16/2022 19:04:00.126"</f>
        <v>06/16/2022 19:04:00.126</v>
      </c>
      <c r="C217" t="str">
        <f t="shared" si="9"/>
        <v>FFBF5BC0</v>
      </c>
      <c r="D217" t="s">
        <v>113</v>
      </c>
      <c r="E217">
        <v>8</v>
      </c>
      <c r="H217">
        <v>206</v>
      </c>
      <c r="I217" t="s">
        <v>114</v>
      </c>
      <c r="J217" t="s">
        <v>115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>"19:03:59.852"</f>
        <v>19:03:59.852</v>
      </c>
      <c r="T217" t="str">
        <f>"19:03:59.852"</f>
        <v>19:03:59.852</v>
      </c>
      <c r="U217" t="str">
        <f t="shared" si="10"/>
        <v>AB63B2</v>
      </c>
      <c r="V217">
        <v>0</v>
      </c>
      <c r="W217">
        <v>0</v>
      </c>
      <c r="X217">
        <v>6</v>
      </c>
      <c r="Z217">
        <v>0</v>
      </c>
      <c r="AA217">
        <v>9</v>
      </c>
      <c r="AB217">
        <v>3</v>
      </c>
      <c r="AC217">
        <v>0</v>
      </c>
      <c r="AD217">
        <v>10</v>
      </c>
      <c r="AE217">
        <v>0</v>
      </c>
      <c r="AF217">
        <v>0</v>
      </c>
      <c r="AG217">
        <v>2</v>
      </c>
      <c r="AH217">
        <v>0</v>
      </c>
      <c r="AI217" t="s">
        <v>186</v>
      </c>
      <c r="AJ217">
        <v>41.989424</v>
      </c>
      <c r="AK217" t="s">
        <v>141</v>
      </c>
      <c r="AL217">
        <v>-87.894937999999996</v>
      </c>
      <c r="AS217">
        <v>1</v>
      </c>
      <c r="AT217" t="s">
        <v>118</v>
      </c>
      <c r="AU217" t="b">
        <v>1</v>
      </c>
      <c r="AV217">
        <v>182.81</v>
      </c>
      <c r="AW217">
        <v>0.25</v>
      </c>
      <c r="AX217">
        <v>1</v>
      </c>
      <c r="AZ217">
        <v>7205</v>
      </c>
      <c r="BA217">
        <v>1</v>
      </c>
      <c r="BB217" t="str">
        <f t="shared" si="11"/>
        <v xml:space="preserve">KAP400  </v>
      </c>
      <c r="BC217">
        <v>1</v>
      </c>
      <c r="BE217">
        <v>0</v>
      </c>
      <c r="BF217">
        <v>0</v>
      </c>
      <c r="BG217">
        <v>0</v>
      </c>
      <c r="BI217">
        <v>1</v>
      </c>
      <c r="BJ217">
        <v>1</v>
      </c>
      <c r="BK217">
        <v>1</v>
      </c>
      <c r="BL217">
        <v>0</v>
      </c>
      <c r="BO217">
        <v>0</v>
      </c>
      <c r="BP217">
        <v>0</v>
      </c>
      <c r="BW217" t="str">
        <f>"19:03:59.853"</f>
        <v>19:03:59.853</v>
      </c>
      <c r="BX217" t="s">
        <v>119</v>
      </c>
      <c r="BY217" t="s">
        <v>120</v>
      </c>
      <c r="CJ217">
        <v>0</v>
      </c>
      <c r="CK217">
        <v>0</v>
      </c>
      <c r="CL217">
        <v>0</v>
      </c>
      <c r="CM217">
        <v>2</v>
      </c>
      <c r="CN217">
        <v>0</v>
      </c>
      <c r="CO217">
        <v>7</v>
      </c>
      <c r="CP217" t="s">
        <v>121</v>
      </c>
      <c r="CQ217">
        <v>581</v>
      </c>
      <c r="CR217">
        <v>0</v>
      </c>
      <c r="CW217">
        <v>14432527</v>
      </c>
      <c r="CY217">
        <v>0</v>
      </c>
      <c r="CZ217">
        <v>0</v>
      </c>
      <c r="DA217">
        <v>0</v>
      </c>
      <c r="DB217">
        <v>1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</row>
    <row r="218" spans="1:113" x14ac:dyDescent="0.3">
      <c r="A218" t="str">
        <f>"06/16/2022 19:04:02.436"</f>
        <v>06/16/2022 19:04:02.436</v>
      </c>
      <c r="C218" t="str">
        <f t="shared" si="9"/>
        <v>FFBF5BC0</v>
      </c>
      <c r="D218" t="s">
        <v>113</v>
      </c>
      <c r="E218">
        <v>8</v>
      </c>
      <c r="H218">
        <v>206</v>
      </c>
      <c r="I218" t="s">
        <v>114</v>
      </c>
      <c r="J218" t="s">
        <v>115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>"19:04:02.133"</f>
        <v>19:04:02.133</v>
      </c>
      <c r="T218" t="str">
        <f>"19:04:02.133"</f>
        <v>19:04:02.133</v>
      </c>
      <c r="U218" t="str">
        <f t="shared" si="10"/>
        <v>AB63B2</v>
      </c>
      <c r="V218">
        <v>0</v>
      </c>
      <c r="W218">
        <v>0</v>
      </c>
      <c r="X218">
        <v>6</v>
      </c>
      <c r="Z218">
        <v>0</v>
      </c>
      <c r="AA218">
        <v>9</v>
      </c>
      <c r="AB218">
        <v>3</v>
      </c>
      <c r="AC218">
        <v>0</v>
      </c>
      <c r="AD218">
        <v>10</v>
      </c>
      <c r="AE218">
        <v>0</v>
      </c>
      <c r="AF218">
        <v>0</v>
      </c>
      <c r="AG218">
        <v>2</v>
      </c>
      <c r="AH218">
        <v>0</v>
      </c>
      <c r="AI218" t="s">
        <v>186</v>
      </c>
      <c r="AJ218">
        <v>41.989424</v>
      </c>
      <c r="AK218" t="s">
        <v>141</v>
      </c>
      <c r="AL218">
        <v>-87.894937999999996</v>
      </c>
      <c r="AS218">
        <v>1</v>
      </c>
      <c r="AT218" t="s">
        <v>118</v>
      </c>
      <c r="AU218" t="b">
        <v>1</v>
      </c>
      <c r="AV218">
        <v>182.81</v>
      </c>
      <c r="AW218">
        <v>0.25</v>
      </c>
      <c r="AX218">
        <v>1</v>
      </c>
      <c r="AZ218">
        <v>7205</v>
      </c>
      <c r="BA218">
        <v>1</v>
      </c>
      <c r="BB218" t="str">
        <f t="shared" si="11"/>
        <v xml:space="preserve">KAP400  </v>
      </c>
      <c r="BC218">
        <v>1</v>
      </c>
      <c r="BE218">
        <v>0</v>
      </c>
      <c r="BF218">
        <v>0</v>
      </c>
      <c r="BG218">
        <v>0</v>
      </c>
      <c r="BI218">
        <v>1</v>
      </c>
      <c r="BJ218">
        <v>1</v>
      </c>
      <c r="BK218">
        <v>1</v>
      </c>
      <c r="BL218">
        <v>0</v>
      </c>
      <c r="BO218">
        <v>0</v>
      </c>
      <c r="BP218">
        <v>0</v>
      </c>
      <c r="BW218" t="str">
        <f>"19:04:02.135"</f>
        <v>19:04:02.135</v>
      </c>
      <c r="BX218" t="s">
        <v>119</v>
      </c>
      <c r="BY218" t="s">
        <v>120</v>
      </c>
      <c r="CJ218">
        <v>0</v>
      </c>
      <c r="CK218">
        <v>0</v>
      </c>
      <c r="CL218">
        <v>0</v>
      </c>
      <c r="CM218">
        <v>2</v>
      </c>
      <c r="CN218">
        <v>0</v>
      </c>
      <c r="CO218">
        <v>7</v>
      </c>
      <c r="CP218" t="s">
        <v>121</v>
      </c>
      <c r="CQ218">
        <v>582</v>
      </c>
      <c r="CR218">
        <v>0</v>
      </c>
      <c r="CW218">
        <v>5419448</v>
      </c>
      <c r="CY218">
        <v>0</v>
      </c>
      <c r="CZ218">
        <v>0</v>
      </c>
      <c r="DA218">
        <v>0</v>
      </c>
      <c r="DB218">
        <v>1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</row>
    <row r="219" spans="1:113" x14ac:dyDescent="0.3">
      <c r="A219" t="str">
        <f>"06/16/2022 19:04:22.968"</f>
        <v>06/16/2022 19:04:22.968</v>
      </c>
      <c r="C219" t="str">
        <f t="shared" si="9"/>
        <v>FFBF5BC0</v>
      </c>
      <c r="D219" t="s">
        <v>113</v>
      </c>
      <c r="E219">
        <v>8</v>
      </c>
      <c r="H219">
        <v>206</v>
      </c>
      <c r="I219" t="s">
        <v>114</v>
      </c>
      <c r="J219" t="s">
        <v>115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>"19:04:22.742"</f>
        <v>19:04:22.742</v>
      </c>
      <c r="T219" t="str">
        <f>"19:04:22.742"</f>
        <v>19:04:22.742</v>
      </c>
      <c r="U219" t="str">
        <f t="shared" si="10"/>
        <v>AB63B2</v>
      </c>
      <c r="V219">
        <v>0</v>
      </c>
      <c r="W219">
        <v>0</v>
      </c>
      <c r="X219">
        <v>6</v>
      </c>
      <c r="Z219">
        <v>0</v>
      </c>
      <c r="AA219">
        <v>9</v>
      </c>
      <c r="AB219">
        <v>3</v>
      </c>
      <c r="AC219">
        <v>0</v>
      </c>
      <c r="AD219">
        <v>10</v>
      </c>
      <c r="AE219">
        <v>0</v>
      </c>
      <c r="AF219">
        <v>0</v>
      </c>
      <c r="AG219">
        <v>2</v>
      </c>
      <c r="AH219">
        <v>0</v>
      </c>
      <c r="AI219" t="s">
        <v>186</v>
      </c>
      <c r="AJ219">
        <v>41.989424</v>
      </c>
      <c r="AK219" t="s">
        <v>141</v>
      </c>
      <c r="AL219">
        <v>-87.894937999999996</v>
      </c>
      <c r="AS219">
        <v>1</v>
      </c>
      <c r="AT219" t="s">
        <v>118</v>
      </c>
      <c r="AU219" t="b">
        <v>1</v>
      </c>
      <c r="AV219">
        <v>182.81</v>
      </c>
      <c r="AW219">
        <v>0.125</v>
      </c>
      <c r="AX219">
        <v>1</v>
      </c>
      <c r="AZ219">
        <v>7205</v>
      </c>
      <c r="BA219">
        <v>1</v>
      </c>
      <c r="BB219" t="str">
        <f t="shared" si="11"/>
        <v xml:space="preserve">KAP400  </v>
      </c>
      <c r="BC219">
        <v>1</v>
      </c>
      <c r="BE219">
        <v>0</v>
      </c>
      <c r="BF219">
        <v>0</v>
      </c>
      <c r="BG219">
        <v>0</v>
      </c>
      <c r="BI219">
        <v>1</v>
      </c>
      <c r="BJ219">
        <v>1</v>
      </c>
      <c r="BK219">
        <v>1</v>
      </c>
      <c r="BL219">
        <v>0</v>
      </c>
      <c r="BO219">
        <v>0</v>
      </c>
      <c r="BP219">
        <v>0</v>
      </c>
      <c r="BW219" t="str">
        <f>"19:04:22.745"</f>
        <v>19:04:22.745</v>
      </c>
      <c r="BX219" t="s">
        <v>119</v>
      </c>
      <c r="BY219" t="s">
        <v>120</v>
      </c>
      <c r="CJ219">
        <v>0</v>
      </c>
      <c r="CK219">
        <v>0</v>
      </c>
      <c r="CL219">
        <v>0</v>
      </c>
      <c r="CM219">
        <v>2</v>
      </c>
      <c r="CN219">
        <v>0</v>
      </c>
      <c r="CO219">
        <v>7</v>
      </c>
      <c r="CP219" t="s">
        <v>121</v>
      </c>
      <c r="CQ219">
        <v>579</v>
      </c>
      <c r="CR219">
        <v>0</v>
      </c>
      <c r="CW219">
        <v>381090</v>
      </c>
      <c r="CY219">
        <v>0</v>
      </c>
      <c r="CZ219">
        <v>0</v>
      </c>
      <c r="DA219">
        <v>0</v>
      </c>
      <c r="DB219">
        <v>1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</row>
    <row r="220" spans="1:113" x14ac:dyDescent="0.3">
      <c r="A220" t="str">
        <f>"06/16/2022 19:04:28.094"</f>
        <v>06/16/2022 19:04:28.094</v>
      </c>
      <c r="C220" t="str">
        <f t="shared" si="9"/>
        <v>FFBF5BC0</v>
      </c>
      <c r="D220" t="s">
        <v>113</v>
      </c>
      <c r="E220">
        <v>8</v>
      </c>
      <c r="H220">
        <v>206</v>
      </c>
      <c r="I220" t="s">
        <v>114</v>
      </c>
      <c r="J220" t="s">
        <v>115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>"19:04:27.844"</f>
        <v>19:04:27.844</v>
      </c>
      <c r="T220" t="str">
        <f>"19:04:27.844"</f>
        <v>19:04:27.844</v>
      </c>
      <c r="U220" t="str">
        <f t="shared" si="10"/>
        <v>AB63B2</v>
      </c>
      <c r="V220">
        <v>0</v>
      </c>
      <c r="W220">
        <v>0</v>
      </c>
      <c r="X220">
        <v>6</v>
      </c>
      <c r="Z220">
        <v>0</v>
      </c>
      <c r="AA220">
        <v>9</v>
      </c>
      <c r="AB220">
        <v>3</v>
      </c>
      <c r="AC220">
        <v>0</v>
      </c>
      <c r="AD220">
        <v>10</v>
      </c>
      <c r="AE220">
        <v>0</v>
      </c>
      <c r="AF220">
        <v>0</v>
      </c>
      <c r="AG220">
        <v>2</v>
      </c>
      <c r="AH220">
        <v>0</v>
      </c>
      <c r="AI220" t="s">
        <v>186</v>
      </c>
      <c r="AJ220">
        <v>41.989424</v>
      </c>
      <c r="AK220" t="s">
        <v>141</v>
      </c>
      <c r="AL220">
        <v>-87.894937999999996</v>
      </c>
      <c r="AS220">
        <v>1</v>
      </c>
      <c r="AT220" t="s">
        <v>118</v>
      </c>
      <c r="AU220" t="b">
        <v>1</v>
      </c>
      <c r="AV220">
        <v>182.81</v>
      </c>
      <c r="AW220">
        <v>0.125</v>
      </c>
      <c r="AX220">
        <v>1</v>
      </c>
      <c r="AZ220">
        <v>7205</v>
      </c>
      <c r="BA220">
        <v>1</v>
      </c>
      <c r="BB220" t="str">
        <f t="shared" si="11"/>
        <v xml:space="preserve">KAP400  </v>
      </c>
      <c r="BC220">
        <v>1</v>
      </c>
      <c r="BE220">
        <v>0</v>
      </c>
      <c r="BF220">
        <v>0</v>
      </c>
      <c r="BG220">
        <v>0</v>
      </c>
      <c r="BI220">
        <v>1</v>
      </c>
      <c r="BJ220">
        <v>1</v>
      </c>
      <c r="BK220">
        <v>1</v>
      </c>
      <c r="BL220">
        <v>0</v>
      </c>
      <c r="BO220">
        <v>0</v>
      </c>
      <c r="BP220">
        <v>0</v>
      </c>
      <c r="BW220" t="str">
        <f>"19:04:27.845"</f>
        <v>19:04:27.845</v>
      </c>
      <c r="BX220" t="s">
        <v>119</v>
      </c>
      <c r="BY220" t="s">
        <v>120</v>
      </c>
      <c r="CJ220">
        <v>0</v>
      </c>
      <c r="CK220">
        <v>0</v>
      </c>
      <c r="CL220">
        <v>0</v>
      </c>
      <c r="CM220">
        <v>2</v>
      </c>
      <c r="CN220">
        <v>0</v>
      </c>
      <c r="CO220">
        <v>7</v>
      </c>
      <c r="CP220" t="s">
        <v>121</v>
      </c>
      <c r="CQ220">
        <v>581</v>
      </c>
      <c r="CR220">
        <v>0</v>
      </c>
      <c r="CW220">
        <v>14481516</v>
      </c>
      <c r="CY220">
        <v>0</v>
      </c>
      <c r="CZ220">
        <v>0</v>
      </c>
      <c r="DA220">
        <v>0</v>
      </c>
      <c r="DB220">
        <v>1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</row>
    <row r="221" spans="1:113" x14ac:dyDescent="0.3">
      <c r="A221" t="str">
        <f>"06/16/2022 19:04:32.968"</f>
        <v>06/16/2022 19:04:32.968</v>
      </c>
      <c r="C221" t="str">
        <f t="shared" si="9"/>
        <v>FFBF5BC0</v>
      </c>
      <c r="D221" t="s">
        <v>113</v>
      </c>
      <c r="E221">
        <v>8</v>
      </c>
      <c r="H221">
        <v>206</v>
      </c>
      <c r="I221" t="s">
        <v>114</v>
      </c>
      <c r="J221" t="s">
        <v>115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>"19:04:32.734"</f>
        <v>19:04:32.734</v>
      </c>
      <c r="T221" t="str">
        <f>"19:04:32.734"</f>
        <v>19:04:32.734</v>
      </c>
      <c r="U221" t="str">
        <f t="shared" si="10"/>
        <v>AB63B2</v>
      </c>
      <c r="V221">
        <v>0</v>
      </c>
      <c r="W221">
        <v>0</v>
      </c>
      <c r="X221">
        <v>6</v>
      </c>
      <c r="Z221">
        <v>0</v>
      </c>
      <c r="AA221">
        <v>9</v>
      </c>
      <c r="AB221">
        <v>3</v>
      </c>
      <c r="AC221">
        <v>0</v>
      </c>
      <c r="AD221">
        <v>10</v>
      </c>
      <c r="AE221">
        <v>0</v>
      </c>
      <c r="AF221">
        <v>0</v>
      </c>
      <c r="AG221">
        <v>2</v>
      </c>
      <c r="AH221">
        <v>0</v>
      </c>
      <c r="AI221" t="s">
        <v>186</v>
      </c>
      <c r="AJ221">
        <v>41.989424</v>
      </c>
      <c r="AK221" t="s">
        <v>141</v>
      </c>
      <c r="AL221">
        <v>-87.894937999999996</v>
      </c>
      <c r="AS221">
        <v>1</v>
      </c>
      <c r="AT221" t="s">
        <v>118</v>
      </c>
      <c r="AU221" t="b">
        <v>1</v>
      </c>
      <c r="AV221">
        <v>182.81</v>
      </c>
      <c r="AW221">
        <v>0.125</v>
      </c>
      <c r="AX221">
        <v>1</v>
      </c>
      <c r="AZ221">
        <v>7205</v>
      </c>
      <c r="BA221">
        <v>1</v>
      </c>
      <c r="BB221" t="str">
        <f t="shared" si="11"/>
        <v xml:space="preserve">KAP400  </v>
      </c>
      <c r="BC221">
        <v>1</v>
      </c>
      <c r="BE221">
        <v>0</v>
      </c>
      <c r="BF221">
        <v>0</v>
      </c>
      <c r="BG221">
        <v>0</v>
      </c>
      <c r="BI221">
        <v>1</v>
      </c>
      <c r="BJ221">
        <v>1</v>
      </c>
      <c r="BK221">
        <v>1</v>
      </c>
      <c r="BL221">
        <v>0</v>
      </c>
      <c r="BO221">
        <v>0</v>
      </c>
      <c r="BP221">
        <v>0</v>
      </c>
      <c r="BW221" t="str">
        <f>"19:04:32.739"</f>
        <v>19:04:32.739</v>
      </c>
      <c r="BX221" t="s">
        <v>119</v>
      </c>
      <c r="BY221" t="s">
        <v>120</v>
      </c>
      <c r="CJ221">
        <v>0</v>
      </c>
      <c r="CK221">
        <v>0</v>
      </c>
      <c r="CL221">
        <v>0</v>
      </c>
      <c r="CM221">
        <v>2</v>
      </c>
      <c r="CN221">
        <v>0</v>
      </c>
      <c r="CO221">
        <v>7</v>
      </c>
      <c r="CP221" t="s">
        <v>121</v>
      </c>
      <c r="CQ221">
        <v>582</v>
      </c>
      <c r="CR221">
        <v>0</v>
      </c>
      <c r="CW221">
        <v>5469032</v>
      </c>
      <c r="CY221">
        <v>0</v>
      </c>
      <c r="CZ221">
        <v>0</v>
      </c>
      <c r="DA221">
        <v>0</v>
      </c>
      <c r="DB221">
        <v>1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</row>
    <row r="222" spans="1:113" x14ac:dyDescent="0.3">
      <c r="A222" t="str">
        <f>"06/16/2022 19:04:42.953"</f>
        <v>06/16/2022 19:04:42.953</v>
      </c>
      <c r="C222" t="str">
        <f t="shared" si="9"/>
        <v>FFBF5BC0</v>
      </c>
      <c r="D222" t="s">
        <v>113</v>
      </c>
      <c r="E222">
        <v>8</v>
      </c>
      <c r="H222">
        <v>206</v>
      </c>
      <c r="I222" t="s">
        <v>114</v>
      </c>
      <c r="J222" t="s">
        <v>115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"19:04:42.719"</f>
        <v>19:04:42.719</v>
      </c>
      <c r="T222" t="str">
        <f>"19:04:42.719"</f>
        <v>19:04:42.719</v>
      </c>
      <c r="U222" t="str">
        <f t="shared" si="10"/>
        <v>AB63B2</v>
      </c>
      <c r="V222">
        <v>0</v>
      </c>
      <c r="W222">
        <v>0</v>
      </c>
      <c r="X222">
        <v>6</v>
      </c>
      <c r="Z222">
        <v>0</v>
      </c>
      <c r="AA222">
        <v>9</v>
      </c>
      <c r="AB222">
        <v>3</v>
      </c>
      <c r="AC222">
        <v>0</v>
      </c>
      <c r="AD222">
        <v>10</v>
      </c>
      <c r="AE222">
        <v>0</v>
      </c>
      <c r="AF222">
        <v>0</v>
      </c>
      <c r="AG222">
        <v>2</v>
      </c>
      <c r="AH222">
        <v>0</v>
      </c>
      <c r="AI222" t="s">
        <v>186</v>
      </c>
      <c r="AJ222">
        <v>41.989424</v>
      </c>
      <c r="AK222" t="s">
        <v>141</v>
      </c>
      <c r="AL222">
        <v>-87.894937999999996</v>
      </c>
      <c r="AS222">
        <v>1</v>
      </c>
      <c r="AT222" t="s">
        <v>118</v>
      </c>
      <c r="AU222" t="b">
        <v>1</v>
      </c>
      <c r="AV222">
        <v>182.81</v>
      </c>
      <c r="AW222">
        <v>0.125</v>
      </c>
      <c r="AX222">
        <v>1</v>
      </c>
      <c r="AZ222">
        <v>7205</v>
      </c>
      <c r="BA222">
        <v>1</v>
      </c>
      <c r="BB222" t="str">
        <f t="shared" si="11"/>
        <v xml:space="preserve">KAP400  </v>
      </c>
      <c r="BC222">
        <v>1</v>
      </c>
      <c r="BE222">
        <v>0</v>
      </c>
      <c r="BF222">
        <v>0</v>
      </c>
      <c r="BG222">
        <v>0</v>
      </c>
      <c r="BI222">
        <v>1</v>
      </c>
      <c r="BJ222">
        <v>1</v>
      </c>
      <c r="BK222">
        <v>1</v>
      </c>
      <c r="BL222">
        <v>0</v>
      </c>
      <c r="BO222">
        <v>0</v>
      </c>
      <c r="BP222">
        <v>0</v>
      </c>
      <c r="BW222" t="str">
        <f>"19:04:42.719"</f>
        <v>19:04:42.719</v>
      </c>
      <c r="BX222" t="s">
        <v>119</v>
      </c>
      <c r="BY222" t="s">
        <v>120</v>
      </c>
      <c r="CJ222">
        <v>0</v>
      </c>
      <c r="CK222">
        <v>0</v>
      </c>
      <c r="CL222">
        <v>0</v>
      </c>
      <c r="CM222">
        <v>2</v>
      </c>
      <c r="CN222">
        <v>0</v>
      </c>
      <c r="CO222">
        <v>7</v>
      </c>
      <c r="CP222" t="s">
        <v>121</v>
      </c>
      <c r="CQ222">
        <v>582</v>
      </c>
      <c r="CR222">
        <v>0</v>
      </c>
      <c r="CW222">
        <v>5485231</v>
      </c>
      <c r="CY222">
        <v>0</v>
      </c>
      <c r="CZ222">
        <v>0</v>
      </c>
      <c r="DA222">
        <v>0</v>
      </c>
      <c r="DB222">
        <v>1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</row>
    <row r="223" spans="1:113" x14ac:dyDescent="0.3">
      <c r="A223" t="str">
        <f>"06/16/2022 19:04:47.906"</f>
        <v>06/16/2022 19:04:47.906</v>
      </c>
      <c r="C223" t="str">
        <f t="shared" si="9"/>
        <v>FFBF5BC0</v>
      </c>
      <c r="D223" t="s">
        <v>113</v>
      </c>
      <c r="E223">
        <v>8</v>
      </c>
      <c r="H223">
        <v>206</v>
      </c>
      <c r="I223" t="s">
        <v>114</v>
      </c>
      <c r="J223" t="s">
        <v>115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>"19:04:47.617"</f>
        <v>19:04:47.617</v>
      </c>
      <c r="T223" t="str">
        <f>"19:04:47.617"</f>
        <v>19:04:47.617</v>
      </c>
      <c r="U223" t="str">
        <f t="shared" si="10"/>
        <v>AB63B2</v>
      </c>
      <c r="V223">
        <v>0</v>
      </c>
      <c r="W223">
        <v>0</v>
      </c>
      <c r="X223">
        <v>6</v>
      </c>
      <c r="Z223">
        <v>0</v>
      </c>
      <c r="AA223">
        <v>9</v>
      </c>
      <c r="AB223">
        <v>3</v>
      </c>
      <c r="AC223">
        <v>0</v>
      </c>
      <c r="AD223">
        <v>10</v>
      </c>
      <c r="AE223">
        <v>0</v>
      </c>
      <c r="AF223">
        <v>0</v>
      </c>
      <c r="AG223">
        <v>2</v>
      </c>
      <c r="AH223">
        <v>0</v>
      </c>
      <c r="AI223" t="s">
        <v>186</v>
      </c>
      <c r="AJ223">
        <v>41.989424</v>
      </c>
      <c r="AK223" t="s">
        <v>141</v>
      </c>
      <c r="AL223">
        <v>-87.894937999999996</v>
      </c>
      <c r="AS223">
        <v>1</v>
      </c>
      <c r="AT223" t="s">
        <v>118</v>
      </c>
      <c r="AU223" t="b">
        <v>1</v>
      </c>
      <c r="AV223">
        <v>182.81</v>
      </c>
      <c r="AW223">
        <v>0.125</v>
      </c>
      <c r="AX223">
        <v>1</v>
      </c>
      <c r="AZ223">
        <v>7205</v>
      </c>
      <c r="BA223">
        <v>1</v>
      </c>
      <c r="BB223" t="str">
        <f t="shared" si="11"/>
        <v xml:space="preserve">KAP400  </v>
      </c>
      <c r="BC223">
        <v>1</v>
      </c>
      <c r="BE223">
        <v>0</v>
      </c>
      <c r="BF223">
        <v>0</v>
      </c>
      <c r="BG223">
        <v>0</v>
      </c>
      <c r="BI223">
        <v>1</v>
      </c>
      <c r="BJ223">
        <v>1</v>
      </c>
      <c r="BK223">
        <v>1</v>
      </c>
      <c r="BL223">
        <v>0</v>
      </c>
      <c r="BO223">
        <v>0</v>
      </c>
      <c r="BP223">
        <v>0</v>
      </c>
      <c r="BW223" t="str">
        <f>"19:04:47.624"</f>
        <v>19:04:47.624</v>
      </c>
      <c r="BX223" t="s">
        <v>119</v>
      </c>
      <c r="BY223" t="s">
        <v>120</v>
      </c>
      <c r="CJ223">
        <v>0</v>
      </c>
      <c r="CK223">
        <v>0</v>
      </c>
      <c r="CL223">
        <v>0</v>
      </c>
      <c r="CM223">
        <v>2</v>
      </c>
      <c r="CN223">
        <v>0</v>
      </c>
      <c r="CO223">
        <v>7</v>
      </c>
      <c r="CP223" t="s">
        <v>121</v>
      </c>
      <c r="CQ223">
        <v>581</v>
      </c>
      <c r="CR223">
        <v>0</v>
      </c>
      <c r="CW223">
        <v>14516599</v>
      </c>
      <c r="CY223">
        <v>0</v>
      </c>
      <c r="CZ223">
        <v>0</v>
      </c>
      <c r="DA223">
        <v>0</v>
      </c>
      <c r="DB223">
        <v>1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</row>
    <row r="224" spans="1:113" x14ac:dyDescent="0.3">
      <c r="A224" t="str">
        <f>"06/16/2022 19:04:52.922"</f>
        <v>06/16/2022 19:04:52.922</v>
      </c>
      <c r="C224" t="str">
        <f t="shared" si="9"/>
        <v>FFBF5BC0</v>
      </c>
      <c r="D224" t="s">
        <v>113</v>
      </c>
      <c r="E224">
        <v>8</v>
      </c>
      <c r="H224">
        <v>206</v>
      </c>
      <c r="I224" t="s">
        <v>114</v>
      </c>
      <c r="J224" t="s">
        <v>115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>"19:04:52.656"</f>
        <v>19:04:52.656</v>
      </c>
      <c r="T224" t="str">
        <f>"19:04:52.656"</f>
        <v>19:04:52.656</v>
      </c>
      <c r="U224" t="str">
        <f t="shared" si="10"/>
        <v>AB63B2</v>
      </c>
      <c r="V224">
        <v>0</v>
      </c>
      <c r="W224">
        <v>0</v>
      </c>
      <c r="X224">
        <v>6</v>
      </c>
      <c r="Z224">
        <v>0</v>
      </c>
      <c r="AA224">
        <v>9</v>
      </c>
      <c r="AB224">
        <v>3</v>
      </c>
      <c r="AC224">
        <v>0</v>
      </c>
      <c r="AD224">
        <v>10</v>
      </c>
      <c r="AE224">
        <v>0</v>
      </c>
      <c r="AF224">
        <v>0</v>
      </c>
      <c r="AG224">
        <v>2</v>
      </c>
      <c r="AH224">
        <v>0</v>
      </c>
      <c r="AI224" t="s">
        <v>185</v>
      </c>
      <c r="AJ224">
        <v>41.989446000000001</v>
      </c>
      <c r="AK224" t="s">
        <v>141</v>
      </c>
      <c r="AL224">
        <v>-87.894937999999996</v>
      </c>
      <c r="AS224">
        <v>1</v>
      </c>
      <c r="AT224" t="s">
        <v>118</v>
      </c>
      <c r="AU224" t="b">
        <v>1</v>
      </c>
      <c r="AV224">
        <v>182.81</v>
      </c>
      <c r="AW224">
        <v>0.125</v>
      </c>
      <c r="AX224">
        <v>1</v>
      </c>
      <c r="AZ224">
        <v>7205</v>
      </c>
      <c r="BA224">
        <v>1</v>
      </c>
      <c r="BB224" t="str">
        <f t="shared" si="11"/>
        <v xml:space="preserve">KAP400  </v>
      </c>
      <c r="BC224">
        <v>1</v>
      </c>
      <c r="BE224">
        <v>0</v>
      </c>
      <c r="BF224">
        <v>0</v>
      </c>
      <c r="BG224">
        <v>0</v>
      </c>
      <c r="BI224">
        <v>1</v>
      </c>
      <c r="BJ224">
        <v>1</v>
      </c>
      <c r="BK224">
        <v>1</v>
      </c>
      <c r="BL224">
        <v>0</v>
      </c>
      <c r="BO224">
        <v>0</v>
      </c>
      <c r="BP224">
        <v>0</v>
      </c>
      <c r="BW224" t="str">
        <f>"19:04:52.659"</f>
        <v>19:04:52.659</v>
      </c>
      <c r="BX224" t="s">
        <v>119</v>
      </c>
      <c r="BY224" t="s">
        <v>120</v>
      </c>
      <c r="CJ224">
        <v>0</v>
      </c>
      <c r="CK224">
        <v>0</v>
      </c>
      <c r="CL224">
        <v>0</v>
      </c>
      <c r="CM224">
        <v>2</v>
      </c>
      <c r="CN224">
        <v>0</v>
      </c>
      <c r="CO224">
        <v>7</v>
      </c>
      <c r="CP224" t="s">
        <v>121</v>
      </c>
      <c r="CQ224">
        <v>581</v>
      </c>
      <c r="CR224">
        <v>0</v>
      </c>
      <c r="CW224">
        <v>14525598</v>
      </c>
      <c r="CY224">
        <v>0</v>
      </c>
      <c r="CZ224">
        <v>0</v>
      </c>
      <c r="DA224">
        <v>0</v>
      </c>
      <c r="DB224">
        <v>1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</row>
    <row r="225" spans="1:113" x14ac:dyDescent="0.3">
      <c r="A225" t="str">
        <f>"06/16/2022 19:04:58.015"</f>
        <v>06/16/2022 19:04:58.015</v>
      </c>
      <c r="C225" t="str">
        <f t="shared" si="9"/>
        <v>FFBF5BC0</v>
      </c>
      <c r="D225" t="s">
        <v>113</v>
      </c>
      <c r="E225">
        <v>8</v>
      </c>
      <c r="H225">
        <v>206</v>
      </c>
      <c r="I225" t="s">
        <v>114</v>
      </c>
      <c r="J225" t="s">
        <v>115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>"19:04:57.797"</f>
        <v>19:04:57.797</v>
      </c>
      <c r="T225" t="str">
        <f>"19:04:57.797"</f>
        <v>19:04:57.797</v>
      </c>
      <c r="U225" t="str">
        <f t="shared" si="10"/>
        <v>AB63B2</v>
      </c>
      <c r="V225">
        <v>0</v>
      </c>
      <c r="W225">
        <v>0</v>
      </c>
      <c r="X225">
        <v>6</v>
      </c>
      <c r="Z225">
        <v>0</v>
      </c>
      <c r="AA225">
        <v>9</v>
      </c>
      <c r="AB225">
        <v>3</v>
      </c>
      <c r="AC225">
        <v>0</v>
      </c>
      <c r="AD225">
        <v>10</v>
      </c>
      <c r="AE225">
        <v>0</v>
      </c>
      <c r="AF225">
        <v>0</v>
      </c>
      <c r="AG225">
        <v>2</v>
      </c>
      <c r="AH225">
        <v>0</v>
      </c>
      <c r="AI225" t="s">
        <v>186</v>
      </c>
      <c r="AJ225">
        <v>41.989424</v>
      </c>
      <c r="AK225" t="s">
        <v>141</v>
      </c>
      <c r="AL225">
        <v>-87.894937999999996</v>
      </c>
      <c r="AS225">
        <v>1</v>
      </c>
      <c r="AT225" t="s">
        <v>118</v>
      </c>
      <c r="AU225" t="b">
        <v>1</v>
      </c>
      <c r="AV225">
        <v>182.81</v>
      </c>
      <c r="AW225">
        <v>0.125</v>
      </c>
      <c r="AX225">
        <v>1</v>
      </c>
      <c r="AZ225">
        <v>7205</v>
      </c>
      <c r="BA225">
        <v>1</v>
      </c>
      <c r="BB225" t="str">
        <f t="shared" si="11"/>
        <v xml:space="preserve">KAP400  </v>
      </c>
      <c r="BC225">
        <v>1</v>
      </c>
      <c r="BE225">
        <v>0</v>
      </c>
      <c r="BF225">
        <v>0</v>
      </c>
      <c r="BG225">
        <v>0</v>
      </c>
      <c r="BI225">
        <v>1</v>
      </c>
      <c r="BJ225">
        <v>1</v>
      </c>
      <c r="BK225">
        <v>1</v>
      </c>
      <c r="BL225">
        <v>0</v>
      </c>
      <c r="BO225">
        <v>0</v>
      </c>
      <c r="BP225">
        <v>0</v>
      </c>
      <c r="BW225" t="str">
        <f>"19:04:57.799"</f>
        <v>19:04:57.799</v>
      </c>
      <c r="BX225" t="s">
        <v>119</v>
      </c>
      <c r="BY225" t="s">
        <v>120</v>
      </c>
      <c r="CJ225">
        <v>0</v>
      </c>
      <c r="CK225">
        <v>0</v>
      </c>
      <c r="CL225">
        <v>0</v>
      </c>
      <c r="CM225">
        <v>2</v>
      </c>
      <c r="CN225">
        <v>0</v>
      </c>
      <c r="CO225">
        <v>7</v>
      </c>
      <c r="CP225" t="s">
        <v>121</v>
      </c>
      <c r="CQ225">
        <v>582</v>
      </c>
      <c r="CR225">
        <v>0</v>
      </c>
      <c r="CW225">
        <v>5509842</v>
      </c>
      <c r="CY225">
        <v>0</v>
      </c>
      <c r="CZ225">
        <v>0</v>
      </c>
      <c r="DA225">
        <v>0</v>
      </c>
      <c r="DB225">
        <v>1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</row>
    <row r="226" spans="1:113" x14ac:dyDescent="0.3">
      <c r="A226" t="str">
        <f>"06/16/2022 19:05:03.125"</f>
        <v>06/16/2022 19:05:03.125</v>
      </c>
      <c r="C226" t="str">
        <f t="shared" si="9"/>
        <v>FFBF5BC0</v>
      </c>
      <c r="D226" t="s">
        <v>113</v>
      </c>
      <c r="E226">
        <v>8</v>
      </c>
      <c r="H226">
        <v>206</v>
      </c>
      <c r="I226" t="s">
        <v>114</v>
      </c>
      <c r="J226" t="s">
        <v>115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>"19:05:02.914"</f>
        <v>19:05:02.914</v>
      </c>
      <c r="T226" t="str">
        <f>"19:05:02.914"</f>
        <v>19:05:02.914</v>
      </c>
      <c r="U226" t="str">
        <f t="shared" si="10"/>
        <v>AB63B2</v>
      </c>
      <c r="V226">
        <v>0</v>
      </c>
      <c r="W226">
        <v>0</v>
      </c>
      <c r="X226">
        <v>6</v>
      </c>
      <c r="Z226">
        <v>0</v>
      </c>
      <c r="AA226">
        <v>9</v>
      </c>
      <c r="AB226">
        <v>3</v>
      </c>
      <c r="AC226">
        <v>0</v>
      </c>
      <c r="AD226">
        <v>10</v>
      </c>
      <c r="AE226">
        <v>0</v>
      </c>
      <c r="AF226">
        <v>0</v>
      </c>
      <c r="AG226">
        <v>2</v>
      </c>
      <c r="AH226">
        <v>0</v>
      </c>
      <c r="AI226" t="s">
        <v>186</v>
      </c>
      <c r="AJ226">
        <v>41.989424</v>
      </c>
      <c r="AK226" t="s">
        <v>141</v>
      </c>
      <c r="AL226">
        <v>-87.894937999999996</v>
      </c>
      <c r="AS226">
        <v>1</v>
      </c>
      <c r="AT226" t="s">
        <v>118</v>
      </c>
      <c r="AU226" t="b">
        <v>1</v>
      </c>
      <c r="AV226">
        <v>182.81</v>
      </c>
      <c r="AW226">
        <v>0.125</v>
      </c>
      <c r="AX226">
        <v>1</v>
      </c>
      <c r="AZ226">
        <v>7205</v>
      </c>
      <c r="BA226">
        <v>1</v>
      </c>
      <c r="BB226" t="str">
        <f t="shared" si="11"/>
        <v xml:space="preserve">KAP400  </v>
      </c>
      <c r="BC226">
        <v>1</v>
      </c>
      <c r="BE226">
        <v>0</v>
      </c>
      <c r="BF226">
        <v>0</v>
      </c>
      <c r="BG226">
        <v>0</v>
      </c>
      <c r="BI226">
        <v>1</v>
      </c>
      <c r="BJ226">
        <v>1</v>
      </c>
      <c r="BK226">
        <v>1</v>
      </c>
      <c r="BL226">
        <v>0</v>
      </c>
      <c r="BO226">
        <v>0</v>
      </c>
      <c r="BP226">
        <v>0</v>
      </c>
      <c r="BW226" t="str">
        <f>"19:05:02.919"</f>
        <v>19:05:02.919</v>
      </c>
      <c r="BX226" t="s">
        <v>119</v>
      </c>
      <c r="BY226" t="s">
        <v>120</v>
      </c>
      <c r="CJ226">
        <v>0</v>
      </c>
      <c r="CK226">
        <v>0</v>
      </c>
      <c r="CL226">
        <v>0</v>
      </c>
      <c r="CM226">
        <v>2</v>
      </c>
      <c r="CN226">
        <v>0</v>
      </c>
      <c r="CO226">
        <v>7</v>
      </c>
      <c r="CP226" t="s">
        <v>121</v>
      </c>
      <c r="CQ226">
        <v>581</v>
      </c>
      <c r="CR226">
        <v>0</v>
      </c>
      <c r="CW226">
        <v>14543954</v>
      </c>
      <c r="CY226">
        <v>0</v>
      </c>
      <c r="CZ226">
        <v>0</v>
      </c>
      <c r="DA226">
        <v>0</v>
      </c>
      <c r="DB226">
        <v>1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</row>
    <row r="227" spans="1:113" x14ac:dyDescent="0.3">
      <c r="A227" t="str">
        <f>"06/16/2022 19:05:08.031"</f>
        <v>06/16/2022 19:05:08.031</v>
      </c>
      <c r="C227" t="str">
        <f t="shared" si="9"/>
        <v>FFBF5BC0</v>
      </c>
      <c r="D227" t="s">
        <v>113</v>
      </c>
      <c r="E227">
        <v>8</v>
      </c>
      <c r="H227">
        <v>206</v>
      </c>
      <c r="I227" t="s">
        <v>114</v>
      </c>
      <c r="J227" t="s">
        <v>115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>"19:05:07.781"</f>
        <v>19:05:07.781</v>
      </c>
      <c r="T227" t="str">
        <f>"19:05:07.781"</f>
        <v>19:05:07.781</v>
      </c>
      <c r="U227" t="str">
        <f t="shared" si="10"/>
        <v>AB63B2</v>
      </c>
      <c r="V227">
        <v>0</v>
      </c>
      <c r="W227">
        <v>0</v>
      </c>
      <c r="X227">
        <v>6</v>
      </c>
      <c r="Z227">
        <v>0</v>
      </c>
      <c r="AA227">
        <v>9</v>
      </c>
      <c r="AB227">
        <v>3</v>
      </c>
      <c r="AC227">
        <v>0</v>
      </c>
      <c r="AD227">
        <v>10</v>
      </c>
      <c r="AE227">
        <v>0</v>
      </c>
      <c r="AF227">
        <v>0</v>
      </c>
      <c r="AG227">
        <v>2</v>
      </c>
      <c r="AH227">
        <v>0</v>
      </c>
      <c r="AI227" t="s">
        <v>186</v>
      </c>
      <c r="AJ227">
        <v>41.989424</v>
      </c>
      <c r="AK227" t="s">
        <v>141</v>
      </c>
      <c r="AL227">
        <v>-87.894937999999996</v>
      </c>
      <c r="AS227">
        <v>1</v>
      </c>
      <c r="AT227" t="s">
        <v>118</v>
      </c>
      <c r="AU227" t="b">
        <v>1</v>
      </c>
      <c r="AV227">
        <v>182.81</v>
      </c>
      <c r="AW227">
        <v>0.125</v>
      </c>
      <c r="AX227">
        <v>1</v>
      </c>
      <c r="AZ227">
        <v>7205</v>
      </c>
      <c r="BA227">
        <v>1</v>
      </c>
      <c r="BB227" t="str">
        <f t="shared" si="11"/>
        <v xml:space="preserve">KAP400  </v>
      </c>
      <c r="BC227">
        <v>1</v>
      </c>
      <c r="BE227">
        <v>0</v>
      </c>
      <c r="BF227">
        <v>0</v>
      </c>
      <c r="BG227">
        <v>0</v>
      </c>
      <c r="BI227">
        <v>1</v>
      </c>
      <c r="BJ227">
        <v>1</v>
      </c>
      <c r="BK227">
        <v>1</v>
      </c>
      <c r="BL227">
        <v>0</v>
      </c>
      <c r="BO227">
        <v>0</v>
      </c>
      <c r="BP227">
        <v>0</v>
      </c>
      <c r="BW227" t="str">
        <f>"19:05:07.784"</f>
        <v>19:05:07.784</v>
      </c>
      <c r="BX227" t="s">
        <v>119</v>
      </c>
      <c r="BY227" t="s">
        <v>120</v>
      </c>
      <c r="CJ227">
        <v>0</v>
      </c>
      <c r="CK227">
        <v>0</v>
      </c>
      <c r="CL227">
        <v>0</v>
      </c>
      <c r="CM227">
        <v>2</v>
      </c>
      <c r="CN227">
        <v>0</v>
      </c>
      <c r="CO227">
        <v>7</v>
      </c>
      <c r="CP227" t="s">
        <v>121</v>
      </c>
      <c r="CQ227">
        <v>581</v>
      </c>
      <c r="CR227">
        <v>0</v>
      </c>
      <c r="CW227">
        <v>14552548</v>
      </c>
      <c r="CY227">
        <v>0</v>
      </c>
      <c r="CZ227">
        <v>0</v>
      </c>
      <c r="DA227">
        <v>0</v>
      </c>
      <c r="DB227">
        <v>1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</row>
    <row r="228" spans="1:113" x14ac:dyDescent="0.3">
      <c r="A228" t="str">
        <f>"06/16/2022 19:05:12.893"</f>
        <v>06/16/2022 19:05:12.893</v>
      </c>
      <c r="C228" t="str">
        <f t="shared" si="9"/>
        <v>FFBF5BC0</v>
      </c>
      <c r="D228" t="s">
        <v>113</v>
      </c>
      <c r="E228">
        <v>8</v>
      </c>
      <c r="H228">
        <v>206</v>
      </c>
      <c r="I228" t="s">
        <v>114</v>
      </c>
      <c r="J228" t="s">
        <v>115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>"19:05:12.617"</f>
        <v>19:05:12.617</v>
      </c>
      <c r="T228" t="str">
        <f>"19:05:12.617"</f>
        <v>19:05:12.617</v>
      </c>
      <c r="U228" t="str">
        <f t="shared" si="10"/>
        <v>AB63B2</v>
      </c>
      <c r="V228">
        <v>0</v>
      </c>
      <c r="W228">
        <v>0</v>
      </c>
      <c r="X228">
        <v>6</v>
      </c>
      <c r="Z228">
        <v>0</v>
      </c>
      <c r="AA228">
        <v>9</v>
      </c>
      <c r="AB228">
        <v>3</v>
      </c>
      <c r="AC228">
        <v>0</v>
      </c>
      <c r="AD228">
        <v>10</v>
      </c>
      <c r="AE228">
        <v>0</v>
      </c>
      <c r="AF228">
        <v>0</v>
      </c>
      <c r="AG228">
        <v>2</v>
      </c>
      <c r="AH228">
        <v>0</v>
      </c>
      <c r="AI228" t="s">
        <v>186</v>
      </c>
      <c r="AJ228">
        <v>41.989424</v>
      </c>
      <c r="AK228" t="s">
        <v>141</v>
      </c>
      <c r="AL228">
        <v>-87.894937999999996</v>
      </c>
      <c r="AS228">
        <v>1</v>
      </c>
      <c r="AT228" t="s">
        <v>118</v>
      </c>
      <c r="AU228" t="b">
        <v>1</v>
      </c>
      <c r="AV228">
        <v>182.81</v>
      </c>
      <c r="AW228">
        <v>0.125</v>
      </c>
      <c r="AX228">
        <v>1</v>
      </c>
      <c r="AZ228">
        <v>7205</v>
      </c>
      <c r="BA228">
        <v>1</v>
      </c>
      <c r="BB228" t="str">
        <f t="shared" si="11"/>
        <v xml:space="preserve">KAP400  </v>
      </c>
      <c r="BC228">
        <v>1</v>
      </c>
      <c r="BE228">
        <v>0</v>
      </c>
      <c r="BF228">
        <v>0</v>
      </c>
      <c r="BG228">
        <v>0</v>
      </c>
      <c r="BI228">
        <v>1</v>
      </c>
      <c r="BJ228">
        <v>1</v>
      </c>
      <c r="BK228">
        <v>1</v>
      </c>
      <c r="BL228">
        <v>0</v>
      </c>
      <c r="BO228">
        <v>0</v>
      </c>
      <c r="BP228">
        <v>0</v>
      </c>
      <c r="BW228" t="str">
        <f>"19:05:12.622"</f>
        <v>19:05:12.622</v>
      </c>
      <c r="BX228" t="s">
        <v>119</v>
      </c>
      <c r="BY228" t="s">
        <v>120</v>
      </c>
      <c r="CJ228">
        <v>0</v>
      </c>
      <c r="CK228">
        <v>0</v>
      </c>
      <c r="CL228">
        <v>0</v>
      </c>
      <c r="CM228">
        <v>2</v>
      </c>
      <c r="CN228">
        <v>0</v>
      </c>
      <c r="CO228">
        <v>7</v>
      </c>
      <c r="CP228" t="s">
        <v>121</v>
      </c>
      <c r="CQ228">
        <v>582</v>
      </c>
      <c r="CR228">
        <v>0</v>
      </c>
      <c r="CW228">
        <v>5534038</v>
      </c>
      <c r="CY228">
        <v>0</v>
      </c>
      <c r="CZ228">
        <v>0</v>
      </c>
      <c r="DA228">
        <v>0</v>
      </c>
      <c r="DB228">
        <v>1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</row>
    <row r="229" spans="1:113" x14ac:dyDescent="0.3">
      <c r="A229" t="str">
        <f>"06/16/2022 19:05:17.922"</f>
        <v>06/16/2022 19:05:17.922</v>
      </c>
      <c r="C229" t="str">
        <f t="shared" si="9"/>
        <v>FFBF5BC0</v>
      </c>
      <c r="D229" t="s">
        <v>113</v>
      </c>
      <c r="E229">
        <v>8</v>
      </c>
      <c r="H229">
        <v>206</v>
      </c>
      <c r="I229" t="s">
        <v>114</v>
      </c>
      <c r="J229" t="s">
        <v>115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>"19:05:17.703"</f>
        <v>19:05:17.703</v>
      </c>
      <c r="T229" t="str">
        <f>"19:05:17.703"</f>
        <v>19:05:17.703</v>
      </c>
      <c r="U229" t="str">
        <f t="shared" si="10"/>
        <v>AB63B2</v>
      </c>
      <c r="V229">
        <v>0</v>
      </c>
      <c r="W229">
        <v>0</v>
      </c>
      <c r="X229">
        <v>6</v>
      </c>
      <c r="Z229">
        <v>0</v>
      </c>
      <c r="AA229">
        <v>9</v>
      </c>
      <c r="AB229">
        <v>3</v>
      </c>
      <c r="AC229">
        <v>0</v>
      </c>
      <c r="AD229">
        <v>10</v>
      </c>
      <c r="AE229">
        <v>0</v>
      </c>
      <c r="AF229">
        <v>0</v>
      </c>
      <c r="AG229">
        <v>2</v>
      </c>
      <c r="AH229">
        <v>0</v>
      </c>
      <c r="AI229" t="s">
        <v>186</v>
      </c>
      <c r="AJ229">
        <v>41.989424</v>
      </c>
      <c r="AK229" t="s">
        <v>141</v>
      </c>
      <c r="AL229">
        <v>-87.894937999999996</v>
      </c>
      <c r="AS229">
        <v>1</v>
      </c>
      <c r="AT229" t="s">
        <v>118</v>
      </c>
      <c r="AU229" t="b">
        <v>1</v>
      </c>
      <c r="AV229">
        <v>182.81</v>
      </c>
      <c r="AW229">
        <v>0.125</v>
      </c>
      <c r="AX229">
        <v>1</v>
      </c>
      <c r="AZ229">
        <v>7205</v>
      </c>
      <c r="BA229">
        <v>1</v>
      </c>
      <c r="BB229" t="str">
        <f t="shared" si="11"/>
        <v xml:space="preserve">KAP400  </v>
      </c>
      <c r="BC229">
        <v>1</v>
      </c>
      <c r="BE229">
        <v>0</v>
      </c>
      <c r="BF229">
        <v>0</v>
      </c>
      <c r="BG229">
        <v>0</v>
      </c>
      <c r="BI229">
        <v>1</v>
      </c>
      <c r="BJ229">
        <v>1</v>
      </c>
      <c r="BK229">
        <v>1</v>
      </c>
      <c r="BL229">
        <v>0</v>
      </c>
      <c r="BO229">
        <v>0</v>
      </c>
      <c r="BP229">
        <v>0</v>
      </c>
      <c r="BW229" t="str">
        <f>"19:05:17.706"</f>
        <v>19:05:17.706</v>
      </c>
      <c r="BX229" t="s">
        <v>119</v>
      </c>
      <c r="BY229" t="s">
        <v>120</v>
      </c>
      <c r="CJ229">
        <v>0</v>
      </c>
      <c r="CK229">
        <v>0</v>
      </c>
      <c r="CL229">
        <v>0</v>
      </c>
      <c r="CM229">
        <v>2</v>
      </c>
      <c r="CN229">
        <v>0</v>
      </c>
      <c r="CO229">
        <v>7</v>
      </c>
      <c r="CP229" t="s">
        <v>121</v>
      </c>
      <c r="CQ229">
        <v>579</v>
      </c>
      <c r="CR229">
        <v>0</v>
      </c>
      <c r="CW229">
        <v>503234</v>
      </c>
      <c r="CY229">
        <v>0</v>
      </c>
      <c r="CZ229">
        <v>0</v>
      </c>
      <c r="DA229">
        <v>0</v>
      </c>
      <c r="DB229">
        <v>1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</row>
    <row r="230" spans="1:113" x14ac:dyDescent="0.3">
      <c r="A230" t="str">
        <f>"06/16/2022 19:05:22.734"</f>
        <v>06/16/2022 19:05:22.734</v>
      </c>
      <c r="C230" t="str">
        <f t="shared" si="9"/>
        <v>FFBF5BC0</v>
      </c>
      <c r="D230" t="s">
        <v>113</v>
      </c>
      <c r="E230">
        <v>8</v>
      </c>
      <c r="H230">
        <v>206</v>
      </c>
      <c r="I230" t="s">
        <v>114</v>
      </c>
      <c r="J230" t="s">
        <v>115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>"19:05:22.516"</f>
        <v>19:05:22.516</v>
      </c>
      <c r="T230" t="str">
        <f>"19:05:22.516"</f>
        <v>19:05:22.516</v>
      </c>
      <c r="U230" t="str">
        <f t="shared" si="10"/>
        <v>AB63B2</v>
      </c>
      <c r="V230">
        <v>0</v>
      </c>
      <c r="W230">
        <v>0</v>
      </c>
      <c r="X230">
        <v>6</v>
      </c>
      <c r="Z230">
        <v>0</v>
      </c>
      <c r="AA230">
        <v>9</v>
      </c>
      <c r="AB230">
        <v>3</v>
      </c>
      <c r="AC230">
        <v>0</v>
      </c>
      <c r="AD230">
        <v>10</v>
      </c>
      <c r="AE230">
        <v>0</v>
      </c>
      <c r="AF230">
        <v>0</v>
      </c>
      <c r="AG230">
        <v>2</v>
      </c>
      <c r="AH230">
        <v>0</v>
      </c>
      <c r="AI230" t="s">
        <v>186</v>
      </c>
      <c r="AJ230">
        <v>41.989424</v>
      </c>
      <c r="AK230" t="s">
        <v>141</v>
      </c>
      <c r="AL230">
        <v>-87.894937999999996</v>
      </c>
      <c r="AS230">
        <v>1</v>
      </c>
      <c r="AT230" t="s">
        <v>118</v>
      </c>
      <c r="AU230" t="b">
        <v>1</v>
      </c>
      <c r="AV230">
        <v>182.81</v>
      </c>
      <c r="AW230">
        <v>0.125</v>
      </c>
      <c r="AX230">
        <v>1</v>
      </c>
      <c r="AZ230">
        <v>7205</v>
      </c>
      <c r="BA230">
        <v>1</v>
      </c>
      <c r="BB230" t="str">
        <f t="shared" si="11"/>
        <v xml:space="preserve">KAP400  </v>
      </c>
      <c r="BC230">
        <v>1</v>
      </c>
      <c r="BE230">
        <v>0</v>
      </c>
      <c r="BF230">
        <v>0</v>
      </c>
      <c r="BG230">
        <v>0</v>
      </c>
      <c r="BI230">
        <v>1</v>
      </c>
      <c r="BJ230">
        <v>1</v>
      </c>
      <c r="BK230">
        <v>1</v>
      </c>
      <c r="BL230">
        <v>0</v>
      </c>
      <c r="BO230">
        <v>0</v>
      </c>
      <c r="BP230">
        <v>0</v>
      </c>
      <c r="BW230" t="str">
        <f>"19:05:22.520"</f>
        <v>19:05:22.520</v>
      </c>
      <c r="BX230" t="s">
        <v>119</v>
      </c>
      <c r="BY230" t="s">
        <v>120</v>
      </c>
      <c r="CJ230">
        <v>0</v>
      </c>
      <c r="CK230">
        <v>0</v>
      </c>
      <c r="CL230">
        <v>0</v>
      </c>
      <c r="CM230">
        <v>2</v>
      </c>
      <c r="CN230">
        <v>0</v>
      </c>
      <c r="CO230">
        <v>7</v>
      </c>
      <c r="CP230" t="s">
        <v>121</v>
      </c>
      <c r="CQ230">
        <v>582</v>
      </c>
      <c r="CR230">
        <v>0</v>
      </c>
      <c r="CW230">
        <v>5549966</v>
      </c>
      <c r="CY230">
        <v>0</v>
      </c>
      <c r="CZ230">
        <v>0</v>
      </c>
      <c r="DA230">
        <v>0</v>
      </c>
      <c r="DB230">
        <v>1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</row>
    <row r="231" spans="1:113" x14ac:dyDescent="0.3">
      <c r="A231" t="str">
        <f>"06/16/2022 19:05:27.906"</f>
        <v>06/16/2022 19:05:27.906</v>
      </c>
      <c r="C231" t="str">
        <f t="shared" si="9"/>
        <v>FFBF5BC0</v>
      </c>
      <c r="D231" t="s">
        <v>113</v>
      </c>
      <c r="E231">
        <v>8</v>
      </c>
      <c r="H231">
        <v>206</v>
      </c>
      <c r="I231" t="s">
        <v>114</v>
      </c>
      <c r="J231" t="s">
        <v>115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>"19:05:27.625"</f>
        <v>19:05:27.625</v>
      </c>
      <c r="T231" t="str">
        <f>"19:05:27.625"</f>
        <v>19:05:27.625</v>
      </c>
      <c r="U231" t="str">
        <f t="shared" si="10"/>
        <v>AB63B2</v>
      </c>
      <c r="V231">
        <v>0</v>
      </c>
      <c r="W231">
        <v>0</v>
      </c>
      <c r="X231">
        <v>6</v>
      </c>
      <c r="Z231">
        <v>0</v>
      </c>
      <c r="AA231">
        <v>9</v>
      </c>
      <c r="AB231">
        <v>3</v>
      </c>
      <c r="AC231">
        <v>0</v>
      </c>
      <c r="AD231">
        <v>10</v>
      </c>
      <c r="AE231">
        <v>0</v>
      </c>
      <c r="AF231">
        <v>0</v>
      </c>
      <c r="AG231">
        <v>2</v>
      </c>
      <c r="AH231">
        <v>0</v>
      </c>
      <c r="AI231" t="s">
        <v>186</v>
      </c>
      <c r="AJ231">
        <v>41.989424</v>
      </c>
      <c r="AK231" t="s">
        <v>141</v>
      </c>
      <c r="AL231">
        <v>-87.894937999999996</v>
      </c>
      <c r="AS231">
        <v>1</v>
      </c>
      <c r="AT231" t="s">
        <v>118</v>
      </c>
      <c r="AU231" t="b">
        <v>1</v>
      </c>
      <c r="AV231">
        <v>182.81</v>
      </c>
      <c r="AW231">
        <v>0.125</v>
      </c>
      <c r="AX231">
        <v>1</v>
      </c>
      <c r="AZ231">
        <v>7205</v>
      </c>
      <c r="BA231">
        <v>1</v>
      </c>
      <c r="BB231" t="str">
        <f t="shared" si="11"/>
        <v xml:space="preserve">KAP400  </v>
      </c>
      <c r="BC231">
        <v>1</v>
      </c>
      <c r="BE231">
        <v>0</v>
      </c>
      <c r="BF231">
        <v>0</v>
      </c>
      <c r="BG231">
        <v>0</v>
      </c>
      <c r="BI231">
        <v>1</v>
      </c>
      <c r="BJ231">
        <v>1</v>
      </c>
      <c r="BK231">
        <v>1</v>
      </c>
      <c r="BL231">
        <v>0</v>
      </c>
      <c r="BO231">
        <v>0</v>
      </c>
      <c r="BP231">
        <v>0</v>
      </c>
      <c r="BW231" t="str">
        <f>"19:05:27.632"</f>
        <v>19:05:27.632</v>
      </c>
      <c r="BX231" t="s">
        <v>119</v>
      </c>
      <c r="BY231" t="s">
        <v>120</v>
      </c>
      <c r="CJ231">
        <v>0</v>
      </c>
      <c r="CK231">
        <v>0</v>
      </c>
      <c r="CL231">
        <v>0</v>
      </c>
      <c r="CM231">
        <v>2</v>
      </c>
      <c r="CN231">
        <v>0</v>
      </c>
      <c r="CO231">
        <v>7</v>
      </c>
      <c r="CP231" t="s">
        <v>121</v>
      </c>
      <c r="CQ231">
        <v>579</v>
      </c>
      <c r="CR231">
        <v>0</v>
      </c>
      <c r="CW231">
        <v>524832</v>
      </c>
      <c r="CY231">
        <v>0</v>
      </c>
      <c r="CZ231">
        <v>0</v>
      </c>
      <c r="DA231">
        <v>0</v>
      </c>
      <c r="DB231">
        <v>1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</row>
    <row r="232" spans="1:113" x14ac:dyDescent="0.3">
      <c r="A232" t="str">
        <f>"06/16/2022 19:05:32.953"</f>
        <v>06/16/2022 19:05:32.953</v>
      </c>
      <c r="C232" t="str">
        <f t="shared" si="9"/>
        <v>FFBF5BC0</v>
      </c>
      <c r="D232" t="s">
        <v>113</v>
      </c>
      <c r="E232">
        <v>8</v>
      </c>
      <c r="H232">
        <v>206</v>
      </c>
      <c r="I232" t="s">
        <v>114</v>
      </c>
      <c r="J232" t="s">
        <v>115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>"19:05:32.711"</f>
        <v>19:05:32.711</v>
      </c>
      <c r="T232" t="str">
        <f>"19:05:32.711"</f>
        <v>19:05:32.711</v>
      </c>
      <c r="U232" t="str">
        <f t="shared" si="10"/>
        <v>AB63B2</v>
      </c>
      <c r="V232">
        <v>0</v>
      </c>
      <c r="W232">
        <v>0</v>
      </c>
      <c r="X232">
        <v>6</v>
      </c>
      <c r="Z232">
        <v>0</v>
      </c>
      <c r="AA232">
        <v>9</v>
      </c>
      <c r="AB232">
        <v>3</v>
      </c>
      <c r="AC232">
        <v>0</v>
      </c>
      <c r="AD232">
        <v>10</v>
      </c>
      <c r="AE232">
        <v>0</v>
      </c>
      <c r="AF232">
        <v>0</v>
      </c>
      <c r="AG232">
        <v>2</v>
      </c>
      <c r="AH232">
        <v>0</v>
      </c>
      <c r="AI232" t="s">
        <v>187</v>
      </c>
      <c r="AJ232">
        <v>41.989381000000002</v>
      </c>
      <c r="AK232" t="s">
        <v>141</v>
      </c>
      <c r="AL232">
        <v>-87.894937999999996</v>
      </c>
      <c r="AS232">
        <v>1</v>
      </c>
      <c r="AT232" t="s">
        <v>118</v>
      </c>
      <c r="AU232" t="b">
        <v>1</v>
      </c>
      <c r="AV232">
        <v>180</v>
      </c>
      <c r="AW232">
        <v>0.125</v>
      </c>
      <c r="AX232">
        <v>1</v>
      </c>
      <c r="AZ232">
        <v>7205</v>
      </c>
      <c r="BA232">
        <v>1</v>
      </c>
      <c r="BB232" t="str">
        <f t="shared" si="11"/>
        <v xml:space="preserve">KAP400  </v>
      </c>
      <c r="BC232">
        <v>1</v>
      </c>
      <c r="BE232">
        <v>0</v>
      </c>
      <c r="BF232">
        <v>0</v>
      </c>
      <c r="BG232">
        <v>0</v>
      </c>
      <c r="BI232">
        <v>1</v>
      </c>
      <c r="BJ232">
        <v>1</v>
      </c>
      <c r="BK232">
        <v>1</v>
      </c>
      <c r="BL232">
        <v>0</v>
      </c>
      <c r="BO232">
        <v>0</v>
      </c>
      <c r="BP232">
        <v>0</v>
      </c>
      <c r="BW232" t="str">
        <f>"19:05:32.712"</f>
        <v>19:05:32.712</v>
      </c>
      <c r="BX232" t="s">
        <v>119</v>
      </c>
      <c r="BY232" t="s">
        <v>120</v>
      </c>
      <c r="CJ232">
        <v>0</v>
      </c>
      <c r="CK232">
        <v>0</v>
      </c>
      <c r="CL232">
        <v>0</v>
      </c>
      <c r="CM232">
        <v>2</v>
      </c>
      <c r="CN232">
        <v>0</v>
      </c>
      <c r="CO232">
        <v>7</v>
      </c>
      <c r="CP232" t="s">
        <v>121</v>
      </c>
      <c r="CQ232">
        <v>581</v>
      </c>
      <c r="CR232">
        <v>0</v>
      </c>
      <c r="CW232">
        <v>14595971</v>
      </c>
      <c r="CY232">
        <v>0</v>
      </c>
      <c r="CZ232">
        <v>0</v>
      </c>
      <c r="DA232">
        <v>0</v>
      </c>
      <c r="DB232">
        <v>1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</row>
    <row r="233" spans="1:113" x14ac:dyDescent="0.3">
      <c r="A233" t="str">
        <f>"06/16/2022 19:05:36.486"</f>
        <v>06/16/2022 19:05:36.486</v>
      </c>
      <c r="C233" t="str">
        <f t="shared" si="9"/>
        <v>FFBF5BC0</v>
      </c>
      <c r="D233" t="s">
        <v>113</v>
      </c>
      <c r="E233">
        <v>8</v>
      </c>
      <c r="H233">
        <v>206</v>
      </c>
      <c r="I233" t="s">
        <v>114</v>
      </c>
      <c r="J233" t="s">
        <v>115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>"19:05:36.258"</f>
        <v>19:05:36.258</v>
      </c>
      <c r="T233" t="str">
        <f>"19:05:36.258"</f>
        <v>19:05:36.258</v>
      </c>
      <c r="U233" t="str">
        <f t="shared" si="10"/>
        <v>AB63B2</v>
      </c>
      <c r="V233">
        <v>0</v>
      </c>
      <c r="W233">
        <v>0</v>
      </c>
      <c r="X233">
        <v>6</v>
      </c>
      <c r="Z233">
        <v>0</v>
      </c>
      <c r="AA233">
        <v>9</v>
      </c>
      <c r="AB233">
        <v>3</v>
      </c>
      <c r="AC233">
        <v>0</v>
      </c>
      <c r="AD233">
        <v>10</v>
      </c>
      <c r="AE233">
        <v>0</v>
      </c>
      <c r="AF233">
        <v>0</v>
      </c>
      <c r="AG233">
        <v>2</v>
      </c>
      <c r="AH233">
        <v>0</v>
      </c>
      <c r="AI233" t="s">
        <v>188</v>
      </c>
      <c r="AJ233">
        <v>41.989294999999998</v>
      </c>
      <c r="AK233" t="s">
        <v>141</v>
      </c>
      <c r="AL233">
        <v>-87.894937999999996</v>
      </c>
      <c r="AS233">
        <v>1</v>
      </c>
      <c r="AT233" t="s">
        <v>118</v>
      </c>
      <c r="AU233" t="b">
        <v>1</v>
      </c>
      <c r="AV233">
        <v>180</v>
      </c>
      <c r="AW233">
        <v>7.625</v>
      </c>
      <c r="AX233">
        <v>1</v>
      </c>
      <c r="AZ233">
        <v>7205</v>
      </c>
      <c r="BA233">
        <v>1</v>
      </c>
      <c r="BB233" t="str">
        <f t="shared" si="11"/>
        <v xml:space="preserve">KAP400  </v>
      </c>
      <c r="BC233">
        <v>1</v>
      </c>
      <c r="BE233">
        <v>0</v>
      </c>
      <c r="BF233">
        <v>0</v>
      </c>
      <c r="BG233">
        <v>0</v>
      </c>
      <c r="BI233">
        <v>1</v>
      </c>
      <c r="BJ233">
        <v>1</v>
      </c>
      <c r="BK233">
        <v>1</v>
      </c>
      <c r="BL233">
        <v>0</v>
      </c>
      <c r="BO233">
        <v>0</v>
      </c>
      <c r="BP233">
        <v>0</v>
      </c>
      <c r="BW233" t="str">
        <f>"19:05:36.258"</f>
        <v>19:05:36.258</v>
      </c>
      <c r="BX233" t="s">
        <v>119</v>
      </c>
      <c r="BY233" t="s">
        <v>120</v>
      </c>
      <c r="CJ233">
        <v>0</v>
      </c>
      <c r="CK233">
        <v>0</v>
      </c>
      <c r="CL233">
        <v>0</v>
      </c>
      <c r="CM233">
        <v>2</v>
      </c>
      <c r="CN233">
        <v>0</v>
      </c>
      <c r="CO233">
        <v>7</v>
      </c>
      <c r="CP233" t="s">
        <v>121</v>
      </c>
      <c r="CQ233">
        <v>582</v>
      </c>
      <c r="CR233">
        <v>0</v>
      </c>
      <c r="CW233">
        <v>5571830</v>
      </c>
      <c r="CY233">
        <v>0</v>
      </c>
      <c r="CZ233">
        <v>0</v>
      </c>
      <c r="DA233">
        <v>0</v>
      </c>
      <c r="DB233">
        <v>1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</row>
    <row r="234" spans="1:113" x14ac:dyDescent="0.3">
      <c r="A234" t="str">
        <f>"06/16/2022 19:05:37.532"</f>
        <v>06/16/2022 19:05:37.532</v>
      </c>
      <c r="C234" t="str">
        <f t="shared" si="9"/>
        <v>FFBF5BC0</v>
      </c>
      <c r="D234" t="s">
        <v>113</v>
      </c>
      <c r="E234">
        <v>8</v>
      </c>
      <c r="H234">
        <v>206</v>
      </c>
      <c r="I234" t="s">
        <v>114</v>
      </c>
      <c r="J234" t="s">
        <v>115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>"19:05:37.234"</f>
        <v>19:05:37.234</v>
      </c>
      <c r="T234" t="str">
        <f>"19:05:37.234"</f>
        <v>19:05:37.234</v>
      </c>
      <c r="U234" t="str">
        <f t="shared" si="10"/>
        <v>AB63B2</v>
      </c>
      <c r="V234">
        <v>0</v>
      </c>
      <c r="W234">
        <v>0</v>
      </c>
      <c r="X234">
        <v>6</v>
      </c>
      <c r="Z234">
        <v>0</v>
      </c>
      <c r="AA234">
        <v>9</v>
      </c>
      <c r="AB234">
        <v>3</v>
      </c>
      <c r="AC234">
        <v>0</v>
      </c>
      <c r="AD234">
        <v>10</v>
      </c>
      <c r="AE234">
        <v>0</v>
      </c>
      <c r="AF234">
        <v>0</v>
      </c>
      <c r="AG234">
        <v>2</v>
      </c>
      <c r="AH234">
        <v>0</v>
      </c>
      <c r="AI234" t="s">
        <v>189</v>
      </c>
      <c r="AJ234">
        <v>41.989274000000002</v>
      </c>
      <c r="AK234" t="s">
        <v>141</v>
      </c>
      <c r="AL234">
        <v>-87.894937999999996</v>
      </c>
      <c r="AS234">
        <v>1</v>
      </c>
      <c r="AT234" t="s">
        <v>118</v>
      </c>
      <c r="AU234" t="b">
        <v>1</v>
      </c>
      <c r="AV234">
        <v>180</v>
      </c>
      <c r="AW234">
        <v>8.625</v>
      </c>
      <c r="AX234">
        <v>1</v>
      </c>
      <c r="AZ234">
        <v>7205</v>
      </c>
      <c r="BA234">
        <v>1</v>
      </c>
      <c r="BB234" t="str">
        <f t="shared" si="11"/>
        <v xml:space="preserve">KAP400  </v>
      </c>
      <c r="BC234">
        <v>1</v>
      </c>
      <c r="BE234">
        <v>0</v>
      </c>
      <c r="BF234">
        <v>0</v>
      </c>
      <c r="BG234">
        <v>0</v>
      </c>
      <c r="BI234">
        <v>1</v>
      </c>
      <c r="BJ234">
        <v>1</v>
      </c>
      <c r="BK234">
        <v>1</v>
      </c>
      <c r="BL234">
        <v>0</v>
      </c>
      <c r="BO234">
        <v>0</v>
      </c>
      <c r="BP234">
        <v>0</v>
      </c>
      <c r="BW234" t="str">
        <f>"19:05:37.236"</f>
        <v>19:05:37.236</v>
      </c>
      <c r="BX234" t="s">
        <v>119</v>
      </c>
      <c r="BY234" t="s">
        <v>120</v>
      </c>
      <c r="CJ234">
        <v>0</v>
      </c>
      <c r="CK234">
        <v>0</v>
      </c>
      <c r="CL234">
        <v>0</v>
      </c>
      <c r="CM234">
        <v>2</v>
      </c>
      <c r="CN234">
        <v>0</v>
      </c>
      <c r="CO234">
        <v>6</v>
      </c>
      <c r="CP234" t="s">
        <v>121</v>
      </c>
      <c r="CQ234">
        <v>581</v>
      </c>
      <c r="CR234">
        <v>0</v>
      </c>
      <c r="CW234">
        <v>14603787</v>
      </c>
      <c r="CY234">
        <v>0</v>
      </c>
      <c r="CZ234">
        <v>0</v>
      </c>
      <c r="DA234">
        <v>0</v>
      </c>
      <c r="DB234">
        <v>1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</row>
    <row r="235" spans="1:113" x14ac:dyDescent="0.3">
      <c r="A235" t="str">
        <f>"06/16/2022 19:05:38.610"</f>
        <v>06/16/2022 19:05:38.610</v>
      </c>
      <c r="C235" t="str">
        <f t="shared" si="9"/>
        <v>FFBF5BC0</v>
      </c>
      <c r="D235" t="s">
        <v>113</v>
      </c>
      <c r="E235">
        <v>8</v>
      </c>
      <c r="H235">
        <v>206</v>
      </c>
      <c r="I235" t="s">
        <v>114</v>
      </c>
      <c r="J235" t="s">
        <v>115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"19:05:38.336"</f>
        <v>19:05:38.336</v>
      </c>
      <c r="T235" t="str">
        <f>"19:05:38.336"</f>
        <v>19:05:38.336</v>
      </c>
      <c r="U235" t="str">
        <f t="shared" si="10"/>
        <v>AB63B2</v>
      </c>
      <c r="V235">
        <v>0</v>
      </c>
      <c r="W235">
        <v>0</v>
      </c>
      <c r="X235">
        <v>6</v>
      </c>
      <c r="Z235">
        <v>0</v>
      </c>
      <c r="AA235">
        <v>9</v>
      </c>
      <c r="AB235">
        <v>3</v>
      </c>
      <c r="AC235">
        <v>0</v>
      </c>
      <c r="AD235">
        <v>10</v>
      </c>
      <c r="AE235">
        <v>0</v>
      </c>
      <c r="AF235">
        <v>0</v>
      </c>
      <c r="AG235">
        <v>2</v>
      </c>
      <c r="AH235">
        <v>0</v>
      </c>
      <c r="AI235" t="s">
        <v>190</v>
      </c>
      <c r="AJ235">
        <v>41.98921</v>
      </c>
      <c r="AK235" t="s">
        <v>141</v>
      </c>
      <c r="AL235">
        <v>-87.894937999999996</v>
      </c>
      <c r="AS235">
        <v>1</v>
      </c>
      <c r="AT235" t="s">
        <v>118</v>
      </c>
      <c r="AU235" t="b">
        <v>1</v>
      </c>
      <c r="AV235">
        <v>180</v>
      </c>
      <c r="AW235">
        <v>9.625</v>
      </c>
      <c r="AX235">
        <v>1</v>
      </c>
      <c r="AZ235">
        <v>7205</v>
      </c>
      <c r="BA235">
        <v>1</v>
      </c>
      <c r="BB235" t="str">
        <f t="shared" si="11"/>
        <v xml:space="preserve">KAP400  </v>
      </c>
      <c r="BC235">
        <v>1</v>
      </c>
      <c r="BE235">
        <v>0</v>
      </c>
      <c r="BF235">
        <v>0</v>
      </c>
      <c r="BG235">
        <v>0</v>
      </c>
      <c r="BI235">
        <v>1</v>
      </c>
      <c r="BJ235">
        <v>1</v>
      </c>
      <c r="BK235">
        <v>1</v>
      </c>
      <c r="BL235">
        <v>0</v>
      </c>
      <c r="BO235">
        <v>0</v>
      </c>
      <c r="BP235">
        <v>0</v>
      </c>
      <c r="BW235" t="str">
        <f>"19:05:38.344"</f>
        <v>19:05:38.344</v>
      </c>
      <c r="BX235" t="s">
        <v>119</v>
      </c>
      <c r="BY235" t="s">
        <v>120</v>
      </c>
      <c r="CJ235">
        <v>0</v>
      </c>
      <c r="CK235">
        <v>0</v>
      </c>
      <c r="CL235">
        <v>0</v>
      </c>
      <c r="CM235">
        <v>2</v>
      </c>
      <c r="CN235">
        <v>0</v>
      </c>
      <c r="CO235">
        <v>7</v>
      </c>
      <c r="CP235" t="s">
        <v>121</v>
      </c>
      <c r="CQ235">
        <v>582</v>
      </c>
      <c r="CR235">
        <v>0</v>
      </c>
      <c r="CW235">
        <v>5575058</v>
      </c>
      <c r="CY235">
        <v>0</v>
      </c>
      <c r="CZ235">
        <v>0</v>
      </c>
      <c r="DA235">
        <v>0</v>
      </c>
      <c r="DB235">
        <v>1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</row>
    <row r="236" spans="1:113" x14ac:dyDescent="0.3">
      <c r="A236" t="str">
        <f>"06/16/2022 19:05:39.500"</f>
        <v>06/16/2022 19:05:39.500</v>
      </c>
      <c r="C236" t="str">
        <f t="shared" si="9"/>
        <v>FFBF5BC0</v>
      </c>
      <c r="D236" t="s">
        <v>113</v>
      </c>
      <c r="E236">
        <v>8</v>
      </c>
      <c r="H236">
        <v>206</v>
      </c>
      <c r="I236" t="s">
        <v>114</v>
      </c>
      <c r="J236" t="s">
        <v>115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"19:05:39.242"</f>
        <v>19:05:39.242</v>
      </c>
      <c r="T236" t="str">
        <f>"19:05:39.242"</f>
        <v>19:05:39.242</v>
      </c>
      <c r="U236" t="str">
        <f t="shared" si="10"/>
        <v>AB63B2</v>
      </c>
      <c r="V236">
        <v>0</v>
      </c>
      <c r="W236">
        <v>0</v>
      </c>
      <c r="X236">
        <v>6</v>
      </c>
      <c r="Z236">
        <v>0</v>
      </c>
      <c r="AA236">
        <v>9</v>
      </c>
      <c r="AB236">
        <v>3</v>
      </c>
      <c r="AC236">
        <v>0</v>
      </c>
      <c r="AD236">
        <v>10</v>
      </c>
      <c r="AE236">
        <v>0</v>
      </c>
      <c r="AF236">
        <v>0</v>
      </c>
      <c r="AG236">
        <v>2</v>
      </c>
      <c r="AH236">
        <v>0</v>
      </c>
      <c r="AI236" t="s">
        <v>191</v>
      </c>
      <c r="AJ236">
        <v>41.989167000000002</v>
      </c>
      <c r="AK236" t="s">
        <v>141</v>
      </c>
      <c r="AL236">
        <v>-87.894937999999996</v>
      </c>
      <c r="AS236">
        <v>1</v>
      </c>
      <c r="AT236" t="s">
        <v>118</v>
      </c>
      <c r="AU236" t="b">
        <v>1</v>
      </c>
      <c r="AV236">
        <v>180</v>
      </c>
      <c r="AW236">
        <v>10.625</v>
      </c>
      <c r="AX236">
        <v>1</v>
      </c>
      <c r="AZ236">
        <v>7205</v>
      </c>
      <c r="BA236">
        <v>1</v>
      </c>
      <c r="BB236" t="str">
        <f t="shared" si="11"/>
        <v xml:space="preserve">KAP400  </v>
      </c>
      <c r="BC236">
        <v>1</v>
      </c>
      <c r="BE236">
        <v>0</v>
      </c>
      <c r="BF236">
        <v>0</v>
      </c>
      <c r="BG236">
        <v>0</v>
      </c>
      <c r="BI236">
        <v>1</v>
      </c>
      <c r="BJ236">
        <v>1</v>
      </c>
      <c r="BK236">
        <v>1</v>
      </c>
      <c r="BL236">
        <v>0</v>
      </c>
      <c r="BO236">
        <v>0</v>
      </c>
      <c r="BP236">
        <v>0</v>
      </c>
      <c r="BW236" t="str">
        <f>"19:05:39.245"</f>
        <v>19:05:39.245</v>
      </c>
      <c r="BX236" t="s">
        <v>119</v>
      </c>
      <c r="BY236" t="s">
        <v>120</v>
      </c>
      <c r="CJ236">
        <v>0</v>
      </c>
      <c r="CK236">
        <v>0</v>
      </c>
      <c r="CL236">
        <v>0</v>
      </c>
      <c r="CM236">
        <v>2</v>
      </c>
      <c r="CN236">
        <v>0</v>
      </c>
      <c r="CO236">
        <v>7</v>
      </c>
      <c r="CP236" t="s">
        <v>121</v>
      </c>
      <c r="CQ236">
        <v>582</v>
      </c>
      <c r="CR236">
        <v>0</v>
      </c>
      <c r="CW236">
        <v>5576558</v>
      </c>
      <c r="CY236">
        <v>0</v>
      </c>
      <c r="CZ236">
        <v>0</v>
      </c>
      <c r="DA236">
        <v>0</v>
      </c>
      <c r="DB236">
        <v>1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</row>
    <row r="237" spans="1:113" x14ac:dyDescent="0.3">
      <c r="A237" t="str">
        <f>"06/16/2022 19:05:40.422"</f>
        <v>06/16/2022 19:05:40.422</v>
      </c>
      <c r="C237" t="str">
        <f t="shared" si="9"/>
        <v>FFBF5BC0</v>
      </c>
      <c r="D237" t="s">
        <v>113</v>
      </c>
      <c r="E237">
        <v>8</v>
      </c>
      <c r="H237">
        <v>206</v>
      </c>
      <c r="I237" t="s">
        <v>114</v>
      </c>
      <c r="J237" t="s">
        <v>115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"19:05:40.242"</f>
        <v>19:05:40.242</v>
      </c>
      <c r="T237" t="str">
        <f>"19:05:40.242"</f>
        <v>19:05:40.242</v>
      </c>
      <c r="U237" t="str">
        <f t="shared" si="10"/>
        <v>AB63B2</v>
      </c>
      <c r="V237">
        <v>0</v>
      </c>
      <c r="W237">
        <v>0</v>
      </c>
      <c r="X237">
        <v>6</v>
      </c>
      <c r="Z237">
        <v>0</v>
      </c>
      <c r="AA237">
        <v>9</v>
      </c>
      <c r="AB237">
        <v>3</v>
      </c>
      <c r="AC237">
        <v>0</v>
      </c>
      <c r="AD237">
        <v>10</v>
      </c>
      <c r="AE237">
        <v>0</v>
      </c>
      <c r="AF237">
        <v>0</v>
      </c>
      <c r="AG237">
        <v>2</v>
      </c>
      <c r="AH237">
        <v>0</v>
      </c>
      <c r="AI237" t="s">
        <v>192</v>
      </c>
      <c r="AJ237">
        <v>41.989123999999997</v>
      </c>
      <c r="AK237" t="s">
        <v>141</v>
      </c>
      <c r="AL237">
        <v>-87.894937999999996</v>
      </c>
      <c r="AS237">
        <v>1</v>
      </c>
      <c r="AT237" t="s">
        <v>118</v>
      </c>
      <c r="AU237" t="b">
        <v>1</v>
      </c>
      <c r="AV237">
        <v>180</v>
      </c>
      <c r="AW237">
        <v>11.625</v>
      </c>
      <c r="AX237">
        <v>1</v>
      </c>
      <c r="AZ237">
        <v>7205</v>
      </c>
      <c r="BA237">
        <v>1</v>
      </c>
      <c r="BB237" t="str">
        <f t="shared" si="11"/>
        <v xml:space="preserve">KAP400  </v>
      </c>
      <c r="BC237">
        <v>1</v>
      </c>
      <c r="BE237">
        <v>0</v>
      </c>
      <c r="BF237">
        <v>0</v>
      </c>
      <c r="BG237">
        <v>0</v>
      </c>
      <c r="BI237">
        <v>1</v>
      </c>
      <c r="BJ237">
        <v>1</v>
      </c>
      <c r="BK237">
        <v>1</v>
      </c>
      <c r="BL237">
        <v>0</v>
      </c>
      <c r="BO237">
        <v>0</v>
      </c>
      <c r="BP237">
        <v>0</v>
      </c>
      <c r="BW237" t="str">
        <f>"19:05:40.244"</f>
        <v>19:05:40.244</v>
      </c>
      <c r="BX237" t="s">
        <v>119</v>
      </c>
      <c r="BY237" t="s">
        <v>120</v>
      </c>
      <c r="CJ237">
        <v>0</v>
      </c>
      <c r="CK237">
        <v>0</v>
      </c>
      <c r="CL237">
        <v>0</v>
      </c>
      <c r="CM237">
        <v>2</v>
      </c>
      <c r="CN237">
        <v>0</v>
      </c>
      <c r="CO237">
        <v>7</v>
      </c>
      <c r="CP237" t="s">
        <v>121</v>
      </c>
      <c r="CQ237">
        <v>582</v>
      </c>
      <c r="CR237">
        <v>0</v>
      </c>
      <c r="CW237">
        <v>5578251</v>
      </c>
      <c r="CY237">
        <v>0</v>
      </c>
      <c r="CZ237">
        <v>0</v>
      </c>
      <c r="DA237">
        <v>0</v>
      </c>
      <c r="DB237">
        <v>1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</row>
    <row r="238" spans="1:113" x14ac:dyDescent="0.3">
      <c r="A238" t="str">
        <f>"06/16/2022 19:05:41.517"</f>
        <v>06/16/2022 19:05:41.517</v>
      </c>
      <c r="C238" t="str">
        <f t="shared" si="9"/>
        <v>FFBF5BC0</v>
      </c>
      <c r="D238" t="s">
        <v>113</v>
      </c>
      <c r="E238">
        <v>8</v>
      </c>
      <c r="H238">
        <v>206</v>
      </c>
      <c r="I238" t="s">
        <v>114</v>
      </c>
      <c r="J238" t="s">
        <v>115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"19:05:41.258"</f>
        <v>19:05:41.258</v>
      </c>
      <c r="T238" t="str">
        <f>"19:05:41.258"</f>
        <v>19:05:41.258</v>
      </c>
      <c r="U238" t="str">
        <f t="shared" si="10"/>
        <v>AB63B2</v>
      </c>
      <c r="V238">
        <v>0</v>
      </c>
      <c r="W238">
        <v>0</v>
      </c>
      <c r="X238">
        <v>6</v>
      </c>
      <c r="Z238">
        <v>0</v>
      </c>
      <c r="AA238">
        <v>9</v>
      </c>
      <c r="AB238">
        <v>3</v>
      </c>
      <c r="AC238">
        <v>0</v>
      </c>
      <c r="AD238">
        <v>10</v>
      </c>
      <c r="AE238">
        <v>0</v>
      </c>
      <c r="AF238">
        <v>0</v>
      </c>
      <c r="AG238">
        <v>2</v>
      </c>
      <c r="AH238">
        <v>0</v>
      </c>
      <c r="AI238" t="s">
        <v>193</v>
      </c>
      <c r="AJ238">
        <v>41.989080999999999</v>
      </c>
      <c r="AK238" t="s">
        <v>141</v>
      </c>
      <c r="AL238">
        <v>-87.894937999999996</v>
      </c>
      <c r="AS238">
        <v>1</v>
      </c>
      <c r="AT238" t="s">
        <v>118</v>
      </c>
      <c r="AU238" t="b">
        <v>1</v>
      </c>
      <c r="AV238">
        <v>180</v>
      </c>
      <c r="AW238">
        <v>12.125</v>
      </c>
      <c r="AX238">
        <v>1</v>
      </c>
      <c r="AZ238">
        <v>7205</v>
      </c>
      <c r="BA238">
        <v>1</v>
      </c>
      <c r="BB238" t="str">
        <f t="shared" si="11"/>
        <v xml:space="preserve">KAP400  </v>
      </c>
      <c r="BC238">
        <v>1</v>
      </c>
      <c r="BE238">
        <v>0</v>
      </c>
      <c r="BF238">
        <v>0</v>
      </c>
      <c r="BG238">
        <v>0</v>
      </c>
      <c r="BI238">
        <v>1</v>
      </c>
      <c r="BJ238">
        <v>1</v>
      </c>
      <c r="BK238">
        <v>1</v>
      </c>
      <c r="BL238">
        <v>0</v>
      </c>
      <c r="BO238">
        <v>0</v>
      </c>
      <c r="BP238">
        <v>0</v>
      </c>
      <c r="BW238" t="str">
        <f>"19:05:41.262"</f>
        <v>19:05:41.262</v>
      </c>
      <c r="BX238" t="s">
        <v>119</v>
      </c>
      <c r="BY238" t="s">
        <v>120</v>
      </c>
      <c r="CJ238">
        <v>0</v>
      </c>
      <c r="CK238">
        <v>0</v>
      </c>
      <c r="CL238">
        <v>0</v>
      </c>
      <c r="CM238">
        <v>2</v>
      </c>
      <c r="CN238">
        <v>0</v>
      </c>
      <c r="CO238">
        <v>7</v>
      </c>
      <c r="CP238" t="s">
        <v>121</v>
      </c>
      <c r="CQ238">
        <v>582</v>
      </c>
      <c r="CR238">
        <v>0</v>
      </c>
      <c r="CW238">
        <v>5579806</v>
      </c>
      <c r="CY238">
        <v>0</v>
      </c>
      <c r="CZ238">
        <v>0</v>
      </c>
      <c r="DA238">
        <v>0</v>
      </c>
      <c r="DB238">
        <v>1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</row>
    <row r="239" spans="1:113" x14ac:dyDescent="0.3">
      <c r="A239" t="str">
        <f>"06/16/2022 19:05:42.577"</f>
        <v>06/16/2022 19:05:42.577</v>
      </c>
      <c r="C239" t="str">
        <f t="shared" si="9"/>
        <v>FFBF5BC0</v>
      </c>
      <c r="D239" t="s">
        <v>113</v>
      </c>
      <c r="E239">
        <v>8</v>
      </c>
      <c r="H239">
        <v>206</v>
      </c>
      <c r="I239" t="s">
        <v>114</v>
      </c>
      <c r="J239" t="s">
        <v>115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"19:05:42.344"</f>
        <v>19:05:42.344</v>
      </c>
      <c r="T239" t="str">
        <f>"19:05:42.344"</f>
        <v>19:05:42.344</v>
      </c>
      <c r="U239" t="str">
        <f t="shared" si="10"/>
        <v>AB63B2</v>
      </c>
      <c r="V239">
        <v>0</v>
      </c>
      <c r="W239">
        <v>0</v>
      </c>
      <c r="X239">
        <v>6</v>
      </c>
      <c r="Z239">
        <v>0</v>
      </c>
      <c r="AA239">
        <v>9</v>
      </c>
      <c r="AB239">
        <v>3</v>
      </c>
      <c r="AC239">
        <v>0</v>
      </c>
      <c r="AD239">
        <v>10</v>
      </c>
      <c r="AE239">
        <v>0</v>
      </c>
      <c r="AF239">
        <v>0</v>
      </c>
      <c r="AG239">
        <v>2</v>
      </c>
      <c r="AH239">
        <v>0</v>
      </c>
      <c r="AI239" t="s">
        <v>194</v>
      </c>
      <c r="AJ239">
        <v>41.989016999999997</v>
      </c>
      <c r="AK239" t="s">
        <v>141</v>
      </c>
      <c r="AL239">
        <v>-87.894937999999996</v>
      </c>
      <c r="AS239">
        <v>1</v>
      </c>
      <c r="AT239" t="s">
        <v>118</v>
      </c>
      <c r="AU239" t="b">
        <v>1</v>
      </c>
      <c r="AV239">
        <v>180</v>
      </c>
      <c r="AW239">
        <v>13.125</v>
      </c>
      <c r="AX239">
        <v>1</v>
      </c>
      <c r="AZ239">
        <v>7205</v>
      </c>
      <c r="BA239">
        <v>1</v>
      </c>
      <c r="BB239" t="str">
        <f t="shared" si="11"/>
        <v xml:space="preserve">KAP400  </v>
      </c>
      <c r="BC239">
        <v>1</v>
      </c>
      <c r="BE239">
        <v>0</v>
      </c>
      <c r="BF239">
        <v>0</v>
      </c>
      <c r="BG239">
        <v>0</v>
      </c>
      <c r="BI239">
        <v>1</v>
      </c>
      <c r="BJ239">
        <v>1</v>
      </c>
      <c r="BK239">
        <v>1</v>
      </c>
      <c r="BL239">
        <v>0</v>
      </c>
      <c r="BO239">
        <v>0</v>
      </c>
      <c r="BP239">
        <v>0</v>
      </c>
      <c r="BW239" t="str">
        <f>"19:05:42.345"</f>
        <v>19:05:42.345</v>
      </c>
      <c r="BX239" t="s">
        <v>119</v>
      </c>
      <c r="BY239" t="s">
        <v>120</v>
      </c>
      <c r="CJ239">
        <v>0</v>
      </c>
      <c r="CK239">
        <v>0</v>
      </c>
      <c r="CL239">
        <v>0</v>
      </c>
      <c r="CM239">
        <v>2</v>
      </c>
      <c r="CN239">
        <v>0</v>
      </c>
      <c r="CO239">
        <v>7</v>
      </c>
      <c r="CP239" t="s">
        <v>121</v>
      </c>
      <c r="CQ239">
        <v>581</v>
      </c>
      <c r="CR239">
        <v>0</v>
      </c>
      <c r="CW239">
        <v>14612367</v>
      </c>
      <c r="CY239">
        <v>0</v>
      </c>
      <c r="CZ239">
        <v>0</v>
      </c>
      <c r="DA239">
        <v>0</v>
      </c>
      <c r="DB239">
        <v>1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</row>
    <row r="240" spans="1:113" x14ac:dyDescent="0.3">
      <c r="A240" t="str">
        <f>"06/16/2022 19:05:43.874"</f>
        <v>06/16/2022 19:05:43.874</v>
      </c>
      <c r="C240" t="str">
        <f t="shared" si="9"/>
        <v>FFBF5BC0</v>
      </c>
      <c r="D240" t="s">
        <v>113</v>
      </c>
      <c r="E240">
        <v>8</v>
      </c>
      <c r="H240">
        <v>206</v>
      </c>
      <c r="I240" t="s">
        <v>114</v>
      </c>
      <c r="J240" t="s">
        <v>115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"19:05:43.617"</f>
        <v>19:05:43.617</v>
      </c>
      <c r="T240" t="str">
        <f>"19:05:43.617"</f>
        <v>19:05:43.617</v>
      </c>
      <c r="U240" t="str">
        <f t="shared" si="10"/>
        <v>AB63B2</v>
      </c>
      <c r="V240">
        <v>0</v>
      </c>
      <c r="W240">
        <v>0</v>
      </c>
      <c r="X240">
        <v>6</v>
      </c>
      <c r="Z240">
        <v>0</v>
      </c>
      <c r="AA240">
        <v>9</v>
      </c>
      <c r="AB240">
        <v>3</v>
      </c>
      <c r="AC240">
        <v>0</v>
      </c>
      <c r="AD240">
        <v>10</v>
      </c>
      <c r="AE240">
        <v>0</v>
      </c>
      <c r="AF240">
        <v>0</v>
      </c>
      <c r="AG240">
        <v>2</v>
      </c>
      <c r="AH240">
        <v>0</v>
      </c>
      <c r="AI240" t="s">
        <v>195</v>
      </c>
      <c r="AJ240">
        <v>41.988931000000001</v>
      </c>
      <c r="AK240" t="s">
        <v>141</v>
      </c>
      <c r="AL240">
        <v>-87.894937999999996</v>
      </c>
      <c r="AS240">
        <v>1</v>
      </c>
      <c r="AT240" t="s">
        <v>118</v>
      </c>
      <c r="AU240" t="b">
        <v>1</v>
      </c>
      <c r="AV240">
        <v>180</v>
      </c>
      <c r="AW240">
        <v>14.125</v>
      </c>
      <c r="AX240">
        <v>1</v>
      </c>
      <c r="AZ240">
        <v>7205</v>
      </c>
      <c r="BA240">
        <v>1</v>
      </c>
      <c r="BB240" t="str">
        <f t="shared" si="11"/>
        <v xml:space="preserve">KAP400  </v>
      </c>
      <c r="BC240">
        <v>1</v>
      </c>
      <c r="BE240">
        <v>0</v>
      </c>
      <c r="BF240">
        <v>0</v>
      </c>
      <c r="BG240">
        <v>0</v>
      </c>
      <c r="BI240">
        <v>1</v>
      </c>
      <c r="BJ240">
        <v>1</v>
      </c>
      <c r="BK240">
        <v>1</v>
      </c>
      <c r="BL240">
        <v>0</v>
      </c>
      <c r="BO240">
        <v>0</v>
      </c>
      <c r="BP240">
        <v>0</v>
      </c>
      <c r="BW240" t="str">
        <f>"19:05:43.621"</f>
        <v>19:05:43.621</v>
      </c>
      <c r="BX240" t="s">
        <v>119</v>
      </c>
      <c r="BY240" t="s">
        <v>120</v>
      </c>
      <c r="CJ240">
        <v>0</v>
      </c>
      <c r="CK240">
        <v>0</v>
      </c>
      <c r="CL240">
        <v>0</v>
      </c>
      <c r="CM240">
        <v>2</v>
      </c>
      <c r="CN240">
        <v>0</v>
      </c>
      <c r="CO240">
        <v>7</v>
      </c>
      <c r="CP240" t="s">
        <v>121</v>
      </c>
      <c r="CQ240">
        <v>581</v>
      </c>
      <c r="CR240">
        <v>0</v>
      </c>
      <c r="CW240">
        <v>14614547</v>
      </c>
      <c r="CY240">
        <v>0</v>
      </c>
      <c r="CZ240">
        <v>0</v>
      </c>
      <c r="DA240">
        <v>0</v>
      </c>
      <c r="DB240">
        <v>1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</row>
    <row r="241" spans="1:113" x14ac:dyDescent="0.3">
      <c r="A241" t="str">
        <f>"06/16/2022 19:05:44.859"</f>
        <v>06/16/2022 19:05:44.859</v>
      </c>
      <c r="C241" t="str">
        <f t="shared" si="9"/>
        <v>FFBF5BC0</v>
      </c>
      <c r="D241" t="s">
        <v>113</v>
      </c>
      <c r="E241">
        <v>8</v>
      </c>
      <c r="H241">
        <v>206</v>
      </c>
      <c r="I241" t="s">
        <v>114</v>
      </c>
      <c r="J241" t="s">
        <v>115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"19:05:44.594"</f>
        <v>19:05:44.594</v>
      </c>
      <c r="T241" t="str">
        <f>"19:05:44.594"</f>
        <v>19:05:44.594</v>
      </c>
      <c r="U241" t="str">
        <f t="shared" si="10"/>
        <v>AB63B2</v>
      </c>
      <c r="V241">
        <v>0</v>
      </c>
      <c r="W241">
        <v>0</v>
      </c>
      <c r="X241">
        <v>6</v>
      </c>
      <c r="Z241">
        <v>0</v>
      </c>
      <c r="AA241">
        <v>9</v>
      </c>
      <c r="AB241">
        <v>3</v>
      </c>
      <c r="AC241">
        <v>0</v>
      </c>
      <c r="AD241">
        <v>10</v>
      </c>
      <c r="AE241">
        <v>0</v>
      </c>
      <c r="AF241">
        <v>0</v>
      </c>
      <c r="AG241">
        <v>2</v>
      </c>
      <c r="AH241">
        <v>0</v>
      </c>
      <c r="AI241" t="s">
        <v>196</v>
      </c>
      <c r="AJ241">
        <v>41.988866000000002</v>
      </c>
      <c r="AK241" t="s">
        <v>141</v>
      </c>
      <c r="AL241">
        <v>-87.894937999999996</v>
      </c>
      <c r="AS241">
        <v>1</v>
      </c>
      <c r="AT241" t="s">
        <v>118</v>
      </c>
      <c r="AU241" t="b">
        <v>1</v>
      </c>
      <c r="AV241">
        <v>180</v>
      </c>
      <c r="AW241">
        <v>15.125</v>
      </c>
      <c r="AX241">
        <v>1</v>
      </c>
      <c r="AZ241">
        <v>7205</v>
      </c>
      <c r="BA241">
        <v>1</v>
      </c>
      <c r="BB241" t="str">
        <f t="shared" si="11"/>
        <v xml:space="preserve">KAP400  </v>
      </c>
      <c r="BC241">
        <v>1</v>
      </c>
      <c r="BE241">
        <v>0</v>
      </c>
      <c r="BF241">
        <v>0</v>
      </c>
      <c r="BG241">
        <v>0</v>
      </c>
      <c r="BI241">
        <v>1</v>
      </c>
      <c r="BJ241">
        <v>1</v>
      </c>
      <c r="BK241">
        <v>1</v>
      </c>
      <c r="BL241">
        <v>0</v>
      </c>
      <c r="BO241">
        <v>0</v>
      </c>
      <c r="BP241">
        <v>0</v>
      </c>
      <c r="BW241" t="str">
        <f>"19:05:44.597"</f>
        <v>19:05:44.597</v>
      </c>
      <c r="BX241" t="s">
        <v>119</v>
      </c>
      <c r="BY241" t="s">
        <v>120</v>
      </c>
      <c r="CJ241">
        <v>0</v>
      </c>
      <c r="CK241">
        <v>0</v>
      </c>
      <c r="CL241">
        <v>0</v>
      </c>
      <c r="CM241">
        <v>2</v>
      </c>
      <c r="CN241">
        <v>0</v>
      </c>
      <c r="CO241">
        <v>7</v>
      </c>
      <c r="CP241" t="s">
        <v>121</v>
      </c>
      <c r="CQ241">
        <v>582</v>
      </c>
      <c r="CR241">
        <v>0</v>
      </c>
      <c r="CW241">
        <v>5585257</v>
      </c>
      <c r="CY241">
        <v>0</v>
      </c>
      <c r="CZ241">
        <v>0</v>
      </c>
      <c r="DA241">
        <v>0</v>
      </c>
      <c r="DB241">
        <v>1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</row>
    <row r="242" spans="1:113" x14ac:dyDescent="0.3">
      <c r="A242" t="str">
        <f>"06/16/2022 19:05:46.391"</f>
        <v>06/16/2022 19:05:46.391</v>
      </c>
      <c r="C242" t="str">
        <f t="shared" si="9"/>
        <v>FFBF5BC0</v>
      </c>
      <c r="D242" t="s">
        <v>113</v>
      </c>
      <c r="E242">
        <v>8</v>
      </c>
      <c r="H242">
        <v>206</v>
      </c>
      <c r="I242" t="s">
        <v>114</v>
      </c>
      <c r="J242" t="s">
        <v>115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"19:05:46.117"</f>
        <v>19:05:46.117</v>
      </c>
      <c r="T242" t="str">
        <f>"19:05:46.117"</f>
        <v>19:05:46.117</v>
      </c>
      <c r="U242" t="str">
        <f t="shared" si="10"/>
        <v>AB63B2</v>
      </c>
      <c r="V242">
        <v>0</v>
      </c>
      <c r="W242">
        <v>0</v>
      </c>
      <c r="X242">
        <v>6</v>
      </c>
      <c r="Z242">
        <v>0</v>
      </c>
      <c r="AA242">
        <v>9</v>
      </c>
      <c r="AB242">
        <v>3</v>
      </c>
      <c r="AC242">
        <v>0</v>
      </c>
      <c r="AD242">
        <v>10</v>
      </c>
      <c r="AE242">
        <v>0</v>
      </c>
      <c r="AF242">
        <v>0</v>
      </c>
      <c r="AG242">
        <v>2</v>
      </c>
      <c r="AH242">
        <v>0</v>
      </c>
      <c r="AI242" t="s">
        <v>197</v>
      </c>
      <c r="AJ242">
        <v>41.988759000000002</v>
      </c>
      <c r="AK242" t="s">
        <v>141</v>
      </c>
      <c r="AL242">
        <v>-87.894937999999996</v>
      </c>
      <c r="AS242">
        <v>1</v>
      </c>
      <c r="AT242" t="s">
        <v>118</v>
      </c>
      <c r="AU242" t="b">
        <v>1</v>
      </c>
      <c r="AV242">
        <v>180</v>
      </c>
      <c r="AW242">
        <v>16.125</v>
      </c>
      <c r="AX242">
        <v>1</v>
      </c>
      <c r="AZ242">
        <v>7205</v>
      </c>
      <c r="BA242">
        <v>1</v>
      </c>
      <c r="BB242" t="str">
        <f t="shared" si="11"/>
        <v xml:space="preserve">KAP400  </v>
      </c>
      <c r="BC242">
        <v>1</v>
      </c>
      <c r="BE242">
        <v>0</v>
      </c>
      <c r="BF242">
        <v>0</v>
      </c>
      <c r="BG242">
        <v>0</v>
      </c>
      <c r="BI242">
        <v>1</v>
      </c>
      <c r="BJ242">
        <v>1</v>
      </c>
      <c r="BK242">
        <v>1</v>
      </c>
      <c r="BL242">
        <v>0</v>
      </c>
      <c r="BO242">
        <v>0</v>
      </c>
      <c r="BP242">
        <v>0</v>
      </c>
      <c r="BW242" t="str">
        <f>"19:05:46.120"</f>
        <v>19:05:46.120</v>
      </c>
      <c r="BX242" t="s">
        <v>119</v>
      </c>
      <c r="BY242" t="s">
        <v>120</v>
      </c>
      <c r="CJ242">
        <v>0</v>
      </c>
      <c r="CK242">
        <v>0</v>
      </c>
      <c r="CL242">
        <v>0</v>
      </c>
      <c r="CM242">
        <v>2</v>
      </c>
      <c r="CN242">
        <v>0</v>
      </c>
      <c r="CO242">
        <v>7</v>
      </c>
      <c r="CP242" t="s">
        <v>121</v>
      </c>
      <c r="CQ242">
        <v>581</v>
      </c>
      <c r="CR242">
        <v>0</v>
      </c>
      <c r="CW242">
        <v>14618918</v>
      </c>
      <c r="CY242">
        <v>0</v>
      </c>
      <c r="CZ242">
        <v>0</v>
      </c>
      <c r="DA242">
        <v>0</v>
      </c>
      <c r="DB242">
        <v>1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</row>
    <row r="243" spans="1:113" x14ac:dyDescent="0.3">
      <c r="A243" t="str">
        <f>"06/16/2022 19:05:47.235"</f>
        <v>06/16/2022 19:05:47.235</v>
      </c>
      <c r="C243" t="str">
        <f t="shared" si="9"/>
        <v>FFBF5BC0</v>
      </c>
      <c r="D243" t="s">
        <v>113</v>
      </c>
      <c r="E243">
        <v>8</v>
      </c>
      <c r="H243">
        <v>206</v>
      </c>
      <c r="I243" t="s">
        <v>114</v>
      </c>
      <c r="J243" t="s">
        <v>115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"19:05:47.070"</f>
        <v>19:05:47.070</v>
      </c>
      <c r="T243" t="str">
        <f>"19:05:47.070"</f>
        <v>19:05:47.070</v>
      </c>
      <c r="U243" t="str">
        <f t="shared" si="10"/>
        <v>AB63B2</v>
      </c>
      <c r="V243">
        <v>0</v>
      </c>
      <c r="W243">
        <v>0</v>
      </c>
      <c r="X243">
        <v>6</v>
      </c>
      <c r="Z243">
        <v>0</v>
      </c>
      <c r="AA243">
        <v>9</v>
      </c>
      <c r="AB243">
        <v>3</v>
      </c>
      <c r="AC243">
        <v>0</v>
      </c>
      <c r="AD243">
        <v>10</v>
      </c>
      <c r="AE243">
        <v>0</v>
      </c>
      <c r="AF243">
        <v>0</v>
      </c>
      <c r="AG243">
        <v>2</v>
      </c>
      <c r="AH243">
        <v>0</v>
      </c>
      <c r="AI243" t="s">
        <v>198</v>
      </c>
      <c r="AJ243">
        <v>41.988672999999999</v>
      </c>
      <c r="AK243" t="s">
        <v>141</v>
      </c>
      <c r="AL243">
        <v>-87.894937999999996</v>
      </c>
      <c r="AS243">
        <v>1</v>
      </c>
      <c r="AT243" t="s">
        <v>118</v>
      </c>
      <c r="AU243" t="b">
        <v>1</v>
      </c>
      <c r="AV243">
        <v>180</v>
      </c>
      <c r="AW243">
        <v>17.125</v>
      </c>
      <c r="AX243">
        <v>1</v>
      </c>
      <c r="AZ243">
        <v>7205</v>
      </c>
      <c r="BA243">
        <v>1</v>
      </c>
      <c r="BB243" t="str">
        <f t="shared" si="11"/>
        <v xml:space="preserve">KAP400  </v>
      </c>
      <c r="BC243">
        <v>1</v>
      </c>
      <c r="BE243">
        <v>0</v>
      </c>
      <c r="BF243">
        <v>0</v>
      </c>
      <c r="BG243">
        <v>0</v>
      </c>
      <c r="BI243">
        <v>1</v>
      </c>
      <c r="BJ243">
        <v>1</v>
      </c>
      <c r="BK243">
        <v>1</v>
      </c>
      <c r="BL243">
        <v>0</v>
      </c>
      <c r="BO243">
        <v>0</v>
      </c>
      <c r="BP243">
        <v>0</v>
      </c>
      <c r="BW243" t="str">
        <f>"19:05:47.072"</f>
        <v>19:05:47.072</v>
      </c>
      <c r="BX243" t="s">
        <v>119</v>
      </c>
      <c r="BY243" t="s">
        <v>120</v>
      </c>
      <c r="CJ243">
        <v>0</v>
      </c>
      <c r="CK243">
        <v>0</v>
      </c>
      <c r="CL243">
        <v>0</v>
      </c>
      <c r="CM243">
        <v>2</v>
      </c>
      <c r="CN243">
        <v>0</v>
      </c>
      <c r="CO243">
        <v>7</v>
      </c>
      <c r="CP243" t="s">
        <v>121</v>
      </c>
      <c r="CQ243">
        <v>581</v>
      </c>
      <c r="CR243">
        <v>0</v>
      </c>
      <c r="CW243">
        <v>14620543</v>
      </c>
      <c r="CY243">
        <v>0</v>
      </c>
      <c r="CZ243">
        <v>0</v>
      </c>
      <c r="DA243">
        <v>0</v>
      </c>
      <c r="DB243">
        <v>1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</row>
    <row r="244" spans="1:113" x14ac:dyDescent="0.3">
      <c r="A244" t="str">
        <f>"06/16/2022 19:05:48.485"</f>
        <v>06/16/2022 19:05:48.485</v>
      </c>
      <c r="C244" t="str">
        <f t="shared" si="9"/>
        <v>FFBF5BC0</v>
      </c>
      <c r="D244" t="s">
        <v>113</v>
      </c>
      <c r="E244">
        <v>8</v>
      </c>
      <c r="H244">
        <v>206</v>
      </c>
      <c r="I244" t="s">
        <v>114</v>
      </c>
      <c r="J244" t="s">
        <v>115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"19:05:48.125"</f>
        <v>19:05:48.125</v>
      </c>
      <c r="T244" t="str">
        <f>"19:05:48.125"</f>
        <v>19:05:48.125</v>
      </c>
      <c r="U244" t="str">
        <f t="shared" si="10"/>
        <v>AB63B2</v>
      </c>
      <c r="V244">
        <v>0</v>
      </c>
      <c r="W244">
        <v>0</v>
      </c>
      <c r="X244">
        <v>6</v>
      </c>
      <c r="Z244">
        <v>0</v>
      </c>
      <c r="AA244">
        <v>9</v>
      </c>
      <c r="AB244">
        <v>3</v>
      </c>
      <c r="AC244">
        <v>0</v>
      </c>
      <c r="AD244">
        <v>10</v>
      </c>
      <c r="AE244">
        <v>0</v>
      </c>
      <c r="AF244">
        <v>0</v>
      </c>
      <c r="AG244">
        <v>2</v>
      </c>
      <c r="AH244">
        <v>0</v>
      </c>
      <c r="AI244" t="s">
        <v>199</v>
      </c>
      <c r="AJ244">
        <v>41.988608999999997</v>
      </c>
      <c r="AK244" t="s">
        <v>141</v>
      </c>
      <c r="AL244">
        <v>-87.894937999999996</v>
      </c>
      <c r="AS244">
        <v>1</v>
      </c>
      <c r="AT244" t="s">
        <v>118</v>
      </c>
      <c r="AU244" t="b">
        <v>1</v>
      </c>
      <c r="AV244">
        <v>180</v>
      </c>
      <c r="AW244">
        <v>18.125</v>
      </c>
      <c r="AX244">
        <v>1</v>
      </c>
      <c r="AZ244">
        <v>7205</v>
      </c>
      <c r="BA244">
        <v>1</v>
      </c>
      <c r="BB244" t="str">
        <f t="shared" si="11"/>
        <v xml:space="preserve">KAP400  </v>
      </c>
      <c r="BC244">
        <v>1</v>
      </c>
      <c r="BE244">
        <v>0</v>
      </c>
      <c r="BF244">
        <v>0</v>
      </c>
      <c r="BG244">
        <v>0</v>
      </c>
      <c r="BI244">
        <v>1</v>
      </c>
      <c r="BJ244">
        <v>1</v>
      </c>
      <c r="BK244">
        <v>1</v>
      </c>
      <c r="BL244">
        <v>0</v>
      </c>
      <c r="BO244">
        <v>0</v>
      </c>
      <c r="BP244">
        <v>0</v>
      </c>
      <c r="BW244" t="str">
        <f>"19:05:48.132"</f>
        <v>19:05:48.132</v>
      </c>
      <c r="BX244" t="s">
        <v>119</v>
      </c>
      <c r="BY244" t="s">
        <v>120</v>
      </c>
      <c r="CJ244">
        <v>0</v>
      </c>
      <c r="CK244">
        <v>0</v>
      </c>
      <c r="CL244">
        <v>0</v>
      </c>
      <c r="CM244">
        <v>2</v>
      </c>
      <c r="CN244">
        <v>0</v>
      </c>
      <c r="CO244">
        <v>7</v>
      </c>
      <c r="CP244" t="s">
        <v>121</v>
      </c>
      <c r="CQ244">
        <v>582</v>
      </c>
      <c r="CR244">
        <v>0</v>
      </c>
      <c r="CW244">
        <v>5590829</v>
      </c>
      <c r="CY244">
        <v>0</v>
      </c>
      <c r="CZ244">
        <v>0</v>
      </c>
      <c r="DA244">
        <v>0</v>
      </c>
      <c r="DB244">
        <v>1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</row>
    <row r="245" spans="1:113" x14ac:dyDescent="0.3">
      <c r="A245" t="str">
        <f>"06/16/2022 19:05:49.266"</f>
        <v>06/16/2022 19:05:49.266</v>
      </c>
      <c r="C245" t="str">
        <f t="shared" si="9"/>
        <v>FFBF5BC0</v>
      </c>
      <c r="D245" t="s">
        <v>113</v>
      </c>
      <c r="E245">
        <v>8</v>
      </c>
      <c r="H245">
        <v>206</v>
      </c>
      <c r="I245" t="s">
        <v>114</v>
      </c>
      <c r="J245" t="s">
        <v>115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"19:05:49.070"</f>
        <v>19:05:49.070</v>
      </c>
      <c r="T245" t="str">
        <f>"19:05:49.070"</f>
        <v>19:05:49.070</v>
      </c>
      <c r="U245" t="str">
        <f t="shared" si="10"/>
        <v>AB63B2</v>
      </c>
      <c r="V245">
        <v>0</v>
      </c>
      <c r="W245">
        <v>0</v>
      </c>
      <c r="X245">
        <v>6</v>
      </c>
      <c r="Z245">
        <v>0</v>
      </c>
      <c r="AA245">
        <v>9</v>
      </c>
      <c r="AB245">
        <v>3</v>
      </c>
      <c r="AC245">
        <v>0</v>
      </c>
      <c r="AD245">
        <v>10</v>
      </c>
      <c r="AE245">
        <v>0</v>
      </c>
      <c r="AF245">
        <v>0</v>
      </c>
      <c r="AG245">
        <v>2</v>
      </c>
      <c r="AH245">
        <v>0</v>
      </c>
      <c r="AI245" t="s">
        <v>200</v>
      </c>
      <c r="AJ245">
        <v>41.988523000000001</v>
      </c>
      <c r="AK245" t="s">
        <v>141</v>
      </c>
      <c r="AL245">
        <v>-87.894937999999996</v>
      </c>
      <c r="AS245">
        <v>1</v>
      </c>
      <c r="AT245" t="s">
        <v>118</v>
      </c>
      <c r="AU245" t="b">
        <v>1</v>
      </c>
      <c r="AV245">
        <v>180</v>
      </c>
      <c r="AW245">
        <v>18.125</v>
      </c>
      <c r="AX245">
        <v>1</v>
      </c>
      <c r="AZ245">
        <v>7205</v>
      </c>
      <c r="BA245">
        <v>1</v>
      </c>
      <c r="BB245" t="str">
        <f t="shared" si="11"/>
        <v xml:space="preserve">KAP400  </v>
      </c>
      <c r="BC245">
        <v>1</v>
      </c>
      <c r="BE245">
        <v>0</v>
      </c>
      <c r="BF245">
        <v>0</v>
      </c>
      <c r="BG245">
        <v>0</v>
      </c>
      <c r="BI245">
        <v>1</v>
      </c>
      <c r="BJ245">
        <v>1</v>
      </c>
      <c r="BK245">
        <v>1</v>
      </c>
      <c r="BL245">
        <v>0</v>
      </c>
      <c r="BO245">
        <v>0</v>
      </c>
      <c r="BP245">
        <v>0</v>
      </c>
      <c r="BW245" t="str">
        <f>"19:05:49.075"</f>
        <v>19:05:49.075</v>
      </c>
      <c r="BX245" t="s">
        <v>119</v>
      </c>
      <c r="BY245" t="s">
        <v>120</v>
      </c>
      <c r="CJ245">
        <v>0</v>
      </c>
      <c r="CK245">
        <v>0</v>
      </c>
      <c r="CL245">
        <v>0</v>
      </c>
      <c r="CM245">
        <v>2</v>
      </c>
      <c r="CN245">
        <v>0</v>
      </c>
      <c r="CO245">
        <v>6</v>
      </c>
      <c r="CP245" t="s">
        <v>121</v>
      </c>
      <c r="CQ245">
        <v>581</v>
      </c>
      <c r="CR245">
        <v>0</v>
      </c>
      <c r="CW245">
        <v>14624249</v>
      </c>
      <c r="CY245">
        <v>0</v>
      </c>
      <c r="CZ245">
        <v>0</v>
      </c>
      <c r="DA245">
        <v>0</v>
      </c>
      <c r="DB245">
        <v>1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</row>
    <row r="246" spans="1:113" x14ac:dyDescent="0.3">
      <c r="A246" t="str">
        <f>"06/16/2022 19:05:50.204"</f>
        <v>06/16/2022 19:05:50.204</v>
      </c>
      <c r="C246" t="str">
        <f t="shared" si="9"/>
        <v>FFBF5BC0</v>
      </c>
      <c r="D246" t="s">
        <v>113</v>
      </c>
      <c r="E246">
        <v>8</v>
      </c>
      <c r="H246">
        <v>206</v>
      </c>
      <c r="I246" t="s">
        <v>114</v>
      </c>
      <c r="J246" t="s">
        <v>115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"19:05:50.008"</f>
        <v>19:05:50.008</v>
      </c>
      <c r="T246" t="str">
        <f>"19:05:50.008"</f>
        <v>19:05:50.008</v>
      </c>
      <c r="U246" t="str">
        <f t="shared" si="10"/>
        <v>AB63B2</v>
      </c>
      <c r="V246">
        <v>0</v>
      </c>
      <c r="W246">
        <v>0</v>
      </c>
      <c r="X246">
        <v>6</v>
      </c>
      <c r="Z246">
        <v>0</v>
      </c>
      <c r="AA246">
        <v>9</v>
      </c>
      <c r="AB246">
        <v>3</v>
      </c>
      <c r="AC246">
        <v>0</v>
      </c>
      <c r="AD246">
        <v>10</v>
      </c>
      <c r="AE246">
        <v>0</v>
      </c>
      <c r="AF246">
        <v>0</v>
      </c>
      <c r="AG246">
        <v>2</v>
      </c>
      <c r="AH246">
        <v>0</v>
      </c>
      <c r="AI246" t="s">
        <v>201</v>
      </c>
      <c r="AJ246">
        <v>41.988436999999998</v>
      </c>
      <c r="AK246" t="s">
        <v>136</v>
      </c>
      <c r="AL246">
        <v>-87.894917000000007</v>
      </c>
      <c r="AS246">
        <v>1</v>
      </c>
      <c r="AT246" t="s">
        <v>118</v>
      </c>
      <c r="AU246" t="b">
        <v>1</v>
      </c>
      <c r="AV246">
        <v>180</v>
      </c>
      <c r="AW246">
        <v>19.125</v>
      </c>
      <c r="AX246">
        <v>1</v>
      </c>
      <c r="AZ246">
        <v>7205</v>
      </c>
      <c r="BA246">
        <v>1</v>
      </c>
      <c r="BB246" t="str">
        <f t="shared" si="11"/>
        <v xml:space="preserve">KAP400  </v>
      </c>
      <c r="BC246">
        <v>1</v>
      </c>
      <c r="BE246">
        <v>0</v>
      </c>
      <c r="BF246">
        <v>0</v>
      </c>
      <c r="BG246">
        <v>0</v>
      </c>
      <c r="BI246">
        <v>1</v>
      </c>
      <c r="BJ246">
        <v>1</v>
      </c>
      <c r="BK246">
        <v>1</v>
      </c>
      <c r="BL246">
        <v>0</v>
      </c>
      <c r="BO246">
        <v>0</v>
      </c>
      <c r="BP246">
        <v>0</v>
      </c>
      <c r="BW246" t="str">
        <f>"19:05:50.012"</f>
        <v>19:05:50.012</v>
      </c>
      <c r="BX246" t="s">
        <v>119</v>
      </c>
      <c r="BY246" t="s">
        <v>120</v>
      </c>
      <c r="CJ246">
        <v>0</v>
      </c>
      <c r="CK246">
        <v>0</v>
      </c>
      <c r="CL246">
        <v>0</v>
      </c>
      <c r="CM246">
        <v>2</v>
      </c>
      <c r="CN246">
        <v>0</v>
      </c>
      <c r="CO246">
        <v>7</v>
      </c>
      <c r="CP246" t="s">
        <v>121</v>
      </c>
      <c r="CQ246">
        <v>581</v>
      </c>
      <c r="CR246">
        <v>0</v>
      </c>
      <c r="CW246">
        <v>14625896</v>
      </c>
      <c r="CY246">
        <v>0</v>
      </c>
      <c r="CZ246">
        <v>0</v>
      </c>
      <c r="DA246">
        <v>0</v>
      </c>
      <c r="DB246">
        <v>1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</row>
    <row r="247" spans="1:113" x14ac:dyDescent="0.3">
      <c r="A247" t="str">
        <f>"06/16/2022 19:05:51.333"</f>
        <v>06/16/2022 19:05:51.333</v>
      </c>
      <c r="C247" t="str">
        <f t="shared" si="9"/>
        <v>FFBF5BC0</v>
      </c>
      <c r="D247" t="s">
        <v>113</v>
      </c>
      <c r="E247">
        <v>8</v>
      </c>
      <c r="H247">
        <v>206</v>
      </c>
      <c r="I247" t="s">
        <v>114</v>
      </c>
      <c r="J247" t="s">
        <v>115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"19:05:51.031"</f>
        <v>19:05:51.031</v>
      </c>
      <c r="T247" t="str">
        <f>"19:05:51.031"</f>
        <v>19:05:51.031</v>
      </c>
      <c r="U247" t="str">
        <f t="shared" si="10"/>
        <v>AB63B2</v>
      </c>
      <c r="V247">
        <v>0</v>
      </c>
      <c r="W247">
        <v>0</v>
      </c>
      <c r="X247">
        <v>6</v>
      </c>
      <c r="Z247">
        <v>0</v>
      </c>
      <c r="AA247">
        <v>9</v>
      </c>
      <c r="AB247">
        <v>3</v>
      </c>
      <c r="AC247">
        <v>0</v>
      </c>
      <c r="AD247">
        <v>10</v>
      </c>
      <c r="AE247">
        <v>0</v>
      </c>
      <c r="AF247">
        <v>0</v>
      </c>
      <c r="AG247">
        <v>2</v>
      </c>
      <c r="AH247">
        <v>0</v>
      </c>
      <c r="AI247" t="s">
        <v>202</v>
      </c>
      <c r="AJ247">
        <v>41.988351000000002</v>
      </c>
      <c r="AK247" t="s">
        <v>136</v>
      </c>
      <c r="AL247">
        <v>-87.894917000000007</v>
      </c>
      <c r="AS247">
        <v>1</v>
      </c>
      <c r="AT247" t="s">
        <v>118</v>
      </c>
      <c r="AU247" t="b">
        <v>1</v>
      </c>
      <c r="AV247">
        <v>180</v>
      </c>
      <c r="AW247">
        <v>19.125</v>
      </c>
      <c r="AX247">
        <v>1</v>
      </c>
      <c r="AZ247">
        <v>7205</v>
      </c>
      <c r="BA247">
        <v>1</v>
      </c>
      <c r="BB247" t="str">
        <f t="shared" si="11"/>
        <v xml:space="preserve">KAP400  </v>
      </c>
      <c r="BC247">
        <v>1</v>
      </c>
      <c r="BE247">
        <v>0</v>
      </c>
      <c r="BF247">
        <v>0</v>
      </c>
      <c r="BG247">
        <v>0</v>
      </c>
      <c r="BI247">
        <v>1</v>
      </c>
      <c r="BJ247">
        <v>1</v>
      </c>
      <c r="BK247">
        <v>1</v>
      </c>
      <c r="BL247">
        <v>0</v>
      </c>
      <c r="BO247">
        <v>0</v>
      </c>
      <c r="BP247">
        <v>0</v>
      </c>
      <c r="BW247" t="str">
        <f>"19:05:51.035"</f>
        <v>19:05:51.035</v>
      </c>
      <c r="BX247" t="s">
        <v>119</v>
      </c>
      <c r="BY247" t="s">
        <v>120</v>
      </c>
      <c r="CJ247">
        <v>0</v>
      </c>
      <c r="CK247">
        <v>0</v>
      </c>
      <c r="CL247">
        <v>0</v>
      </c>
      <c r="CM247">
        <v>2</v>
      </c>
      <c r="CN247">
        <v>0</v>
      </c>
      <c r="CO247">
        <v>7</v>
      </c>
      <c r="CP247" t="s">
        <v>121</v>
      </c>
      <c r="CQ247">
        <v>581</v>
      </c>
      <c r="CR247">
        <v>0</v>
      </c>
      <c r="CW247">
        <v>14627585</v>
      </c>
      <c r="CY247">
        <v>0</v>
      </c>
      <c r="CZ247">
        <v>0</v>
      </c>
      <c r="DA247">
        <v>0</v>
      </c>
      <c r="DB247">
        <v>1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</row>
    <row r="248" spans="1:113" x14ac:dyDescent="0.3">
      <c r="A248" t="str">
        <f>"06/16/2022 19:05:52.359"</f>
        <v>06/16/2022 19:05:52.359</v>
      </c>
      <c r="C248" t="str">
        <f t="shared" si="9"/>
        <v>FFBF5BC0</v>
      </c>
      <c r="D248" t="s">
        <v>113</v>
      </c>
      <c r="E248">
        <v>8</v>
      </c>
      <c r="H248">
        <v>206</v>
      </c>
      <c r="I248" t="s">
        <v>114</v>
      </c>
      <c r="J248" t="s">
        <v>115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"19:05:52.047"</f>
        <v>19:05:52.047</v>
      </c>
      <c r="T248" t="str">
        <f>"19:05:52.047"</f>
        <v>19:05:52.047</v>
      </c>
      <c r="U248" t="str">
        <f t="shared" si="10"/>
        <v>AB63B2</v>
      </c>
      <c r="V248">
        <v>0</v>
      </c>
      <c r="W248">
        <v>0</v>
      </c>
      <c r="X248">
        <v>6</v>
      </c>
      <c r="Z248">
        <v>0</v>
      </c>
      <c r="AA248">
        <v>9</v>
      </c>
      <c r="AB248">
        <v>3</v>
      </c>
      <c r="AC248">
        <v>0</v>
      </c>
      <c r="AD248">
        <v>10</v>
      </c>
      <c r="AE248">
        <v>0</v>
      </c>
      <c r="AF248">
        <v>0</v>
      </c>
      <c r="AG248">
        <v>2</v>
      </c>
      <c r="AH248">
        <v>0</v>
      </c>
      <c r="AI248" t="s">
        <v>203</v>
      </c>
      <c r="AJ248">
        <v>41.988266000000003</v>
      </c>
      <c r="AK248" t="s">
        <v>136</v>
      </c>
      <c r="AL248">
        <v>-87.894917000000007</v>
      </c>
      <c r="AS248">
        <v>1</v>
      </c>
      <c r="AT248" t="s">
        <v>118</v>
      </c>
      <c r="AU248" t="b">
        <v>1</v>
      </c>
      <c r="AV248">
        <v>180</v>
      </c>
      <c r="AW248">
        <v>20.125</v>
      </c>
      <c r="AX248">
        <v>1</v>
      </c>
      <c r="AZ248">
        <v>7205</v>
      </c>
      <c r="BA248">
        <v>1</v>
      </c>
      <c r="BB248" t="str">
        <f t="shared" si="11"/>
        <v xml:space="preserve">KAP400  </v>
      </c>
      <c r="BC248">
        <v>1</v>
      </c>
      <c r="BE248">
        <v>0</v>
      </c>
      <c r="BF248">
        <v>0</v>
      </c>
      <c r="BG248">
        <v>0</v>
      </c>
      <c r="BI248">
        <v>1</v>
      </c>
      <c r="BJ248">
        <v>1</v>
      </c>
      <c r="BK248">
        <v>1</v>
      </c>
      <c r="BL248">
        <v>0</v>
      </c>
      <c r="BO248">
        <v>0</v>
      </c>
      <c r="BP248">
        <v>0</v>
      </c>
      <c r="BW248" t="str">
        <f>"19:05:52.047"</f>
        <v>19:05:52.047</v>
      </c>
      <c r="BX248" t="s">
        <v>119</v>
      </c>
      <c r="BY248" t="s">
        <v>120</v>
      </c>
      <c r="CJ248">
        <v>0</v>
      </c>
      <c r="CK248">
        <v>0</v>
      </c>
      <c r="CL248">
        <v>0</v>
      </c>
      <c r="CM248">
        <v>2</v>
      </c>
      <c r="CN248">
        <v>0</v>
      </c>
      <c r="CO248">
        <v>7</v>
      </c>
      <c r="CP248" t="s">
        <v>121</v>
      </c>
      <c r="CQ248">
        <v>581</v>
      </c>
      <c r="CR248">
        <v>0</v>
      </c>
      <c r="CW248">
        <v>14629208</v>
      </c>
      <c r="CY248">
        <v>0</v>
      </c>
      <c r="CZ248">
        <v>0</v>
      </c>
      <c r="DA248">
        <v>0</v>
      </c>
      <c r="DB248">
        <v>1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</row>
    <row r="249" spans="1:113" x14ac:dyDescent="0.3">
      <c r="A249" t="str">
        <f>"06/16/2022 19:05:53.406"</f>
        <v>06/16/2022 19:05:53.406</v>
      </c>
      <c r="C249" t="str">
        <f t="shared" si="9"/>
        <v>FFBF5BC0</v>
      </c>
      <c r="D249" t="s">
        <v>113</v>
      </c>
      <c r="E249">
        <v>8</v>
      </c>
      <c r="H249">
        <v>206</v>
      </c>
      <c r="I249" t="s">
        <v>114</v>
      </c>
      <c r="J249" t="s">
        <v>115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"19:05:53.102"</f>
        <v>19:05:53.102</v>
      </c>
      <c r="T249" t="str">
        <f>"19:05:53.102"</f>
        <v>19:05:53.102</v>
      </c>
      <c r="U249" t="str">
        <f t="shared" si="10"/>
        <v>AB63B2</v>
      </c>
      <c r="V249">
        <v>0</v>
      </c>
      <c r="W249">
        <v>0</v>
      </c>
      <c r="X249">
        <v>6</v>
      </c>
      <c r="Z249">
        <v>0</v>
      </c>
      <c r="AA249">
        <v>9</v>
      </c>
      <c r="AB249">
        <v>3</v>
      </c>
      <c r="AC249">
        <v>0</v>
      </c>
      <c r="AD249">
        <v>10</v>
      </c>
      <c r="AE249">
        <v>0</v>
      </c>
      <c r="AF249">
        <v>0</v>
      </c>
      <c r="AG249">
        <v>2</v>
      </c>
      <c r="AH249">
        <v>0</v>
      </c>
      <c r="AI249" t="s">
        <v>204</v>
      </c>
      <c r="AJ249">
        <v>41.988157999999999</v>
      </c>
      <c r="AK249" t="s">
        <v>136</v>
      </c>
      <c r="AL249">
        <v>-87.894917000000007</v>
      </c>
      <c r="AS249">
        <v>1</v>
      </c>
      <c r="AT249" t="s">
        <v>118</v>
      </c>
      <c r="AU249" t="b">
        <v>1</v>
      </c>
      <c r="AV249">
        <v>180</v>
      </c>
      <c r="AW249">
        <v>20.125</v>
      </c>
      <c r="AX249">
        <v>1</v>
      </c>
      <c r="AZ249">
        <v>7205</v>
      </c>
      <c r="BA249">
        <v>1</v>
      </c>
      <c r="BB249" t="str">
        <f t="shared" si="11"/>
        <v xml:space="preserve">KAP400  </v>
      </c>
      <c r="BC249">
        <v>1</v>
      </c>
      <c r="BE249">
        <v>0</v>
      </c>
      <c r="BF249">
        <v>0</v>
      </c>
      <c r="BG249">
        <v>0</v>
      </c>
      <c r="BI249">
        <v>1</v>
      </c>
      <c r="BJ249">
        <v>1</v>
      </c>
      <c r="BK249">
        <v>1</v>
      </c>
      <c r="BL249">
        <v>0</v>
      </c>
      <c r="BO249">
        <v>0</v>
      </c>
      <c r="BP249">
        <v>0</v>
      </c>
      <c r="BW249" t="str">
        <f>"19:05:53.109"</f>
        <v>19:05:53.109</v>
      </c>
      <c r="BX249" t="s">
        <v>119</v>
      </c>
      <c r="BY249" t="s">
        <v>120</v>
      </c>
      <c r="CJ249">
        <v>0</v>
      </c>
      <c r="CK249">
        <v>0</v>
      </c>
      <c r="CL249">
        <v>0</v>
      </c>
      <c r="CM249">
        <v>2</v>
      </c>
      <c r="CN249">
        <v>0</v>
      </c>
      <c r="CO249">
        <v>7</v>
      </c>
      <c r="CP249" t="s">
        <v>121</v>
      </c>
      <c r="CQ249">
        <v>582</v>
      </c>
      <c r="CR249">
        <v>0</v>
      </c>
      <c r="CW249">
        <v>5598702</v>
      </c>
      <c r="CY249">
        <v>0</v>
      </c>
      <c r="CZ249">
        <v>0</v>
      </c>
      <c r="DA249">
        <v>0</v>
      </c>
      <c r="DB249">
        <v>1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</row>
    <row r="250" spans="1:113" x14ac:dyDescent="0.3">
      <c r="A250" t="str">
        <f>"06/16/2022 19:05:54.406"</f>
        <v>06/16/2022 19:05:54.406</v>
      </c>
      <c r="C250" t="str">
        <f t="shared" si="9"/>
        <v>FFBF5BC0</v>
      </c>
      <c r="D250" t="s">
        <v>113</v>
      </c>
      <c r="E250">
        <v>8</v>
      </c>
      <c r="H250">
        <v>206</v>
      </c>
      <c r="I250" t="s">
        <v>114</v>
      </c>
      <c r="J250" t="s">
        <v>115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>"19:05:54.172"</f>
        <v>19:05:54.172</v>
      </c>
      <c r="T250" t="str">
        <f>"19:05:54.172"</f>
        <v>19:05:54.172</v>
      </c>
      <c r="U250" t="str">
        <f t="shared" si="10"/>
        <v>AB63B2</v>
      </c>
      <c r="V250">
        <v>0</v>
      </c>
      <c r="W250">
        <v>0</v>
      </c>
      <c r="X250">
        <v>6</v>
      </c>
      <c r="Z250">
        <v>0</v>
      </c>
      <c r="AA250">
        <v>9</v>
      </c>
      <c r="AB250">
        <v>3</v>
      </c>
      <c r="AC250">
        <v>0</v>
      </c>
      <c r="AD250">
        <v>10</v>
      </c>
      <c r="AE250">
        <v>0</v>
      </c>
      <c r="AF250">
        <v>0</v>
      </c>
      <c r="AG250">
        <v>2</v>
      </c>
      <c r="AH250">
        <v>0</v>
      </c>
      <c r="AI250" t="s">
        <v>205</v>
      </c>
      <c r="AJ250">
        <v>41.988072000000003</v>
      </c>
      <c r="AK250" t="s">
        <v>136</v>
      </c>
      <c r="AL250">
        <v>-87.894917000000007</v>
      </c>
      <c r="AS250">
        <v>1</v>
      </c>
      <c r="AT250" t="s">
        <v>118</v>
      </c>
      <c r="AU250" t="b">
        <v>1</v>
      </c>
      <c r="AV250">
        <v>180</v>
      </c>
      <c r="AW250">
        <v>21.125</v>
      </c>
      <c r="AX250">
        <v>1</v>
      </c>
      <c r="AZ250">
        <v>7205</v>
      </c>
      <c r="BA250">
        <v>1</v>
      </c>
      <c r="BB250" t="str">
        <f t="shared" si="11"/>
        <v xml:space="preserve">KAP400  </v>
      </c>
      <c r="BC250">
        <v>1</v>
      </c>
      <c r="BE250">
        <v>0</v>
      </c>
      <c r="BF250">
        <v>0</v>
      </c>
      <c r="BG250">
        <v>0</v>
      </c>
      <c r="BI250">
        <v>1</v>
      </c>
      <c r="BJ250">
        <v>1</v>
      </c>
      <c r="BK250">
        <v>1</v>
      </c>
      <c r="BL250">
        <v>0</v>
      </c>
      <c r="BO250">
        <v>0</v>
      </c>
      <c r="BP250">
        <v>0</v>
      </c>
      <c r="BW250" t="str">
        <f>"19:05:54.174"</f>
        <v>19:05:54.174</v>
      </c>
      <c r="BX250" t="s">
        <v>119</v>
      </c>
      <c r="BY250" t="s">
        <v>120</v>
      </c>
      <c r="CJ250">
        <v>0</v>
      </c>
      <c r="CK250">
        <v>0</v>
      </c>
      <c r="CL250">
        <v>0</v>
      </c>
      <c r="CM250">
        <v>2</v>
      </c>
      <c r="CN250">
        <v>0</v>
      </c>
      <c r="CO250">
        <v>6</v>
      </c>
      <c r="CP250" t="s">
        <v>121</v>
      </c>
      <c r="CQ250">
        <v>579</v>
      </c>
      <c r="CR250">
        <v>0</v>
      </c>
      <c r="CW250">
        <v>582733</v>
      </c>
      <c r="CY250">
        <v>0</v>
      </c>
      <c r="CZ250">
        <v>0</v>
      </c>
      <c r="DA250">
        <v>0</v>
      </c>
      <c r="DB250">
        <v>1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</row>
    <row r="251" spans="1:113" x14ac:dyDescent="0.3">
      <c r="A251" t="str">
        <f>"06/16/2022 19:05:55.609"</f>
        <v>06/16/2022 19:05:55.609</v>
      </c>
      <c r="C251" t="str">
        <f t="shared" si="9"/>
        <v>FFBF5BC0</v>
      </c>
      <c r="D251" t="s">
        <v>113</v>
      </c>
      <c r="E251">
        <v>8</v>
      </c>
      <c r="H251">
        <v>206</v>
      </c>
      <c r="I251" t="s">
        <v>114</v>
      </c>
      <c r="J251" t="s">
        <v>115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>"19:05:55.156"</f>
        <v>19:05:55.156</v>
      </c>
      <c r="T251" t="str">
        <f>"19:05:55.156"</f>
        <v>19:05:55.156</v>
      </c>
      <c r="U251" t="str">
        <f t="shared" si="10"/>
        <v>AB63B2</v>
      </c>
      <c r="V251">
        <v>0</v>
      </c>
      <c r="W251">
        <v>0</v>
      </c>
      <c r="X251">
        <v>6</v>
      </c>
      <c r="Z251">
        <v>0</v>
      </c>
      <c r="AA251">
        <v>9</v>
      </c>
      <c r="AB251">
        <v>3</v>
      </c>
      <c r="AC251">
        <v>0</v>
      </c>
      <c r="AD251">
        <v>10</v>
      </c>
      <c r="AE251">
        <v>0</v>
      </c>
      <c r="AF251">
        <v>0</v>
      </c>
      <c r="AG251">
        <v>2</v>
      </c>
      <c r="AH251">
        <v>0</v>
      </c>
      <c r="AI251" t="s">
        <v>206</v>
      </c>
      <c r="AJ251">
        <v>41.987965000000003</v>
      </c>
      <c r="AK251" t="s">
        <v>136</v>
      </c>
      <c r="AL251">
        <v>-87.894917000000007</v>
      </c>
      <c r="AS251">
        <v>1</v>
      </c>
      <c r="AT251" t="s">
        <v>118</v>
      </c>
      <c r="AU251" t="b">
        <v>1</v>
      </c>
      <c r="AV251">
        <v>180</v>
      </c>
      <c r="AW251">
        <v>21.125</v>
      </c>
      <c r="AX251">
        <v>1</v>
      </c>
      <c r="AZ251">
        <v>7205</v>
      </c>
      <c r="BA251">
        <v>1</v>
      </c>
      <c r="BB251" t="str">
        <f t="shared" si="11"/>
        <v xml:space="preserve">KAP400  </v>
      </c>
      <c r="BC251">
        <v>1</v>
      </c>
      <c r="BE251">
        <v>0</v>
      </c>
      <c r="BF251">
        <v>0</v>
      </c>
      <c r="BG251">
        <v>0</v>
      </c>
      <c r="BI251">
        <v>1</v>
      </c>
      <c r="BJ251">
        <v>1</v>
      </c>
      <c r="BK251">
        <v>1</v>
      </c>
      <c r="BL251">
        <v>0</v>
      </c>
      <c r="BO251">
        <v>0</v>
      </c>
      <c r="BP251">
        <v>0</v>
      </c>
      <c r="BW251" t="str">
        <f>"19:05:55.160"</f>
        <v>19:05:55.160</v>
      </c>
      <c r="BX251" t="s">
        <v>119</v>
      </c>
      <c r="BY251" t="s">
        <v>120</v>
      </c>
      <c r="CJ251">
        <v>0</v>
      </c>
      <c r="CK251">
        <v>0</v>
      </c>
      <c r="CL251">
        <v>0</v>
      </c>
      <c r="CM251">
        <v>2</v>
      </c>
      <c r="CN251">
        <v>0</v>
      </c>
      <c r="CO251">
        <v>6</v>
      </c>
      <c r="CP251" t="s">
        <v>121</v>
      </c>
      <c r="CQ251">
        <v>582</v>
      </c>
      <c r="CR251">
        <v>0</v>
      </c>
      <c r="CW251">
        <v>5601956</v>
      </c>
      <c r="CY251">
        <v>0</v>
      </c>
      <c r="CZ251">
        <v>0</v>
      </c>
      <c r="DA251">
        <v>0</v>
      </c>
      <c r="DB251">
        <v>1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</row>
    <row r="252" spans="1:113" x14ac:dyDescent="0.3">
      <c r="A252" t="str">
        <f>"06/16/2022 19:05:56.392"</f>
        <v>06/16/2022 19:05:56.392</v>
      </c>
      <c r="C252" t="str">
        <f t="shared" si="9"/>
        <v>FFBF5BC0</v>
      </c>
      <c r="D252" t="s">
        <v>113</v>
      </c>
      <c r="E252">
        <v>8</v>
      </c>
      <c r="H252">
        <v>206</v>
      </c>
      <c r="I252" t="s">
        <v>114</v>
      </c>
      <c r="J252" t="s">
        <v>115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>"19:05:56.133"</f>
        <v>19:05:56.133</v>
      </c>
      <c r="T252" t="str">
        <f>"19:05:56.133"</f>
        <v>19:05:56.133</v>
      </c>
      <c r="U252" t="str">
        <f t="shared" si="10"/>
        <v>AB63B2</v>
      </c>
      <c r="V252">
        <v>0</v>
      </c>
      <c r="W252">
        <v>0</v>
      </c>
      <c r="X252">
        <v>6</v>
      </c>
      <c r="Z252">
        <v>0</v>
      </c>
      <c r="AA252">
        <v>9</v>
      </c>
      <c r="AB252">
        <v>3</v>
      </c>
      <c r="AC252">
        <v>0</v>
      </c>
      <c r="AD252">
        <v>10</v>
      </c>
      <c r="AE252">
        <v>0</v>
      </c>
      <c r="AF252">
        <v>0</v>
      </c>
      <c r="AG252">
        <v>2</v>
      </c>
      <c r="AH252">
        <v>0</v>
      </c>
      <c r="AI252" t="s">
        <v>207</v>
      </c>
      <c r="AJ252">
        <v>41.987879</v>
      </c>
      <c r="AK252" t="s">
        <v>136</v>
      </c>
      <c r="AL252">
        <v>-87.894917000000007</v>
      </c>
      <c r="AS252">
        <v>1</v>
      </c>
      <c r="AT252" t="s">
        <v>118</v>
      </c>
      <c r="AU252" t="b">
        <v>1</v>
      </c>
      <c r="AV252">
        <v>180</v>
      </c>
      <c r="AW252">
        <v>22.125</v>
      </c>
      <c r="AX252">
        <v>1</v>
      </c>
      <c r="AZ252">
        <v>7205</v>
      </c>
      <c r="BA252">
        <v>1</v>
      </c>
      <c r="BB252" t="str">
        <f t="shared" si="11"/>
        <v xml:space="preserve">KAP400  </v>
      </c>
      <c r="BC252">
        <v>1</v>
      </c>
      <c r="BE252">
        <v>0</v>
      </c>
      <c r="BF252">
        <v>0</v>
      </c>
      <c r="BG252">
        <v>0</v>
      </c>
      <c r="BI252">
        <v>1</v>
      </c>
      <c r="BJ252">
        <v>1</v>
      </c>
      <c r="BK252">
        <v>1</v>
      </c>
      <c r="BL252">
        <v>0</v>
      </c>
      <c r="BO252">
        <v>0</v>
      </c>
      <c r="BP252">
        <v>0</v>
      </c>
      <c r="BW252" t="str">
        <f>"19:05:56.134"</f>
        <v>19:05:56.134</v>
      </c>
      <c r="BX252" t="s">
        <v>119</v>
      </c>
      <c r="BY252" t="s">
        <v>120</v>
      </c>
      <c r="CJ252">
        <v>0</v>
      </c>
      <c r="CK252">
        <v>0</v>
      </c>
      <c r="CL252">
        <v>0</v>
      </c>
      <c r="CM252">
        <v>2</v>
      </c>
      <c r="CN252">
        <v>0</v>
      </c>
      <c r="CO252">
        <v>6</v>
      </c>
      <c r="CP252" t="s">
        <v>121</v>
      </c>
      <c r="CQ252">
        <v>581</v>
      </c>
      <c r="CR252">
        <v>0</v>
      </c>
      <c r="CW252">
        <v>14636069</v>
      </c>
      <c r="CY252">
        <v>0</v>
      </c>
      <c r="CZ252">
        <v>0</v>
      </c>
      <c r="DA252">
        <v>0</v>
      </c>
      <c r="DB252">
        <v>1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</row>
    <row r="253" spans="1:113" x14ac:dyDescent="0.3">
      <c r="A253" t="str">
        <f>"06/16/2022 19:05:57.531"</f>
        <v>06/16/2022 19:05:57.531</v>
      </c>
      <c r="C253" t="str">
        <f t="shared" si="9"/>
        <v>FFBF5BC0</v>
      </c>
      <c r="D253" t="s">
        <v>113</v>
      </c>
      <c r="E253">
        <v>8</v>
      </c>
      <c r="H253">
        <v>206</v>
      </c>
      <c r="I253" t="s">
        <v>114</v>
      </c>
      <c r="J253" t="s">
        <v>115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>"19:05:57.203"</f>
        <v>19:05:57.203</v>
      </c>
      <c r="T253" t="str">
        <f>"19:05:57.203"</f>
        <v>19:05:57.203</v>
      </c>
      <c r="U253" t="str">
        <f t="shared" si="10"/>
        <v>AB63B2</v>
      </c>
      <c r="V253">
        <v>0</v>
      </c>
      <c r="W253">
        <v>0</v>
      </c>
      <c r="X253">
        <v>6</v>
      </c>
      <c r="Z253">
        <v>0</v>
      </c>
      <c r="AA253">
        <v>9</v>
      </c>
      <c r="AB253">
        <v>3</v>
      </c>
      <c r="AC253">
        <v>0</v>
      </c>
      <c r="AD253">
        <v>10</v>
      </c>
      <c r="AE253">
        <v>0</v>
      </c>
      <c r="AF253">
        <v>0</v>
      </c>
      <c r="AG253">
        <v>2</v>
      </c>
      <c r="AH253">
        <v>0</v>
      </c>
      <c r="AI253" t="s">
        <v>208</v>
      </c>
      <c r="AJ253">
        <v>41.987772</v>
      </c>
      <c r="AK253" t="s">
        <v>136</v>
      </c>
      <c r="AL253">
        <v>-87.894917000000007</v>
      </c>
      <c r="AS253">
        <v>1</v>
      </c>
      <c r="AT253" t="s">
        <v>118</v>
      </c>
      <c r="AU253" t="b">
        <v>1</v>
      </c>
      <c r="AV253">
        <v>180</v>
      </c>
      <c r="AW253">
        <v>22.125</v>
      </c>
      <c r="AX253">
        <v>1</v>
      </c>
      <c r="AZ253">
        <v>7205</v>
      </c>
      <c r="BA253">
        <v>1</v>
      </c>
      <c r="BB253" t="str">
        <f t="shared" si="11"/>
        <v xml:space="preserve">KAP400  </v>
      </c>
      <c r="BC253">
        <v>1</v>
      </c>
      <c r="BE253">
        <v>0</v>
      </c>
      <c r="BF253">
        <v>0</v>
      </c>
      <c r="BG253">
        <v>0</v>
      </c>
      <c r="BI253">
        <v>1</v>
      </c>
      <c r="BJ253">
        <v>1</v>
      </c>
      <c r="BK253">
        <v>1</v>
      </c>
      <c r="BL253">
        <v>0</v>
      </c>
      <c r="BO253">
        <v>0</v>
      </c>
      <c r="BP253">
        <v>0</v>
      </c>
      <c r="BW253" t="str">
        <f>"19:05:57.205"</f>
        <v>19:05:57.205</v>
      </c>
      <c r="BX253" t="s">
        <v>119</v>
      </c>
      <c r="BY253" t="s">
        <v>120</v>
      </c>
      <c r="CJ253">
        <v>0</v>
      </c>
      <c r="CK253">
        <v>0</v>
      </c>
      <c r="CL253">
        <v>0</v>
      </c>
      <c r="CM253">
        <v>2</v>
      </c>
      <c r="CN253">
        <v>0</v>
      </c>
      <c r="CO253">
        <v>5</v>
      </c>
      <c r="CP253" t="s">
        <v>121</v>
      </c>
      <c r="CQ253">
        <v>582</v>
      </c>
      <c r="CR253">
        <v>0</v>
      </c>
      <c r="CW253">
        <v>5605206</v>
      </c>
      <c r="CY253">
        <v>0</v>
      </c>
      <c r="CZ253">
        <v>0</v>
      </c>
      <c r="DA253">
        <v>0</v>
      </c>
      <c r="DB253">
        <v>1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</row>
    <row r="254" spans="1:113" x14ac:dyDescent="0.3">
      <c r="A254" t="str">
        <f>"06/16/2022 19:05:58.375"</f>
        <v>06/16/2022 19:05:58.375</v>
      </c>
      <c r="C254" t="str">
        <f t="shared" si="9"/>
        <v>FFBF5BC0</v>
      </c>
      <c r="D254" t="s">
        <v>113</v>
      </c>
      <c r="E254">
        <v>8</v>
      </c>
      <c r="H254">
        <v>206</v>
      </c>
      <c r="I254" t="s">
        <v>114</v>
      </c>
      <c r="J254" t="s">
        <v>115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>"19:05:58.172"</f>
        <v>19:05:58.172</v>
      </c>
      <c r="T254" t="str">
        <f>"19:05:58.172"</f>
        <v>19:05:58.172</v>
      </c>
      <c r="U254" t="str">
        <f t="shared" si="10"/>
        <v>AB63B2</v>
      </c>
      <c r="V254">
        <v>0</v>
      </c>
      <c r="W254">
        <v>0</v>
      </c>
      <c r="X254">
        <v>6</v>
      </c>
      <c r="Z254">
        <v>0</v>
      </c>
      <c r="AA254">
        <v>9</v>
      </c>
      <c r="AB254">
        <v>3</v>
      </c>
      <c r="AC254">
        <v>0</v>
      </c>
      <c r="AD254">
        <v>10</v>
      </c>
      <c r="AE254">
        <v>0</v>
      </c>
      <c r="AF254">
        <v>0</v>
      </c>
      <c r="AG254">
        <v>2</v>
      </c>
      <c r="AH254">
        <v>0</v>
      </c>
      <c r="AI254" t="s">
        <v>209</v>
      </c>
      <c r="AJ254">
        <v>41.987665</v>
      </c>
      <c r="AK254" t="s">
        <v>136</v>
      </c>
      <c r="AL254">
        <v>-87.894917000000007</v>
      </c>
      <c r="AS254">
        <v>1</v>
      </c>
      <c r="AT254" t="s">
        <v>118</v>
      </c>
      <c r="AU254" t="b">
        <v>1</v>
      </c>
      <c r="AV254">
        <v>180</v>
      </c>
      <c r="AW254">
        <v>21.125</v>
      </c>
      <c r="AX254">
        <v>1</v>
      </c>
      <c r="AZ254">
        <v>7205</v>
      </c>
      <c r="BA254">
        <v>1</v>
      </c>
      <c r="BB254" t="str">
        <f t="shared" si="11"/>
        <v xml:space="preserve">KAP400  </v>
      </c>
      <c r="BC254">
        <v>1</v>
      </c>
      <c r="BE254">
        <v>0</v>
      </c>
      <c r="BF254">
        <v>0</v>
      </c>
      <c r="BG254">
        <v>0</v>
      </c>
      <c r="BI254">
        <v>1</v>
      </c>
      <c r="BJ254">
        <v>1</v>
      </c>
      <c r="BK254">
        <v>1</v>
      </c>
      <c r="BL254">
        <v>0</v>
      </c>
      <c r="BO254">
        <v>0</v>
      </c>
      <c r="BP254">
        <v>0</v>
      </c>
      <c r="BW254" t="str">
        <f>"19:05:58.177"</f>
        <v>19:05:58.177</v>
      </c>
      <c r="BX254" t="s">
        <v>119</v>
      </c>
      <c r="BY254" t="s">
        <v>120</v>
      </c>
      <c r="CJ254">
        <v>0</v>
      </c>
      <c r="CK254">
        <v>0</v>
      </c>
      <c r="CL254">
        <v>0</v>
      </c>
      <c r="CM254">
        <v>2</v>
      </c>
      <c r="CN254">
        <v>0</v>
      </c>
      <c r="CO254">
        <v>6</v>
      </c>
      <c r="CP254" t="s">
        <v>121</v>
      </c>
      <c r="CQ254">
        <v>581</v>
      </c>
      <c r="CR254">
        <v>0</v>
      </c>
      <c r="CW254">
        <v>14639775</v>
      </c>
      <c r="CY254">
        <v>0</v>
      </c>
      <c r="CZ254">
        <v>0</v>
      </c>
      <c r="DA254">
        <v>0</v>
      </c>
      <c r="DB254">
        <v>1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</row>
    <row r="255" spans="1:113" x14ac:dyDescent="0.3">
      <c r="A255" t="str">
        <f>"06/16/2022 19:05:59.391"</f>
        <v>06/16/2022 19:05:59.391</v>
      </c>
      <c r="C255" t="str">
        <f t="shared" si="9"/>
        <v>FFBF5BC0</v>
      </c>
      <c r="D255" t="s">
        <v>113</v>
      </c>
      <c r="E255">
        <v>8</v>
      </c>
      <c r="H255">
        <v>206</v>
      </c>
      <c r="I255" t="s">
        <v>114</v>
      </c>
      <c r="J255" t="s">
        <v>115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>"19:05:59.109"</f>
        <v>19:05:59.109</v>
      </c>
      <c r="T255" t="str">
        <f>"19:05:59.109"</f>
        <v>19:05:59.109</v>
      </c>
      <c r="U255" t="str">
        <f t="shared" si="10"/>
        <v>AB63B2</v>
      </c>
      <c r="V255">
        <v>0</v>
      </c>
      <c r="W255">
        <v>0</v>
      </c>
      <c r="X255">
        <v>6</v>
      </c>
      <c r="Z255">
        <v>0</v>
      </c>
      <c r="AA255">
        <v>9</v>
      </c>
      <c r="AB255">
        <v>3</v>
      </c>
      <c r="AC255">
        <v>0</v>
      </c>
      <c r="AD255">
        <v>10</v>
      </c>
      <c r="AE255">
        <v>0</v>
      </c>
      <c r="AF255">
        <v>0</v>
      </c>
      <c r="AG255">
        <v>2</v>
      </c>
      <c r="AH255">
        <v>0</v>
      </c>
      <c r="AI255" t="s">
        <v>210</v>
      </c>
      <c r="AJ255">
        <v>41.9876</v>
      </c>
      <c r="AK255" t="s">
        <v>136</v>
      </c>
      <c r="AL255">
        <v>-87.894917000000007</v>
      </c>
      <c r="AS255">
        <v>1</v>
      </c>
      <c r="AT255" t="s">
        <v>118</v>
      </c>
      <c r="AU255" t="b">
        <v>1</v>
      </c>
      <c r="AV255">
        <v>180</v>
      </c>
      <c r="AW255">
        <v>21.125</v>
      </c>
      <c r="AX255">
        <v>1</v>
      </c>
      <c r="AZ255">
        <v>7205</v>
      </c>
      <c r="BA255">
        <v>1</v>
      </c>
      <c r="BB255" t="str">
        <f t="shared" si="11"/>
        <v xml:space="preserve">KAP400  </v>
      </c>
      <c r="BC255">
        <v>1</v>
      </c>
      <c r="BE255">
        <v>0</v>
      </c>
      <c r="BF255">
        <v>0</v>
      </c>
      <c r="BG255">
        <v>0</v>
      </c>
      <c r="BI255">
        <v>1</v>
      </c>
      <c r="BJ255">
        <v>1</v>
      </c>
      <c r="BK255">
        <v>1</v>
      </c>
      <c r="BL255">
        <v>0</v>
      </c>
      <c r="BO255">
        <v>0</v>
      </c>
      <c r="BP255">
        <v>0</v>
      </c>
      <c r="BW255" t="str">
        <f>"19:05:59.116"</f>
        <v>19:05:59.116</v>
      </c>
      <c r="BX255" t="s">
        <v>119</v>
      </c>
      <c r="BY255" t="s">
        <v>120</v>
      </c>
      <c r="CJ255">
        <v>0</v>
      </c>
      <c r="CK255">
        <v>0</v>
      </c>
      <c r="CL255">
        <v>0</v>
      </c>
      <c r="CM255">
        <v>2</v>
      </c>
      <c r="CN255">
        <v>0</v>
      </c>
      <c r="CO255">
        <v>7</v>
      </c>
      <c r="CP255" t="s">
        <v>121</v>
      </c>
      <c r="CQ255">
        <v>581</v>
      </c>
      <c r="CR255">
        <v>0</v>
      </c>
      <c r="CW255">
        <v>14641489</v>
      </c>
      <c r="CY255">
        <v>0</v>
      </c>
      <c r="CZ255">
        <v>0</v>
      </c>
      <c r="DA255">
        <v>0</v>
      </c>
      <c r="DB255">
        <v>1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</row>
    <row r="256" spans="1:113" x14ac:dyDescent="0.3">
      <c r="A256" t="str">
        <f>"06/16/2022 19:06:00.469"</f>
        <v>06/16/2022 19:06:00.469</v>
      </c>
      <c r="C256" t="str">
        <f t="shared" si="9"/>
        <v>FFBF5BC0</v>
      </c>
      <c r="D256" t="s">
        <v>113</v>
      </c>
      <c r="E256">
        <v>8</v>
      </c>
      <c r="H256">
        <v>206</v>
      </c>
      <c r="I256" t="s">
        <v>114</v>
      </c>
      <c r="J256" t="s">
        <v>115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>"19:06:00.203"</f>
        <v>19:06:00.203</v>
      </c>
      <c r="T256" t="str">
        <f>"19:06:00.203"</f>
        <v>19:06:00.203</v>
      </c>
      <c r="U256" t="str">
        <f t="shared" si="10"/>
        <v>AB63B2</v>
      </c>
      <c r="V256">
        <v>0</v>
      </c>
      <c r="W256">
        <v>0</v>
      </c>
      <c r="X256">
        <v>6</v>
      </c>
      <c r="Z256">
        <v>0</v>
      </c>
      <c r="AA256">
        <v>9</v>
      </c>
      <c r="AB256">
        <v>3</v>
      </c>
      <c r="AC256">
        <v>0</v>
      </c>
      <c r="AD256">
        <v>10</v>
      </c>
      <c r="AE256">
        <v>0</v>
      </c>
      <c r="AF256">
        <v>0</v>
      </c>
      <c r="AG256">
        <v>2</v>
      </c>
      <c r="AH256">
        <v>0</v>
      </c>
      <c r="AI256" t="s">
        <v>211</v>
      </c>
      <c r="AJ256">
        <v>41.987493000000001</v>
      </c>
      <c r="AK256" t="s">
        <v>136</v>
      </c>
      <c r="AL256">
        <v>-87.894917000000007</v>
      </c>
      <c r="AS256">
        <v>1</v>
      </c>
      <c r="AT256" t="s">
        <v>118</v>
      </c>
      <c r="AU256" t="b">
        <v>1</v>
      </c>
      <c r="AV256">
        <v>180</v>
      </c>
      <c r="AW256">
        <v>20.125</v>
      </c>
      <c r="AX256">
        <v>1</v>
      </c>
      <c r="AZ256">
        <v>7205</v>
      </c>
      <c r="BA256">
        <v>1</v>
      </c>
      <c r="BB256" t="str">
        <f t="shared" si="11"/>
        <v xml:space="preserve">KAP400  </v>
      </c>
      <c r="BC256">
        <v>1</v>
      </c>
      <c r="BE256">
        <v>0</v>
      </c>
      <c r="BF256">
        <v>0</v>
      </c>
      <c r="BG256">
        <v>0</v>
      </c>
      <c r="BI256">
        <v>1</v>
      </c>
      <c r="BJ256">
        <v>1</v>
      </c>
      <c r="BK256">
        <v>1</v>
      </c>
      <c r="BL256">
        <v>0</v>
      </c>
      <c r="BO256">
        <v>0</v>
      </c>
      <c r="BP256">
        <v>0</v>
      </c>
      <c r="BW256" t="str">
        <f>"19:06:00.208"</f>
        <v>19:06:00.208</v>
      </c>
      <c r="BX256" t="s">
        <v>119</v>
      </c>
      <c r="BY256" t="s">
        <v>120</v>
      </c>
      <c r="CJ256">
        <v>0</v>
      </c>
      <c r="CK256">
        <v>0</v>
      </c>
      <c r="CL256">
        <v>0</v>
      </c>
      <c r="CM256">
        <v>2</v>
      </c>
      <c r="CN256">
        <v>0</v>
      </c>
      <c r="CO256">
        <v>7</v>
      </c>
      <c r="CP256" t="s">
        <v>121</v>
      </c>
      <c r="CQ256">
        <v>581</v>
      </c>
      <c r="CR256">
        <v>0</v>
      </c>
      <c r="CW256">
        <v>14643281</v>
      </c>
      <c r="CY256">
        <v>0</v>
      </c>
      <c r="CZ256">
        <v>0</v>
      </c>
      <c r="DA256">
        <v>0</v>
      </c>
      <c r="DB256">
        <v>1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</row>
    <row r="257" spans="1:113" x14ac:dyDescent="0.3">
      <c r="A257" t="str">
        <f>"06/16/2022 19:06:01.533"</f>
        <v>06/16/2022 19:06:01.533</v>
      </c>
      <c r="C257" t="str">
        <f t="shared" si="9"/>
        <v>FFBF5BC0</v>
      </c>
      <c r="D257" t="s">
        <v>113</v>
      </c>
      <c r="E257">
        <v>8</v>
      </c>
      <c r="H257">
        <v>206</v>
      </c>
      <c r="I257" t="s">
        <v>114</v>
      </c>
      <c r="J257" t="s">
        <v>115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>"19:06:01.258"</f>
        <v>19:06:01.258</v>
      </c>
      <c r="T257" t="str">
        <f>"19:06:01.258"</f>
        <v>19:06:01.258</v>
      </c>
      <c r="U257" t="str">
        <f t="shared" si="10"/>
        <v>AB63B2</v>
      </c>
      <c r="V257">
        <v>0</v>
      </c>
      <c r="W257">
        <v>0</v>
      </c>
      <c r="X257">
        <v>6</v>
      </c>
      <c r="Z257">
        <v>0</v>
      </c>
      <c r="AA257">
        <v>9</v>
      </c>
      <c r="AB257">
        <v>3</v>
      </c>
      <c r="AC257">
        <v>0</v>
      </c>
      <c r="AD257">
        <v>10</v>
      </c>
      <c r="AE257">
        <v>0</v>
      </c>
      <c r="AF257">
        <v>0</v>
      </c>
      <c r="AG257">
        <v>2</v>
      </c>
      <c r="AH257">
        <v>0</v>
      </c>
      <c r="AI257" t="s">
        <v>212</v>
      </c>
      <c r="AJ257">
        <v>41.987386000000001</v>
      </c>
      <c r="AK257" t="s">
        <v>136</v>
      </c>
      <c r="AL257">
        <v>-87.894917000000007</v>
      </c>
      <c r="AS257">
        <v>1</v>
      </c>
      <c r="AT257" t="s">
        <v>118</v>
      </c>
      <c r="AU257" t="b">
        <v>1</v>
      </c>
      <c r="AV257">
        <v>180</v>
      </c>
      <c r="AW257">
        <v>20.125</v>
      </c>
      <c r="AX257">
        <v>1</v>
      </c>
      <c r="AZ257">
        <v>7205</v>
      </c>
      <c r="BA257">
        <v>1</v>
      </c>
      <c r="BB257" t="str">
        <f t="shared" si="11"/>
        <v xml:space="preserve">KAP400  </v>
      </c>
      <c r="BC257">
        <v>1</v>
      </c>
      <c r="BE257">
        <v>0</v>
      </c>
      <c r="BF257">
        <v>0</v>
      </c>
      <c r="BG257">
        <v>0</v>
      </c>
      <c r="BI257">
        <v>1</v>
      </c>
      <c r="BJ257">
        <v>1</v>
      </c>
      <c r="BK257">
        <v>1</v>
      </c>
      <c r="BL257">
        <v>0</v>
      </c>
      <c r="BO257">
        <v>0</v>
      </c>
      <c r="BP257">
        <v>0</v>
      </c>
      <c r="BW257" t="str">
        <f>"19:06:01.262"</f>
        <v>19:06:01.262</v>
      </c>
      <c r="BX257" t="s">
        <v>119</v>
      </c>
      <c r="BY257" t="s">
        <v>120</v>
      </c>
      <c r="CJ257">
        <v>0</v>
      </c>
      <c r="CK257">
        <v>0</v>
      </c>
      <c r="CL257">
        <v>0</v>
      </c>
      <c r="CM257">
        <v>2</v>
      </c>
      <c r="CN257">
        <v>0</v>
      </c>
      <c r="CO257">
        <v>6</v>
      </c>
      <c r="CP257" t="s">
        <v>121</v>
      </c>
      <c r="CQ257">
        <v>579</v>
      </c>
      <c r="CR257">
        <v>0</v>
      </c>
      <c r="CW257">
        <v>597942</v>
      </c>
      <c r="CY257">
        <v>0</v>
      </c>
      <c r="CZ257">
        <v>0</v>
      </c>
      <c r="DA257">
        <v>0</v>
      </c>
      <c r="DB257">
        <v>1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</row>
    <row r="258" spans="1:113" x14ac:dyDescent="0.3">
      <c r="A258" t="str">
        <f>"06/16/2022 19:06:02.453"</f>
        <v>06/16/2022 19:06:02.453</v>
      </c>
      <c r="C258" t="str">
        <f t="shared" ref="C258:C321" si="12">"FFBF5BC0"</f>
        <v>FFBF5BC0</v>
      </c>
      <c r="D258" t="s">
        <v>113</v>
      </c>
      <c r="E258">
        <v>8</v>
      </c>
      <c r="H258">
        <v>206</v>
      </c>
      <c r="I258" t="s">
        <v>114</v>
      </c>
      <c r="J258" t="s">
        <v>115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>"19:06:02.219"</f>
        <v>19:06:02.219</v>
      </c>
      <c r="T258" t="str">
        <f>"19:06:02.219"</f>
        <v>19:06:02.219</v>
      </c>
      <c r="U258" t="str">
        <f t="shared" ref="U258:U321" si="13">"AB63B2"</f>
        <v>AB63B2</v>
      </c>
      <c r="V258">
        <v>0</v>
      </c>
      <c r="W258">
        <v>0</v>
      </c>
      <c r="X258">
        <v>6</v>
      </c>
      <c r="Z258">
        <v>0</v>
      </c>
      <c r="AA258">
        <v>9</v>
      </c>
      <c r="AB258">
        <v>3</v>
      </c>
      <c r="AC258">
        <v>0</v>
      </c>
      <c r="AD258">
        <v>10</v>
      </c>
      <c r="AE258">
        <v>0</v>
      </c>
      <c r="AF258">
        <v>0</v>
      </c>
      <c r="AG258">
        <v>2</v>
      </c>
      <c r="AH258">
        <v>0</v>
      </c>
      <c r="AI258" t="s">
        <v>213</v>
      </c>
      <c r="AJ258">
        <v>41.987321000000001</v>
      </c>
      <c r="AK258" t="s">
        <v>136</v>
      </c>
      <c r="AL258">
        <v>-87.894917000000007</v>
      </c>
      <c r="AS258">
        <v>1</v>
      </c>
      <c r="AT258" t="s">
        <v>118</v>
      </c>
      <c r="AU258" t="b">
        <v>1</v>
      </c>
      <c r="AV258">
        <v>180</v>
      </c>
      <c r="AW258">
        <v>19.125</v>
      </c>
      <c r="AX258">
        <v>1</v>
      </c>
      <c r="AZ258">
        <v>7205</v>
      </c>
      <c r="BA258">
        <v>1</v>
      </c>
      <c r="BB258" t="str">
        <f t="shared" ref="BB258:BB321" si="14">"KAP400  "</f>
        <v xml:space="preserve">KAP400  </v>
      </c>
      <c r="BC258">
        <v>1</v>
      </c>
      <c r="BE258">
        <v>0</v>
      </c>
      <c r="BF258">
        <v>0</v>
      </c>
      <c r="BG258">
        <v>0</v>
      </c>
      <c r="BI258">
        <v>1</v>
      </c>
      <c r="BJ258">
        <v>1</v>
      </c>
      <c r="BK258">
        <v>1</v>
      </c>
      <c r="BL258">
        <v>0</v>
      </c>
      <c r="BO258">
        <v>0</v>
      </c>
      <c r="BP258">
        <v>0</v>
      </c>
      <c r="BW258" t="str">
        <f>"19:06:02.222"</f>
        <v>19:06:02.222</v>
      </c>
      <c r="BX258" t="s">
        <v>119</v>
      </c>
      <c r="BY258" t="s">
        <v>120</v>
      </c>
      <c r="CJ258">
        <v>0</v>
      </c>
      <c r="CK258">
        <v>0</v>
      </c>
      <c r="CL258">
        <v>0</v>
      </c>
      <c r="CM258">
        <v>2</v>
      </c>
      <c r="CN258">
        <v>0</v>
      </c>
      <c r="CO258">
        <v>7</v>
      </c>
      <c r="CP258" t="s">
        <v>121</v>
      </c>
      <c r="CQ258">
        <v>581</v>
      </c>
      <c r="CR258">
        <v>0</v>
      </c>
      <c r="CW258">
        <v>14646747</v>
      </c>
      <c r="CY258">
        <v>0</v>
      </c>
      <c r="CZ258">
        <v>0</v>
      </c>
      <c r="DA258">
        <v>0</v>
      </c>
      <c r="DB258">
        <v>1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</row>
    <row r="259" spans="1:113" x14ac:dyDescent="0.3">
      <c r="A259" t="str">
        <f>"06/16/2022 19:06:03.485"</f>
        <v>06/16/2022 19:06:03.485</v>
      </c>
      <c r="C259" t="str">
        <f t="shared" si="12"/>
        <v>FFBF5BC0</v>
      </c>
      <c r="D259" t="s">
        <v>113</v>
      </c>
      <c r="E259">
        <v>8</v>
      </c>
      <c r="H259">
        <v>206</v>
      </c>
      <c r="I259" t="s">
        <v>114</v>
      </c>
      <c r="J259" t="s">
        <v>115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>"19:06:03.258"</f>
        <v>19:06:03.258</v>
      </c>
      <c r="T259" t="str">
        <f>"19:06:03.258"</f>
        <v>19:06:03.258</v>
      </c>
      <c r="U259" t="str">
        <f t="shared" si="13"/>
        <v>AB63B2</v>
      </c>
      <c r="V259">
        <v>0</v>
      </c>
      <c r="W259">
        <v>0</v>
      </c>
      <c r="X259">
        <v>6</v>
      </c>
      <c r="Z259">
        <v>0</v>
      </c>
      <c r="AA259">
        <v>9</v>
      </c>
      <c r="AB259">
        <v>3</v>
      </c>
      <c r="AC259">
        <v>0</v>
      </c>
      <c r="AD259">
        <v>10</v>
      </c>
      <c r="AE259">
        <v>0</v>
      </c>
      <c r="AF259">
        <v>0</v>
      </c>
      <c r="AG259">
        <v>2</v>
      </c>
      <c r="AH259">
        <v>0</v>
      </c>
      <c r="AI259" t="s">
        <v>214</v>
      </c>
      <c r="AJ259">
        <v>41.987214000000002</v>
      </c>
      <c r="AK259" t="s">
        <v>136</v>
      </c>
      <c r="AL259">
        <v>-87.894917000000007</v>
      </c>
      <c r="AS259">
        <v>1</v>
      </c>
      <c r="AT259" t="s">
        <v>118</v>
      </c>
      <c r="AU259" t="b">
        <v>1</v>
      </c>
      <c r="AV259">
        <v>180</v>
      </c>
      <c r="AW259">
        <v>18.125</v>
      </c>
      <c r="AX259">
        <v>1</v>
      </c>
      <c r="AZ259">
        <v>7205</v>
      </c>
      <c r="BA259">
        <v>1</v>
      </c>
      <c r="BB259" t="str">
        <f t="shared" si="14"/>
        <v xml:space="preserve">KAP400  </v>
      </c>
      <c r="BC259">
        <v>1</v>
      </c>
      <c r="BE259">
        <v>0</v>
      </c>
      <c r="BF259">
        <v>0</v>
      </c>
      <c r="BG259">
        <v>0</v>
      </c>
      <c r="BI259">
        <v>1</v>
      </c>
      <c r="BJ259">
        <v>1</v>
      </c>
      <c r="BK259">
        <v>1</v>
      </c>
      <c r="BL259">
        <v>0</v>
      </c>
      <c r="BO259">
        <v>0</v>
      </c>
      <c r="BP259">
        <v>0</v>
      </c>
      <c r="BW259" t="str">
        <f>"19:06:03.264"</f>
        <v>19:06:03.264</v>
      </c>
      <c r="BX259" t="s">
        <v>119</v>
      </c>
      <c r="BY259" t="s">
        <v>120</v>
      </c>
      <c r="CJ259">
        <v>0</v>
      </c>
      <c r="CK259">
        <v>0</v>
      </c>
      <c r="CL259">
        <v>0</v>
      </c>
      <c r="CM259">
        <v>2</v>
      </c>
      <c r="CN259">
        <v>0</v>
      </c>
      <c r="CO259">
        <v>7</v>
      </c>
      <c r="CP259" t="s">
        <v>121</v>
      </c>
      <c r="CQ259">
        <v>581</v>
      </c>
      <c r="CR259">
        <v>0</v>
      </c>
      <c r="CW259">
        <v>14648649</v>
      </c>
      <c r="CY259">
        <v>0</v>
      </c>
      <c r="CZ259">
        <v>0</v>
      </c>
      <c r="DA259">
        <v>0</v>
      </c>
      <c r="DB259">
        <v>1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</row>
    <row r="260" spans="1:113" x14ac:dyDescent="0.3">
      <c r="A260" t="str">
        <f>"06/16/2022 19:06:04.407"</f>
        <v>06/16/2022 19:06:04.407</v>
      </c>
      <c r="C260" t="str">
        <f t="shared" si="12"/>
        <v>FFBF5BC0</v>
      </c>
      <c r="D260" t="s">
        <v>113</v>
      </c>
      <c r="E260">
        <v>8</v>
      </c>
      <c r="H260">
        <v>206</v>
      </c>
      <c r="I260" t="s">
        <v>114</v>
      </c>
      <c r="J260" t="s">
        <v>115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>"19:06:04.180"</f>
        <v>19:06:04.180</v>
      </c>
      <c r="T260" t="str">
        <f>"19:06:04.180"</f>
        <v>19:06:04.180</v>
      </c>
      <c r="U260" t="str">
        <f t="shared" si="13"/>
        <v>AB63B2</v>
      </c>
      <c r="V260">
        <v>0</v>
      </c>
      <c r="W260">
        <v>0</v>
      </c>
      <c r="X260">
        <v>6</v>
      </c>
      <c r="Z260">
        <v>0</v>
      </c>
      <c r="AA260">
        <v>9</v>
      </c>
      <c r="AB260">
        <v>3</v>
      </c>
      <c r="AC260">
        <v>0</v>
      </c>
      <c r="AD260">
        <v>10</v>
      </c>
      <c r="AE260">
        <v>0</v>
      </c>
      <c r="AF260">
        <v>0</v>
      </c>
      <c r="AG260">
        <v>2</v>
      </c>
      <c r="AH260">
        <v>0</v>
      </c>
      <c r="AI260" t="s">
        <v>215</v>
      </c>
      <c r="AJ260">
        <v>41.98715</v>
      </c>
      <c r="AK260" t="s">
        <v>136</v>
      </c>
      <c r="AL260">
        <v>-87.894917000000007</v>
      </c>
      <c r="AS260">
        <v>1</v>
      </c>
      <c r="AT260" t="s">
        <v>118</v>
      </c>
      <c r="AU260" t="b">
        <v>1</v>
      </c>
      <c r="AV260">
        <v>180</v>
      </c>
      <c r="AW260">
        <v>18.125</v>
      </c>
      <c r="AX260">
        <v>1</v>
      </c>
      <c r="AZ260">
        <v>7205</v>
      </c>
      <c r="BA260">
        <v>1</v>
      </c>
      <c r="BB260" t="str">
        <f t="shared" si="14"/>
        <v xml:space="preserve">KAP400  </v>
      </c>
      <c r="BC260">
        <v>1</v>
      </c>
      <c r="BE260">
        <v>0</v>
      </c>
      <c r="BF260">
        <v>0</v>
      </c>
      <c r="BG260">
        <v>0</v>
      </c>
      <c r="BI260">
        <v>1</v>
      </c>
      <c r="BJ260">
        <v>1</v>
      </c>
      <c r="BK260">
        <v>1</v>
      </c>
      <c r="BL260">
        <v>0</v>
      </c>
      <c r="BO260">
        <v>0</v>
      </c>
      <c r="BP260">
        <v>0</v>
      </c>
      <c r="BW260" t="str">
        <f>"19:06:04.180"</f>
        <v>19:06:04.180</v>
      </c>
      <c r="BX260" t="s">
        <v>119</v>
      </c>
      <c r="BY260" t="s">
        <v>120</v>
      </c>
      <c r="CJ260">
        <v>0</v>
      </c>
      <c r="CK260">
        <v>0</v>
      </c>
      <c r="CL260">
        <v>0</v>
      </c>
      <c r="CM260">
        <v>2</v>
      </c>
      <c r="CN260">
        <v>0</v>
      </c>
      <c r="CO260">
        <v>7</v>
      </c>
      <c r="CP260" t="s">
        <v>121</v>
      </c>
      <c r="CQ260">
        <v>582</v>
      </c>
      <c r="CR260">
        <v>0</v>
      </c>
      <c r="CW260">
        <v>5616505</v>
      </c>
      <c r="CY260">
        <v>0</v>
      </c>
      <c r="CZ260">
        <v>0</v>
      </c>
      <c r="DA260">
        <v>0</v>
      </c>
      <c r="DB260">
        <v>1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</row>
    <row r="261" spans="1:113" x14ac:dyDescent="0.3">
      <c r="A261" t="str">
        <f>"06/16/2022 19:06:05.438"</f>
        <v>06/16/2022 19:06:05.438</v>
      </c>
      <c r="C261" t="str">
        <f t="shared" si="12"/>
        <v>FFBF5BC0</v>
      </c>
      <c r="D261" t="s">
        <v>113</v>
      </c>
      <c r="E261">
        <v>8</v>
      </c>
      <c r="H261">
        <v>206</v>
      </c>
      <c r="I261" t="s">
        <v>114</v>
      </c>
      <c r="J261" t="s">
        <v>115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>"19:06:05.141"</f>
        <v>19:06:05.141</v>
      </c>
      <c r="T261" t="str">
        <f>"19:06:05.141"</f>
        <v>19:06:05.141</v>
      </c>
      <c r="U261" t="str">
        <f t="shared" si="13"/>
        <v>AB63B2</v>
      </c>
      <c r="V261">
        <v>0</v>
      </c>
      <c r="W261">
        <v>0</v>
      </c>
      <c r="X261">
        <v>6</v>
      </c>
      <c r="Z261">
        <v>0</v>
      </c>
      <c r="AA261">
        <v>9</v>
      </c>
      <c r="AB261">
        <v>3</v>
      </c>
      <c r="AC261">
        <v>0</v>
      </c>
      <c r="AD261">
        <v>10</v>
      </c>
      <c r="AE261">
        <v>0</v>
      </c>
      <c r="AF261">
        <v>0</v>
      </c>
      <c r="AG261">
        <v>2</v>
      </c>
      <c r="AH261">
        <v>0</v>
      </c>
      <c r="AI261" t="s">
        <v>216</v>
      </c>
      <c r="AJ261">
        <v>41.987085</v>
      </c>
      <c r="AK261" t="s">
        <v>136</v>
      </c>
      <c r="AL261">
        <v>-87.894917000000007</v>
      </c>
      <c r="AS261">
        <v>1</v>
      </c>
      <c r="AT261" t="s">
        <v>118</v>
      </c>
      <c r="AU261" t="b">
        <v>1</v>
      </c>
      <c r="AV261">
        <v>180</v>
      </c>
      <c r="AW261">
        <v>17.125</v>
      </c>
      <c r="AX261">
        <v>1</v>
      </c>
      <c r="AZ261">
        <v>7205</v>
      </c>
      <c r="BA261">
        <v>1</v>
      </c>
      <c r="BB261" t="str">
        <f t="shared" si="14"/>
        <v xml:space="preserve">KAP400  </v>
      </c>
      <c r="BC261">
        <v>1</v>
      </c>
      <c r="BE261">
        <v>0</v>
      </c>
      <c r="BF261">
        <v>0</v>
      </c>
      <c r="BG261">
        <v>0</v>
      </c>
      <c r="BI261">
        <v>1</v>
      </c>
      <c r="BJ261">
        <v>1</v>
      </c>
      <c r="BK261">
        <v>1</v>
      </c>
      <c r="BL261">
        <v>0</v>
      </c>
      <c r="BO261">
        <v>0</v>
      </c>
      <c r="BP261">
        <v>0</v>
      </c>
      <c r="BW261" t="str">
        <f>"19:06:05.145"</f>
        <v>19:06:05.145</v>
      </c>
      <c r="BX261" t="s">
        <v>119</v>
      </c>
      <c r="BY261" t="s">
        <v>120</v>
      </c>
      <c r="CJ261">
        <v>0</v>
      </c>
      <c r="CK261">
        <v>0</v>
      </c>
      <c r="CL261">
        <v>0</v>
      </c>
      <c r="CM261">
        <v>2</v>
      </c>
      <c r="CN261">
        <v>0</v>
      </c>
      <c r="CO261">
        <v>7</v>
      </c>
      <c r="CP261" t="s">
        <v>121</v>
      </c>
      <c r="CQ261">
        <v>582</v>
      </c>
      <c r="CR261">
        <v>0</v>
      </c>
      <c r="CW261">
        <v>5617986</v>
      </c>
      <c r="CY261">
        <v>0</v>
      </c>
      <c r="CZ261">
        <v>0</v>
      </c>
      <c r="DA261">
        <v>0</v>
      </c>
      <c r="DB261">
        <v>1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</row>
    <row r="262" spans="1:113" x14ac:dyDescent="0.3">
      <c r="A262" t="str">
        <f>"06/16/2022 19:06:07.421"</f>
        <v>06/16/2022 19:06:07.421</v>
      </c>
      <c r="C262" t="str">
        <f t="shared" si="12"/>
        <v>FFBF5BC0</v>
      </c>
      <c r="D262" t="s">
        <v>113</v>
      </c>
      <c r="E262">
        <v>8</v>
      </c>
      <c r="H262">
        <v>206</v>
      </c>
      <c r="I262" t="s">
        <v>114</v>
      </c>
      <c r="J262" t="s">
        <v>115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>"19:06:07.188"</f>
        <v>19:06:07.188</v>
      </c>
      <c r="T262" t="str">
        <f>"19:06:07.188"</f>
        <v>19:06:07.188</v>
      </c>
      <c r="U262" t="str">
        <f t="shared" si="13"/>
        <v>AB63B2</v>
      </c>
      <c r="V262">
        <v>0</v>
      </c>
      <c r="W262">
        <v>0</v>
      </c>
      <c r="X262">
        <v>6</v>
      </c>
      <c r="Z262">
        <v>0</v>
      </c>
      <c r="AA262">
        <v>9</v>
      </c>
      <c r="AB262">
        <v>3</v>
      </c>
      <c r="AC262">
        <v>0</v>
      </c>
      <c r="AD262">
        <v>10</v>
      </c>
      <c r="AE262">
        <v>0</v>
      </c>
      <c r="AF262">
        <v>0</v>
      </c>
      <c r="AG262">
        <v>2</v>
      </c>
      <c r="AH262">
        <v>0</v>
      </c>
      <c r="AI262" t="s">
        <v>217</v>
      </c>
      <c r="AJ262">
        <v>41.986935000000003</v>
      </c>
      <c r="AK262" t="s">
        <v>136</v>
      </c>
      <c r="AL262">
        <v>-87.894917000000007</v>
      </c>
      <c r="AS262">
        <v>1</v>
      </c>
      <c r="AT262" t="s">
        <v>118</v>
      </c>
      <c r="AU262" t="b">
        <v>1</v>
      </c>
      <c r="AV262">
        <v>180</v>
      </c>
      <c r="AW262">
        <v>16.125</v>
      </c>
      <c r="AX262">
        <v>1</v>
      </c>
      <c r="AZ262">
        <v>7205</v>
      </c>
      <c r="BA262">
        <v>1</v>
      </c>
      <c r="BB262" t="str">
        <f t="shared" si="14"/>
        <v xml:space="preserve">KAP400  </v>
      </c>
      <c r="BC262">
        <v>1</v>
      </c>
      <c r="BE262">
        <v>0</v>
      </c>
      <c r="BF262">
        <v>0</v>
      </c>
      <c r="BG262">
        <v>0</v>
      </c>
      <c r="BI262">
        <v>1</v>
      </c>
      <c r="BJ262">
        <v>1</v>
      </c>
      <c r="BK262">
        <v>1</v>
      </c>
      <c r="BL262">
        <v>0</v>
      </c>
      <c r="BO262">
        <v>0</v>
      </c>
      <c r="BP262">
        <v>0</v>
      </c>
      <c r="BW262" t="str">
        <f>"19:06:07.190"</f>
        <v>19:06:07.190</v>
      </c>
      <c r="BX262" t="s">
        <v>119</v>
      </c>
      <c r="BY262" t="s">
        <v>120</v>
      </c>
      <c r="CJ262">
        <v>0</v>
      </c>
      <c r="CK262">
        <v>0</v>
      </c>
      <c r="CL262">
        <v>0</v>
      </c>
      <c r="CM262">
        <v>2</v>
      </c>
      <c r="CN262">
        <v>0</v>
      </c>
      <c r="CO262">
        <v>6</v>
      </c>
      <c r="CP262" t="s">
        <v>121</v>
      </c>
      <c r="CQ262">
        <v>582</v>
      </c>
      <c r="CR262">
        <v>0</v>
      </c>
      <c r="CW262">
        <v>5621224</v>
      </c>
      <c r="CY262">
        <v>0</v>
      </c>
      <c r="CZ262">
        <v>0</v>
      </c>
      <c r="DA262">
        <v>0</v>
      </c>
      <c r="DB262">
        <v>1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</row>
    <row r="263" spans="1:113" x14ac:dyDescent="0.3">
      <c r="A263" t="str">
        <f>"06/16/2022 19:06:21.953"</f>
        <v>06/16/2022 19:06:21.953</v>
      </c>
      <c r="C263" t="str">
        <f t="shared" si="12"/>
        <v>FFBF5BC0</v>
      </c>
      <c r="D263" t="s">
        <v>113</v>
      </c>
      <c r="E263">
        <v>8</v>
      </c>
      <c r="H263">
        <v>206</v>
      </c>
      <c r="I263" t="s">
        <v>114</v>
      </c>
      <c r="J263" t="s">
        <v>115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>"19:06:21.742"</f>
        <v>19:06:21.742</v>
      </c>
      <c r="T263" t="str">
        <f>"19:06:21.742"</f>
        <v>19:06:21.742</v>
      </c>
      <c r="U263" t="str">
        <f t="shared" si="13"/>
        <v>AB63B2</v>
      </c>
      <c r="V263">
        <v>0</v>
      </c>
      <c r="W263">
        <v>0</v>
      </c>
      <c r="X263">
        <v>6</v>
      </c>
      <c r="Z263">
        <v>0</v>
      </c>
      <c r="AA263">
        <v>9</v>
      </c>
      <c r="AB263">
        <v>3</v>
      </c>
      <c r="AC263">
        <v>0</v>
      </c>
      <c r="AD263">
        <v>10</v>
      </c>
      <c r="AE263">
        <v>0</v>
      </c>
      <c r="AF263">
        <v>0</v>
      </c>
      <c r="AG263">
        <v>2</v>
      </c>
      <c r="AH263">
        <v>0</v>
      </c>
      <c r="AI263" t="s">
        <v>218</v>
      </c>
      <c r="AJ263">
        <v>41.985798000000003</v>
      </c>
      <c r="AK263" t="s">
        <v>141</v>
      </c>
      <c r="AL263">
        <v>-87.894937999999996</v>
      </c>
      <c r="AS263">
        <v>1</v>
      </c>
      <c r="AT263" t="s">
        <v>118</v>
      </c>
      <c r="AU263" t="b">
        <v>1</v>
      </c>
      <c r="AV263">
        <v>180</v>
      </c>
      <c r="AW263">
        <v>19.125</v>
      </c>
      <c r="AX263">
        <v>1</v>
      </c>
      <c r="AZ263">
        <v>7205</v>
      </c>
      <c r="BA263">
        <v>1</v>
      </c>
      <c r="BB263" t="str">
        <f t="shared" si="14"/>
        <v xml:space="preserve">KAP400  </v>
      </c>
      <c r="BC263">
        <v>1</v>
      </c>
      <c r="BE263">
        <v>0</v>
      </c>
      <c r="BF263">
        <v>0</v>
      </c>
      <c r="BG263">
        <v>0</v>
      </c>
      <c r="BI263">
        <v>1</v>
      </c>
      <c r="BJ263">
        <v>1</v>
      </c>
      <c r="BK263">
        <v>1</v>
      </c>
      <c r="BL263">
        <v>0</v>
      </c>
      <c r="BO263">
        <v>0</v>
      </c>
      <c r="BP263">
        <v>0</v>
      </c>
      <c r="BW263" t="str">
        <f>"19:06:21.744"</f>
        <v>19:06:21.744</v>
      </c>
      <c r="BX263" t="s">
        <v>119</v>
      </c>
      <c r="BY263" t="s">
        <v>120</v>
      </c>
      <c r="CJ263">
        <v>0</v>
      </c>
      <c r="CK263">
        <v>0</v>
      </c>
      <c r="CL263">
        <v>0</v>
      </c>
      <c r="CM263">
        <v>2</v>
      </c>
      <c r="CN263">
        <v>0</v>
      </c>
      <c r="CO263">
        <v>7</v>
      </c>
      <c r="CP263" t="s">
        <v>121</v>
      </c>
      <c r="CQ263">
        <v>582</v>
      </c>
      <c r="CR263">
        <v>0</v>
      </c>
      <c r="CW263">
        <v>5642998</v>
      </c>
      <c r="CY263">
        <v>0</v>
      </c>
      <c r="CZ263">
        <v>0</v>
      </c>
      <c r="DA263">
        <v>0</v>
      </c>
      <c r="DB263">
        <v>1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</row>
    <row r="264" spans="1:113" x14ac:dyDescent="0.3">
      <c r="A264" t="str">
        <f>"06/16/2022 19:06:22.953"</f>
        <v>06/16/2022 19:06:22.953</v>
      </c>
      <c r="C264" t="str">
        <f t="shared" si="12"/>
        <v>FFBF5BC0</v>
      </c>
      <c r="D264" t="s">
        <v>113</v>
      </c>
      <c r="E264">
        <v>8</v>
      </c>
      <c r="H264">
        <v>206</v>
      </c>
      <c r="I264" t="s">
        <v>114</v>
      </c>
      <c r="J264" t="s">
        <v>115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>"19:06:22.734"</f>
        <v>19:06:22.734</v>
      </c>
      <c r="T264" t="str">
        <f>"19:06:22.734"</f>
        <v>19:06:22.734</v>
      </c>
      <c r="U264" t="str">
        <f t="shared" si="13"/>
        <v>AB63B2</v>
      </c>
      <c r="V264">
        <v>0</v>
      </c>
      <c r="W264">
        <v>0</v>
      </c>
      <c r="X264">
        <v>6</v>
      </c>
      <c r="Z264">
        <v>0</v>
      </c>
      <c r="AA264">
        <v>9</v>
      </c>
      <c r="AB264">
        <v>3</v>
      </c>
      <c r="AC264">
        <v>0</v>
      </c>
      <c r="AD264">
        <v>10</v>
      </c>
      <c r="AE264">
        <v>0</v>
      </c>
      <c r="AF264">
        <v>0</v>
      </c>
      <c r="AG264">
        <v>2</v>
      </c>
      <c r="AH264">
        <v>0</v>
      </c>
      <c r="AI264" t="s">
        <v>219</v>
      </c>
      <c r="AJ264">
        <v>41.985711999999999</v>
      </c>
      <c r="AK264" t="s">
        <v>141</v>
      </c>
      <c r="AL264">
        <v>-87.894937999999996</v>
      </c>
      <c r="AS264">
        <v>1</v>
      </c>
      <c r="AT264" t="s">
        <v>118</v>
      </c>
      <c r="AU264" t="b">
        <v>1</v>
      </c>
      <c r="AV264">
        <v>180</v>
      </c>
      <c r="AW264">
        <v>19.125</v>
      </c>
      <c r="AX264">
        <v>1</v>
      </c>
      <c r="AZ264">
        <v>7205</v>
      </c>
      <c r="BA264">
        <v>1</v>
      </c>
      <c r="BB264" t="str">
        <f t="shared" si="14"/>
        <v xml:space="preserve">KAP400  </v>
      </c>
      <c r="BC264">
        <v>1</v>
      </c>
      <c r="BE264">
        <v>0</v>
      </c>
      <c r="BF264">
        <v>0</v>
      </c>
      <c r="BG264">
        <v>0</v>
      </c>
      <c r="BI264">
        <v>1</v>
      </c>
      <c r="BJ264">
        <v>1</v>
      </c>
      <c r="BK264">
        <v>1</v>
      </c>
      <c r="BL264">
        <v>0</v>
      </c>
      <c r="BO264">
        <v>0</v>
      </c>
      <c r="BP264">
        <v>0</v>
      </c>
      <c r="BW264" t="str">
        <f>"19:06:22.737"</f>
        <v>19:06:22.737</v>
      </c>
      <c r="BX264" t="s">
        <v>119</v>
      </c>
      <c r="BY264" t="s">
        <v>120</v>
      </c>
      <c r="CJ264">
        <v>0</v>
      </c>
      <c r="CK264">
        <v>0</v>
      </c>
      <c r="CL264">
        <v>0</v>
      </c>
      <c r="CM264">
        <v>2</v>
      </c>
      <c r="CN264">
        <v>0</v>
      </c>
      <c r="CO264">
        <v>7</v>
      </c>
      <c r="CP264" t="s">
        <v>121</v>
      </c>
      <c r="CQ264">
        <v>581</v>
      </c>
      <c r="CR264">
        <v>0</v>
      </c>
      <c r="CW264">
        <v>14679521</v>
      </c>
      <c r="CY264">
        <v>0</v>
      </c>
      <c r="CZ264">
        <v>0</v>
      </c>
      <c r="DA264">
        <v>0</v>
      </c>
      <c r="DB264">
        <v>1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</row>
    <row r="265" spans="1:113" x14ac:dyDescent="0.3">
      <c r="A265" t="str">
        <f>"06/16/2022 19:06:24.047"</f>
        <v>06/16/2022 19:06:24.047</v>
      </c>
      <c r="C265" t="str">
        <f t="shared" si="12"/>
        <v>FFBF5BC0</v>
      </c>
      <c r="D265" t="s">
        <v>113</v>
      </c>
      <c r="E265">
        <v>8</v>
      </c>
      <c r="H265">
        <v>206</v>
      </c>
      <c r="I265" t="s">
        <v>114</v>
      </c>
      <c r="J265" t="s">
        <v>115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>"19:06:23.688"</f>
        <v>19:06:23.688</v>
      </c>
      <c r="T265" t="str">
        <f>"19:06:23.688"</f>
        <v>19:06:23.688</v>
      </c>
      <c r="U265" t="str">
        <f t="shared" si="13"/>
        <v>AB63B2</v>
      </c>
      <c r="V265">
        <v>0</v>
      </c>
      <c r="W265">
        <v>0</v>
      </c>
      <c r="X265">
        <v>6</v>
      </c>
      <c r="Z265">
        <v>0</v>
      </c>
      <c r="AA265">
        <v>9</v>
      </c>
      <c r="AB265">
        <v>3</v>
      </c>
      <c r="AC265">
        <v>0</v>
      </c>
      <c r="AD265">
        <v>10</v>
      </c>
      <c r="AE265">
        <v>0</v>
      </c>
      <c r="AF265">
        <v>0</v>
      </c>
      <c r="AG265">
        <v>2</v>
      </c>
      <c r="AH265">
        <v>0</v>
      </c>
      <c r="AI265" t="s">
        <v>220</v>
      </c>
      <c r="AJ265">
        <v>41.985605</v>
      </c>
      <c r="AK265" t="s">
        <v>141</v>
      </c>
      <c r="AL265">
        <v>-87.894937999999996</v>
      </c>
      <c r="AS265">
        <v>1</v>
      </c>
      <c r="AT265" t="s">
        <v>118</v>
      </c>
      <c r="AU265" t="b">
        <v>1</v>
      </c>
      <c r="AV265">
        <v>180</v>
      </c>
      <c r="AW265">
        <v>20.125</v>
      </c>
      <c r="AX265">
        <v>1</v>
      </c>
      <c r="AZ265">
        <v>7205</v>
      </c>
      <c r="BA265">
        <v>1</v>
      </c>
      <c r="BB265" t="str">
        <f t="shared" si="14"/>
        <v xml:space="preserve">KAP400  </v>
      </c>
      <c r="BC265">
        <v>1</v>
      </c>
      <c r="BE265">
        <v>0</v>
      </c>
      <c r="BF265">
        <v>0</v>
      </c>
      <c r="BG265">
        <v>0</v>
      </c>
      <c r="BI265">
        <v>1</v>
      </c>
      <c r="BJ265">
        <v>1</v>
      </c>
      <c r="BK265">
        <v>1</v>
      </c>
      <c r="BL265">
        <v>0</v>
      </c>
      <c r="BO265">
        <v>0</v>
      </c>
      <c r="BP265">
        <v>0</v>
      </c>
      <c r="BW265" t="str">
        <f>"19:06:23.692"</f>
        <v>19:06:23.692</v>
      </c>
      <c r="BX265" t="s">
        <v>119</v>
      </c>
      <c r="BY265" t="s">
        <v>120</v>
      </c>
      <c r="CJ265">
        <v>0</v>
      </c>
      <c r="CK265">
        <v>0</v>
      </c>
      <c r="CL265">
        <v>0</v>
      </c>
      <c r="CM265">
        <v>2</v>
      </c>
      <c r="CN265">
        <v>0</v>
      </c>
      <c r="CO265">
        <v>7</v>
      </c>
      <c r="CP265" t="s">
        <v>121</v>
      </c>
      <c r="CQ265">
        <v>582</v>
      </c>
      <c r="CR265">
        <v>0</v>
      </c>
      <c r="CW265">
        <v>5645835</v>
      </c>
      <c r="CY265">
        <v>0</v>
      </c>
      <c r="CZ265">
        <v>0</v>
      </c>
      <c r="DA265">
        <v>0</v>
      </c>
      <c r="DB265">
        <v>1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</row>
    <row r="266" spans="1:113" x14ac:dyDescent="0.3">
      <c r="A266" t="str">
        <f>"06/16/2022 19:06:25.047"</f>
        <v>06/16/2022 19:06:25.047</v>
      </c>
      <c r="C266" t="str">
        <f t="shared" si="12"/>
        <v>FFBF5BC0</v>
      </c>
      <c r="D266" t="s">
        <v>113</v>
      </c>
      <c r="E266">
        <v>8</v>
      </c>
      <c r="H266">
        <v>206</v>
      </c>
      <c r="I266" t="s">
        <v>114</v>
      </c>
      <c r="J266" t="s">
        <v>115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>"19:06:24.813"</f>
        <v>19:06:24.813</v>
      </c>
      <c r="T266" t="str">
        <f>"19:06:24.813"</f>
        <v>19:06:24.813</v>
      </c>
      <c r="U266" t="str">
        <f t="shared" si="13"/>
        <v>AB63B2</v>
      </c>
      <c r="V266">
        <v>0</v>
      </c>
      <c r="W266">
        <v>0</v>
      </c>
      <c r="X266">
        <v>6</v>
      </c>
      <c r="Z266">
        <v>0</v>
      </c>
      <c r="AA266">
        <v>9</v>
      </c>
      <c r="AB266">
        <v>3</v>
      </c>
      <c r="AC266">
        <v>0</v>
      </c>
      <c r="AD266">
        <v>10</v>
      </c>
      <c r="AE266">
        <v>0</v>
      </c>
      <c r="AF266">
        <v>0</v>
      </c>
      <c r="AG266">
        <v>2</v>
      </c>
      <c r="AH266">
        <v>0</v>
      </c>
      <c r="AI266" t="s">
        <v>221</v>
      </c>
      <c r="AJ266">
        <v>41.985518999999996</v>
      </c>
      <c r="AK266" t="s">
        <v>141</v>
      </c>
      <c r="AL266">
        <v>-87.894937999999996</v>
      </c>
      <c r="AS266">
        <v>1</v>
      </c>
      <c r="AT266" t="s">
        <v>118</v>
      </c>
      <c r="AU266" t="b">
        <v>1</v>
      </c>
      <c r="AV266">
        <v>180</v>
      </c>
      <c r="AW266">
        <v>20.125</v>
      </c>
      <c r="AX266">
        <v>1</v>
      </c>
      <c r="AZ266">
        <v>7205</v>
      </c>
      <c r="BA266">
        <v>1</v>
      </c>
      <c r="BB266" t="str">
        <f t="shared" si="14"/>
        <v xml:space="preserve">KAP400  </v>
      </c>
      <c r="BC266">
        <v>1</v>
      </c>
      <c r="BE266">
        <v>0</v>
      </c>
      <c r="BF266">
        <v>0</v>
      </c>
      <c r="BG266">
        <v>0</v>
      </c>
      <c r="BI266">
        <v>1</v>
      </c>
      <c r="BJ266">
        <v>1</v>
      </c>
      <c r="BK266">
        <v>1</v>
      </c>
      <c r="BL266">
        <v>0</v>
      </c>
      <c r="BO266">
        <v>0</v>
      </c>
      <c r="BP266">
        <v>0</v>
      </c>
      <c r="BW266" t="str">
        <f>"19:06:24.814"</f>
        <v>19:06:24.814</v>
      </c>
      <c r="BX266" t="s">
        <v>119</v>
      </c>
      <c r="BY266" t="s">
        <v>120</v>
      </c>
      <c r="CJ266">
        <v>0</v>
      </c>
      <c r="CK266">
        <v>0</v>
      </c>
      <c r="CL266">
        <v>0</v>
      </c>
      <c r="CM266">
        <v>2</v>
      </c>
      <c r="CN266">
        <v>0</v>
      </c>
      <c r="CO266">
        <v>7</v>
      </c>
      <c r="CP266" t="s">
        <v>121</v>
      </c>
      <c r="CQ266">
        <v>582</v>
      </c>
      <c r="CR266">
        <v>0</v>
      </c>
      <c r="CW266">
        <v>5647391</v>
      </c>
      <c r="CY266">
        <v>0</v>
      </c>
      <c r="CZ266">
        <v>0</v>
      </c>
      <c r="DA266">
        <v>0</v>
      </c>
      <c r="DB266">
        <v>1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</row>
    <row r="267" spans="1:113" x14ac:dyDescent="0.3">
      <c r="A267" t="str">
        <f>"06/16/2022 19:06:26.031"</f>
        <v>06/16/2022 19:06:26.031</v>
      </c>
      <c r="C267" t="str">
        <f t="shared" si="12"/>
        <v>FFBF5BC0</v>
      </c>
      <c r="D267" t="s">
        <v>113</v>
      </c>
      <c r="E267">
        <v>8</v>
      </c>
      <c r="H267">
        <v>206</v>
      </c>
      <c r="I267" t="s">
        <v>114</v>
      </c>
      <c r="J267" t="s">
        <v>115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>"19:06:25.773"</f>
        <v>19:06:25.773</v>
      </c>
      <c r="T267" t="str">
        <f>"19:06:25.773"</f>
        <v>19:06:25.773</v>
      </c>
      <c r="U267" t="str">
        <f t="shared" si="13"/>
        <v>AB63B2</v>
      </c>
      <c r="V267">
        <v>0</v>
      </c>
      <c r="W267">
        <v>0</v>
      </c>
      <c r="X267">
        <v>6</v>
      </c>
      <c r="Z267">
        <v>0</v>
      </c>
      <c r="AA267">
        <v>9</v>
      </c>
      <c r="AB267">
        <v>3</v>
      </c>
      <c r="AC267">
        <v>0</v>
      </c>
      <c r="AD267">
        <v>10</v>
      </c>
      <c r="AE267">
        <v>0</v>
      </c>
      <c r="AF267">
        <v>0</v>
      </c>
      <c r="AG267">
        <v>2</v>
      </c>
      <c r="AH267">
        <v>0</v>
      </c>
      <c r="AI267" t="s">
        <v>222</v>
      </c>
      <c r="AJ267">
        <v>41.985433</v>
      </c>
      <c r="AK267" t="s">
        <v>141</v>
      </c>
      <c r="AL267">
        <v>-87.894937999999996</v>
      </c>
      <c r="AS267">
        <v>1</v>
      </c>
      <c r="AT267" t="s">
        <v>118</v>
      </c>
      <c r="AU267" t="b">
        <v>1</v>
      </c>
      <c r="AV267">
        <v>180</v>
      </c>
      <c r="AW267">
        <v>20.125</v>
      </c>
      <c r="AX267">
        <v>1</v>
      </c>
      <c r="AZ267">
        <v>7205</v>
      </c>
      <c r="BA267">
        <v>1</v>
      </c>
      <c r="BB267" t="str">
        <f t="shared" si="14"/>
        <v xml:space="preserve">KAP400  </v>
      </c>
      <c r="BC267">
        <v>1</v>
      </c>
      <c r="BE267">
        <v>0</v>
      </c>
      <c r="BF267">
        <v>0</v>
      </c>
      <c r="BG267">
        <v>0</v>
      </c>
      <c r="BI267">
        <v>1</v>
      </c>
      <c r="BJ267">
        <v>1</v>
      </c>
      <c r="BK267">
        <v>1</v>
      </c>
      <c r="BL267">
        <v>0</v>
      </c>
      <c r="BO267">
        <v>0</v>
      </c>
      <c r="BP267">
        <v>0</v>
      </c>
      <c r="BW267" t="str">
        <f>"19:06:25.781"</f>
        <v>19:06:25.781</v>
      </c>
      <c r="BX267" t="s">
        <v>119</v>
      </c>
      <c r="BY267" t="s">
        <v>120</v>
      </c>
      <c r="CJ267">
        <v>0</v>
      </c>
      <c r="CK267">
        <v>0</v>
      </c>
      <c r="CL267">
        <v>0</v>
      </c>
      <c r="CM267">
        <v>2</v>
      </c>
      <c r="CN267">
        <v>0</v>
      </c>
      <c r="CO267">
        <v>7</v>
      </c>
      <c r="CP267" t="s">
        <v>121</v>
      </c>
      <c r="CQ267">
        <v>582</v>
      </c>
      <c r="CR267">
        <v>0</v>
      </c>
      <c r="CW267">
        <v>5648946</v>
      </c>
      <c r="CY267">
        <v>0</v>
      </c>
      <c r="CZ267">
        <v>0</v>
      </c>
      <c r="DA267">
        <v>0</v>
      </c>
      <c r="DB267">
        <v>1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</row>
    <row r="268" spans="1:113" x14ac:dyDescent="0.3">
      <c r="A268" t="str">
        <f>"06/16/2022 19:06:27.031"</f>
        <v>06/16/2022 19:06:27.031</v>
      </c>
      <c r="C268" t="str">
        <f t="shared" si="12"/>
        <v>FFBF5BC0</v>
      </c>
      <c r="D268" t="s">
        <v>113</v>
      </c>
      <c r="E268">
        <v>8</v>
      </c>
      <c r="H268">
        <v>206</v>
      </c>
      <c r="I268" t="s">
        <v>114</v>
      </c>
      <c r="J268" t="s">
        <v>115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>"19:06:26.813"</f>
        <v>19:06:26.813</v>
      </c>
      <c r="T268" t="str">
        <f>"19:06:26.813"</f>
        <v>19:06:26.813</v>
      </c>
      <c r="U268" t="str">
        <f t="shared" si="13"/>
        <v>AB63B2</v>
      </c>
      <c r="V268">
        <v>0</v>
      </c>
      <c r="W268">
        <v>0</v>
      </c>
      <c r="X268">
        <v>6</v>
      </c>
      <c r="Z268">
        <v>0</v>
      </c>
      <c r="AA268">
        <v>9</v>
      </c>
      <c r="AB268">
        <v>3</v>
      </c>
      <c r="AC268">
        <v>0</v>
      </c>
      <c r="AD268">
        <v>10</v>
      </c>
      <c r="AE268">
        <v>0</v>
      </c>
      <c r="AF268">
        <v>0</v>
      </c>
      <c r="AG268">
        <v>2</v>
      </c>
      <c r="AH268">
        <v>0</v>
      </c>
      <c r="AI268" t="s">
        <v>223</v>
      </c>
      <c r="AJ268">
        <v>41.985326000000001</v>
      </c>
      <c r="AK268" t="s">
        <v>141</v>
      </c>
      <c r="AL268">
        <v>-87.894937999999996</v>
      </c>
      <c r="AS268">
        <v>1</v>
      </c>
      <c r="AT268" t="s">
        <v>118</v>
      </c>
      <c r="AU268" t="b">
        <v>1</v>
      </c>
      <c r="AV268">
        <v>177.19</v>
      </c>
      <c r="AW268">
        <v>20.125</v>
      </c>
      <c r="AX268">
        <v>1</v>
      </c>
      <c r="AZ268">
        <v>7205</v>
      </c>
      <c r="BA268">
        <v>1</v>
      </c>
      <c r="BB268" t="str">
        <f t="shared" si="14"/>
        <v xml:space="preserve">KAP400  </v>
      </c>
      <c r="BC268">
        <v>1</v>
      </c>
      <c r="BE268">
        <v>0</v>
      </c>
      <c r="BF268">
        <v>0</v>
      </c>
      <c r="BG268">
        <v>0</v>
      </c>
      <c r="BI268">
        <v>1</v>
      </c>
      <c r="BJ268">
        <v>1</v>
      </c>
      <c r="BK268">
        <v>1</v>
      </c>
      <c r="BL268">
        <v>0</v>
      </c>
      <c r="BO268">
        <v>0</v>
      </c>
      <c r="BP268">
        <v>0</v>
      </c>
      <c r="BW268" t="str">
        <f>"19:06:26.818"</f>
        <v>19:06:26.818</v>
      </c>
      <c r="BX268" t="s">
        <v>119</v>
      </c>
      <c r="BY268" t="s">
        <v>120</v>
      </c>
      <c r="CJ268">
        <v>0</v>
      </c>
      <c r="CK268">
        <v>0</v>
      </c>
      <c r="CL268">
        <v>0</v>
      </c>
      <c r="CM268">
        <v>2</v>
      </c>
      <c r="CN268">
        <v>0</v>
      </c>
      <c r="CO268">
        <v>7</v>
      </c>
      <c r="CP268" t="s">
        <v>121</v>
      </c>
      <c r="CQ268">
        <v>582</v>
      </c>
      <c r="CR268">
        <v>0</v>
      </c>
      <c r="CW268">
        <v>5650561</v>
      </c>
      <c r="CY268">
        <v>0</v>
      </c>
      <c r="CZ268">
        <v>0</v>
      </c>
      <c r="DA268">
        <v>0</v>
      </c>
      <c r="DB268">
        <v>1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</row>
    <row r="269" spans="1:113" x14ac:dyDescent="0.3">
      <c r="A269" t="str">
        <f>"06/16/2022 19:06:28.110"</f>
        <v>06/16/2022 19:06:28.110</v>
      </c>
      <c r="C269" t="str">
        <f t="shared" si="12"/>
        <v>FFBF5BC0</v>
      </c>
      <c r="D269" t="s">
        <v>113</v>
      </c>
      <c r="E269">
        <v>8</v>
      </c>
      <c r="H269">
        <v>206</v>
      </c>
      <c r="I269" t="s">
        <v>114</v>
      </c>
      <c r="J269" t="s">
        <v>115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>"19:06:27.844"</f>
        <v>19:06:27.844</v>
      </c>
      <c r="T269" t="str">
        <f>"19:06:27.844"</f>
        <v>19:06:27.844</v>
      </c>
      <c r="U269" t="str">
        <f t="shared" si="13"/>
        <v>AB63B2</v>
      </c>
      <c r="V269">
        <v>0</v>
      </c>
      <c r="W269">
        <v>0</v>
      </c>
      <c r="X269">
        <v>6</v>
      </c>
      <c r="Z269">
        <v>0</v>
      </c>
      <c r="AA269">
        <v>9</v>
      </c>
      <c r="AB269">
        <v>3</v>
      </c>
      <c r="AC269">
        <v>0</v>
      </c>
      <c r="AD269">
        <v>10</v>
      </c>
      <c r="AE269">
        <v>0</v>
      </c>
      <c r="AF269">
        <v>0</v>
      </c>
      <c r="AG269">
        <v>2</v>
      </c>
      <c r="AH269">
        <v>0</v>
      </c>
      <c r="AI269" t="s">
        <v>224</v>
      </c>
      <c r="AJ269">
        <v>41.985239999999997</v>
      </c>
      <c r="AK269" t="s">
        <v>136</v>
      </c>
      <c r="AL269">
        <v>-87.894917000000007</v>
      </c>
      <c r="AS269">
        <v>1</v>
      </c>
      <c r="AT269" t="s">
        <v>118</v>
      </c>
      <c r="AU269" t="b">
        <v>1</v>
      </c>
      <c r="AV269">
        <v>180</v>
      </c>
      <c r="AW269">
        <v>20.125</v>
      </c>
      <c r="AX269">
        <v>1</v>
      </c>
      <c r="AZ269">
        <v>7205</v>
      </c>
      <c r="BA269">
        <v>1</v>
      </c>
      <c r="BB269" t="str">
        <f t="shared" si="14"/>
        <v xml:space="preserve">KAP400  </v>
      </c>
      <c r="BC269">
        <v>1</v>
      </c>
      <c r="BE269">
        <v>0</v>
      </c>
      <c r="BF269">
        <v>0</v>
      </c>
      <c r="BG269">
        <v>0</v>
      </c>
      <c r="BI269">
        <v>1</v>
      </c>
      <c r="BJ269">
        <v>1</v>
      </c>
      <c r="BK269">
        <v>1</v>
      </c>
      <c r="BL269">
        <v>0</v>
      </c>
      <c r="BO269">
        <v>0</v>
      </c>
      <c r="BP269">
        <v>0</v>
      </c>
      <c r="BW269" t="str">
        <f>"19:06:27.850"</f>
        <v>19:06:27.850</v>
      </c>
      <c r="BX269" t="s">
        <v>119</v>
      </c>
      <c r="BY269" t="s">
        <v>120</v>
      </c>
      <c r="CJ269">
        <v>0</v>
      </c>
      <c r="CK269">
        <v>0</v>
      </c>
      <c r="CL269">
        <v>0</v>
      </c>
      <c r="CM269">
        <v>2</v>
      </c>
      <c r="CN269">
        <v>0</v>
      </c>
      <c r="CO269">
        <v>7</v>
      </c>
      <c r="CP269" t="s">
        <v>121</v>
      </c>
      <c r="CQ269">
        <v>582</v>
      </c>
      <c r="CR269">
        <v>0</v>
      </c>
      <c r="CW269">
        <v>5652071</v>
      </c>
      <c r="CY269">
        <v>0</v>
      </c>
      <c r="CZ269">
        <v>0</v>
      </c>
      <c r="DA269">
        <v>0</v>
      </c>
      <c r="DB269">
        <v>1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</row>
    <row r="270" spans="1:113" x14ac:dyDescent="0.3">
      <c r="A270" t="str">
        <f>"06/16/2022 19:06:29.110"</f>
        <v>06/16/2022 19:06:29.110</v>
      </c>
      <c r="C270" t="str">
        <f t="shared" si="12"/>
        <v>FFBF5BC0</v>
      </c>
      <c r="D270" t="s">
        <v>113</v>
      </c>
      <c r="E270">
        <v>8</v>
      </c>
      <c r="H270">
        <v>206</v>
      </c>
      <c r="I270" t="s">
        <v>114</v>
      </c>
      <c r="J270" t="s">
        <v>115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>"19:06:28.859"</f>
        <v>19:06:28.859</v>
      </c>
      <c r="T270" t="str">
        <f>"19:06:28.859"</f>
        <v>19:06:28.859</v>
      </c>
      <c r="U270" t="str">
        <f t="shared" si="13"/>
        <v>AB63B2</v>
      </c>
      <c r="V270">
        <v>0</v>
      </c>
      <c r="W270">
        <v>0</v>
      </c>
      <c r="X270">
        <v>6</v>
      </c>
      <c r="Z270">
        <v>0</v>
      </c>
      <c r="AA270">
        <v>9</v>
      </c>
      <c r="AB270">
        <v>3</v>
      </c>
      <c r="AC270">
        <v>0</v>
      </c>
      <c r="AD270">
        <v>10</v>
      </c>
      <c r="AE270">
        <v>0</v>
      </c>
      <c r="AF270">
        <v>0</v>
      </c>
      <c r="AG270">
        <v>2</v>
      </c>
      <c r="AH270">
        <v>0</v>
      </c>
      <c r="AI270" t="s">
        <v>225</v>
      </c>
      <c r="AJ270">
        <v>41.985132999999998</v>
      </c>
      <c r="AK270" t="s">
        <v>136</v>
      </c>
      <c r="AL270">
        <v>-87.894917000000007</v>
      </c>
      <c r="AS270">
        <v>1</v>
      </c>
      <c r="AT270" t="s">
        <v>118</v>
      </c>
      <c r="AU270" t="b">
        <v>1</v>
      </c>
      <c r="AV270">
        <v>180</v>
      </c>
      <c r="AW270">
        <v>20.125</v>
      </c>
      <c r="AX270">
        <v>1</v>
      </c>
      <c r="AZ270">
        <v>7205</v>
      </c>
      <c r="BA270">
        <v>1</v>
      </c>
      <c r="BB270" t="str">
        <f t="shared" si="14"/>
        <v xml:space="preserve">KAP400  </v>
      </c>
      <c r="BC270">
        <v>1</v>
      </c>
      <c r="BE270">
        <v>0</v>
      </c>
      <c r="BF270">
        <v>0</v>
      </c>
      <c r="BG270">
        <v>0</v>
      </c>
      <c r="BI270">
        <v>1</v>
      </c>
      <c r="BJ270">
        <v>1</v>
      </c>
      <c r="BK270">
        <v>1</v>
      </c>
      <c r="BL270">
        <v>0</v>
      </c>
      <c r="BO270">
        <v>0</v>
      </c>
      <c r="BP270">
        <v>0</v>
      </c>
      <c r="BW270" t="str">
        <f>"19:06:28.861"</f>
        <v>19:06:28.861</v>
      </c>
      <c r="BX270" t="s">
        <v>119</v>
      </c>
      <c r="BY270" t="s">
        <v>120</v>
      </c>
      <c r="CJ270">
        <v>0</v>
      </c>
      <c r="CK270">
        <v>0</v>
      </c>
      <c r="CL270">
        <v>0</v>
      </c>
      <c r="CM270">
        <v>2</v>
      </c>
      <c r="CN270">
        <v>0</v>
      </c>
      <c r="CO270">
        <v>6</v>
      </c>
      <c r="CP270" t="s">
        <v>121</v>
      </c>
      <c r="CQ270">
        <v>581</v>
      </c>
      <c r="CR270">
        <v>0</v>
      </c>
      <c r="CW270">
        <v>14689190</v>
      </c>
      <c r="CY270">
        <v>0</v>
      </c>
      <c r="CZ270">
        <v>0</v>
      </c>
      <c r="DA270">
        <v>0</v>
      </c>
      <c r="DB270">
        <v>1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</row>
    <row r="271" spans="1:113" x14ac:dyDescent="0.3">
      <c r="A271" t="str">
        <f>"06/16/2022 19:06:30.047"</f>
        <v>06/16/2022 19:06:30.047</v>
      </c>
      <c r="C271" t="str">
        <f t="shared" si="12"/>
        <v>FFBF5BC0</v>
      </c>
      <c r="D271" t="s">
        <v>113</v>
      </c>
      <c r="E271">
        <v>8</v>
      </c>
      <c r="H271">
        <v>206</v>
      </c>
      <c r="I271" t="s">
        <v>114</v>
      </c>
      <c r="J271" t="s">
        <v>115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>"19:06:29.836"</f>
        <v>19:06:29.836</v>
      </c>
      <c r="T271" t="str">
        <f>"19:06:29.836"</f>
        <v>19:06:29.836</v>
      </c>
      <c r="U271" t="str">
        <f t="shared" si="13"/>
        <v>AB63B2</v>
      </c>
      <c r="V271">
        <v>0</v>
      </c>
      <c r="W271">
        <v>0</v>
      </c>
      <c r="X271">
        <v>6</v>
      </c>
      <c r="Z271">
        <v>0</v>
      </c>
      <c r="AA271">
        <v>9</v>
      </c>
      <c r="AB271">
        <v>3</v>
      </c>
      <c r="AC271">
        <v>0</v>
      </c>
      <c r="AD271">
        <v>10</v>
      </c>
      <c r="AE271">
        <v>0</v>
      </c>
      <c r="AF271">
        <v>0</v>
      </c>
      <c r="AG271">
        <v>2</v>
      </c>
      <c r="AH271">
        <v>0</v>
      </c>
      <c r="AI271" t="s">
        <v>226</v>
      </c>
      <c r="AJ271">
        <v>41.985047000000002</v>
      </c>
      <c r="AK271" t="s">
        <v>136</v>
      </c>
      <c r="AL271">
        <v>-87.894917000000007</v>
      </c>
      <c r="AS271">
        <v>1</v>
      </c>
      <c r="AT271" t="s">
        <v>118</v>
      </c>
      <c r="AU271" t="b">
        <v>1</v>
      </c>
      <c r="AV271">
        <v>182.81</v>
      </c>
      <c r="AW271">
        <v>20.125</v>
      </c>
      <c r="AX271">
        <v>1</v>
      </c>
      <c r="AZ271">
        <v>7205</v>
      </c>
      <c r="BA271">
        <v>1</v>
      </c>
      <c r="BB271" t="str">
        <f t="shared" si="14"/>
        <v xml:space="preserve">KAP400  </v>
      </c>
      <c r="BC271">
        <v>1</v>
      </c>
      <c r="BE271">
        <v>0</v>
      </c>
      <c r="BF271">
        <v>0</v>
      </c>
      <c r="BG271">
        <v>0</v>
      </c>
      <c r="BI271">
        <v>1</v>
      </c>
      <c r="BJ271">
        <v>1</v>
      </c>
      <c r="BK271">
        <v>1</v>
      </c>
      <c r="BL271">
        <v>0</v>
      </c>
      <c r="BO271">
        <v>0</v>
      </c>
      <c r="BP271">
        <v>0</v>
      </c>
      <c r="BW271" t="str">
        <f>"19:06:29.839"</f>
        <v>19:06:29.839</v>
      </c>
      <c r="BX271" t="s">
        <v>119</v>
      </c>
      <c r="BY271" t="s">
        <v>120</v>
      </c>
      <c r="CJ271">
        <v>0</v>
      </c>
      <c r="CK271">
        <v>0</v>
      </c>
      <c r="CL271">
        <v>0</v>
      </c>
      <c r="CM271">
        <v>2</v>
      </c>
      <c r="CN271">
        <v>0</v>
      </c>
      <c r="CO271">
        <v>7</v>
      </c>
      <c r="CP271" t="s">
        <v>121</v>
      </c>
      <c r="CQ271">
        <v>582</v>
      </c>
      <c r="CR271">
        <v>0</v>
      </c>
      <c r="CW271">
        <v>5654882</v>
      </c>
      <c r="CY271">
        <v>0</v>
      </c>
      <c r="CZ271">
        <v>0</v>
      </c>
      <c r="DA271">
        <v>0</v>
      </c>
      <c r="DB271">
        <v>1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</row>
    <row r="272" spans="1:113" x14ac:dyDescent="0.3">
      <c r="A272" t="str">
        <f>"06/16/2022 19:06:31.001"</f>
        <v>06/16/2022 19:06:31.001</v>
      </c>
      <c r="C272" t="str">
        <f t="shared" si="12"/>
        <v>FFBF5BC0</v>
      </c>
      <c r="D272" t="s">
        <v>113</v>
      </c>
      <c r="E272">
        <v>8</v>
      </c>
      <c r="H272">
        <v>206</v>
      </c>
      <c r="I272" t="s">
        <v>114</v>
      </c>
      <c r="J272" t="s">
        <v>115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>"19:06:30.711"</f>
        <v>19:06:30.711</v>
      </c>
      <c r="T272" t="str">
        <f>"19:06:30.711"</f>
        <v>19:06:30.711</v>
      </c>
      <c r="U272" t="str">
        <f t="shared" si="13"/>
        <v>AB63B2</v>
      </c>
      <c r="V272">
        <v>0</v>
      </c>
      <c r="W272">
        <v>0</v>
      </c>
      <c r="X272">
        <v>6</v>
      </c>
      <c r="Z272">
        <v>0</v>
      </c>
      <c r="AA272">
        <v>9</v>
      </c>
      <c r="AB272">
        <v>3</v>
      </c>
      <c r="AC272">
        <v>0</v>
      </c>
      <c r="AD272">
        <v>10</v>
      </c>
      <c r="AE272">
        <v>0</v>
      </c>
      <c r="AF272">
        <v>0</v>
      </c>
      <c r="AG272">
        <v>2</v>
      </c>
      <c r="AH272">
        <v>0</v>
      </c>
      <c r="AI272" t="s">
        <v>227</v>
      </c>
      <c r="AJ272">
        <v>41.984982000000002</v>
      </c>
      <c r="AK272" t="s">
        <v>141</v>
      </c>
      <c r="AL272">
        <v>-87.894937999999996</v>
      </c>
      <c r="AS272">
        <v>1</v>
      </c>
      <c r="AT272" t="s">
        <v>118</v>
      </c>
      <c r="AU272" t="b">
        <v>1</v>
      </c>
      <c r="AV272">
        <v>180</v>
      </c>
      <c r="AW272">
        <v>20.125</v>
      </c>
      <c r="AX272">
        <v>1</v>
      </c>
      <c r="AZ272">
        <v>7205</v>
      </c>
      <c r="BA272">
        <v>1</v>
      </c>
      <c r="BB272" t="str">
        <f t="shared" si="14"/>
        <v xml:space="preserve">KAP400  </v>
      </c>
      <c r="BC272">
        <v>1</v>
      </c>
      <c r="BE272">
        <v>0</v>
      </c>
      <c r="BF272">
        <v>0</v>
      </c>
      <c r="BG272">
        <v>0</v>
      </c>
      <c r="BI272">
        <v>1</v>
      </c>
      <c r="BJ272">
        <v>1</v>
      </c>
      <c r="BK272">
        <v>1</v>
      </c>
      <c r="BL272">
        <v>0</v>
      </c>
      <c r="BO272">
        <v>0</v>
      </c>
      <c r="BP272">
        <v>0</v>
      </c>
      <c r="BW272" t="str">
        <f>"19:06:30.714"</f>
        <v>19:06:30.714</v>
      </c>
      <c r="BX272" t="s">
        <v>119</v>
      </c>
      <c r="BY272" t="s">
        <v>120</v>
      </c>
      <c r="CJ272">
        <v>0</v>
      </c>
      <c r="CK272">
        <v>0</v>
      </c>
      <c r="CL272">
        <v>0</v>
      </c>
      <c r="CM272">
        <v>2</v>
      </c>
      <c r="CN272">
        <v>0</v>
      </c>
      <c r="CO272">
        <v>6</v>
      </c>
      <c r="CP272" t="s">
        <v>121</v>
      </c>
      <c r="CQ272">
        <v>581</v>
      </c>
      <c r="CR272">
        <v>0</v>
      </c>
      <c r="CW272">
        <v>14692175</v>
      </c>
      <c r="CY272">
        <v>0</v>
      </c>
      <c r="CZ272">
        <v>0</v>
      </c>
      <c r="DA272">
        <v>0</v>
      </c>
      <c r="DB272">
        <v>1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</row>
    <row r="273" spans="1:113" x14ac:dyDescent="0.3">
      <c r="A273" t="str">
        <f>"06/16/2022 19:06:32.016"</f>
        <v>06/16/2022 19:06:32.016</v>
      </c>
      <c r="C273" t="str">
        <f t="shared" si="12"/>
        <v>FFBF5BC0</v>
      </c>
      <c r="D273" t="s">
        <v>113</v>
      </c>
      <c r="E273">
        <v>8</v>
      </c>
      <c r="H273">
        <v>206</v>
      </c>
      <c r="I273" t="s">
        <v>114</v>
      </c>
      <c r="J273" t="s">
        <v>115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>"19:06:31.758"</f>
        <v>19:06:31.758</v>
      </c>
      <c r="T273" t="str">
        <f>"19:06:31.758"</f>
        <v>19:06:31.758</v>
      </c>
      <c r="U273" t="str">
        <f t="shared" si="13"/>
        <v>AB63B2</v>
      </c>
      <c r="V273">
        <v>0</v>
      </c>
      <c r="W273">
        <v>0</v>
      </c>
      <c r="X273">
        <v>6</v>
      </c>
      <c r="Z273">
        <v>0</v>
      </c>
      <c r="AA273">
        <v>9</v>
      </c>
      <c r="AB273">
        <v>3</v>
      </c>
      <c r="AC273">
        <v>0</v>
      </c>
      <c r="AD273">
        <v>10</v>
      </c>
      <c r="AE273">
        <v>0</v>
      </c>
      <c r="AF273">
        <v>0</v>
      </c>
      <c r="AG273">
        <v>2</v>
      </c>
      <c r="AH273">
        <v>0</v>
      </c>
      <c r="AI273" t="s">
        <v>228</v>
      </c>
      <c r="AJ273">
        <v>41.984875000000002</v>
      </c>
      <c r="AK273" t="s">
        <v>141</v>
      </c>
      <c r="AL273">
        <v>-87.894937999999996</v>
      </c>
      <c r="AS273">
        <v>1</v>
      </c>
      <c r="AT273" t="s">
        <v>118</v>
      </c>
      <c r="AU273" t="b">
        <v>1</v>
      </c>
      <c r="AV273">
        <v>182.81</v>
      </c>
      <c r="AW273">
        <v>20.125</v>
      </c>
      <c r="AX273">
        <v>1</v>
      </c>
      <c r="AZ273">
        <v>7205</v>
      </c>
      <c r="BA273">
        <v>1</v>
      </c>
      <c r="BB273" t="str">
        <f t="shared" si="14"/>
        <v xml:space="preserve">KAP400  </v>
      </c>
      <c r="BC273">
        <v>1</v>
      </c>
      <c r="BE273">
        <v>0</v>
      </c>
      <c r="BF273">
        <v>0</v>
      </c>
      <c r="BG273">
        <v>0</v>
      </c>
      <c r="BI273">
        <v>1</v>
      </c>
      <c r="BJ273">
        <v>1</v>
      </c>
      <c r="BK273">
        <v>1</v>
      </c>
      <c r="BL273">
        <v>0</v>
      </c>
      <c r="BO273">
        <v>0</v>
      </c>
      <c r="BP273">
        <v>0</v>
      </c>
      <c r="BW273" t="str">
        <f>"19:06:31.758"</f>
        <v>19:06:31.758</v>
      </c>
      <c r="BX273" t="s">
        <v>119</v>
      </c>
      <c r="BY273" t="s">
        <v>120</v>
      </c>
      <c r="CJ273">
        <v>0</v>
      </c>
      <c r="CK273">
        <v>0</v>
      </c>
      <c r="CL273">
        <v>0</v>
      </c>
      <c r="CM273">
        <v>2</v>
      </c>
      <c r="CN273">
        <v>0</v>
      </c>
      <c r="CO273">
        <v>7</v>
      </c>
      <c r="CP273" t="s">
        <v>121</v>
      </c>
      <c r="CQ273">
        <v>581</v>
      </c>
      <c r="CR273">
        <v>0</v>
      </c>
      <c r="CW273">
        <v>14693884</v>
      </c>
      <c r="CY273">
        <v>0</v>
      </c>
      <c r="CZ273">
        <v>0</v>
      </c>
      <c r="DA273">
        <v>0</v>
      </c>
      <c r="DB273">
        <v>1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</row>
    <row r="274" spans="1:113" x14ac:dyDescent="0.3">
      <c r="A274" t="str">
        <f>"06/16/2022 19:06:33.047"</f>
        <v>06/16/2022 19:06:33.047</v>
      </c>
      <c r="C274" t="str">
        <f t="shared" si="12"/>
        <v>FFBF5BC0</v>
      </c>
      <c r="D274" t="s">
        <v>113</v>
      </c>
      <c r="E274">
        <v>8</v>
      </c>
      <c r="H274">
        <v>206</v>
      </c>
      <c r="I274" t="s">
        <v>114</v>
      </c>
      <c r="J274" t="s">
        <v>115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>"19:06:32.766"</f>
        <v>19:06:32.766</v>
      </c>
      <c r="T274" t="str">
        <f>"19:06:32.766"</f>
        <v>19:06:32.766</v>
      </c>
      <c r="U274" t="str">
        <f t="shared" si="13"/>
        <v>AB63B2</v>
      </c>
      <c r="V274">
        <v>0</v>
      </c>
      <c r="W274">
        <v>0</v>
      </c>
      <c r="X274">
        <v>6</v>
      </c>
      <c r="Z274">
        <v>0</v>
      </c>
      <c r="AA274">
        <v>9</v>
      </c>
      <c r="AB274">
        <v>3</v>
      </c>
      <c r="AC274">
        <v>0</v>
      </c>
      <c r="AD274">
        <v>10</v>
      </c>
      <c r="AE274">
        <v>0</v>
      </c>
      <c r="AF274">
        <v>0</v>
      </c>
      <c r="AG274">
        <v>2</v>
      </c>
      <c r="AH274">
        <v>0</v>
      </c>
      <c r="AI274" t="s">
        <v>229</v>
      </c>
      <c r="AJ274">
        <v>41.984788999999999</v>
      </c>
      <c r="AK274" t="s">
        <v>141</v>
      </c>
      <c r="AL274">
        <v>-87.894937999999996</v>
      </c>
      <c r="AS274">
        <v>1</v>
      </c>
      <c r="AT274" t="s">
        <v>118</v>
      </c>
      <c r="AU274" t="b">
        <v>1</v>
      </c>
      <c r="AV274">
        <v>180</v>
      </c>
      <c r="AW274">
        <v>19.125</v>
      </c>
      <c r="AX274">
        <v>1</v>
      </c>
      <c r="AZ274">
        <v>7205</v>
      </c>
      <c r="BA274">
        <v>1</v>
      </c>
      <c r="BB274" t="str">
        <f t="shared" si="14"/>
        <v xml:space="preserve">KAP400  </v>
      </c>
      <c r="BC274">
        <v>1</v>
      </c>
      <c r="BE274">
        <v>0</v>
      </c>
      <c r="BF274">
        <v>0</v>
      </c>
      <c r="BG274">
        <v>0</v>
      </c>
      <c r="BI274">
        <v>1</v>
      </c>
      <c r="BJ274">
        <v>1</v>
      </c>
      <c r="BK274">
        <v>1</v>
      </c>
      <c r="BL274">
        <v>0</v>
      </c>
      <c r="BO274">
        <v>0</v>
      </c>
      <c r="BP274">
        <v>0</v>
      </c>
      <c r="BW274" t="str">
        <f>"19:06:32.769"</f>
        <v>19:06:32.769</v>
      </c>
      <c r="BX274" t="s">
        <v>119</v>
      </c>
      <c r="BY274" t="s">
        <v>120</v>
      </c>
      <c r="CJ274">
        <v>0</v>
      </c>
      <c r="CK274">
        <v>0</v>
      </c>
      <c r="CL274">
        <v>0</v>
      </c>
      <c r="CM274">
        <v>2</v>
      </c>
      <c r="CN274">
        <v>0</v>
      </c>
      <c r="CO274">
        <v>7</v>
      </c>
      <c r="CP274" t="s">
        <v>121</v>
      </c>
      <c r="CQ274">
        <v>581</v>
      </c>
      <c r="CR274">
        <v>0</v>
      </c>
      <c r="CW274">
        <v>14695488</v>
      </c>
      <c r="CY274">
        <v>0</v>
      </c>
      <c r="CZ274">
        <v>0</v>
      </c>
      <c r="DA274">
        <v>0</v>
      </c>
      <c r="DB274">
        <v>1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</row>
    <row r="275" spans="1:113" x14ac:dyDescent="0.3">
      <c r="A275" t="str">
        <f>"06/16/2022 19:06:33.938"</f>
        <v>06/16/2022 19:06:33.938</v>
      </c>
      <c r="C275" t="str">
        <f t="shared" si="12"/>
        <v>FFBF5BC0</v>
      </c>
      <c r="D275" t="s">
        <v>113</v>
      </c>
      <c r="E275">
        <v>8</v>
      </c>
      <c r="H275">
        <v>206</v>
      </c>
      <c r="I275" t="s">
        <v>114</v>
      </c>
      <c r="J275" t="s">
        <v>115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>"19:06:33.758"</f>
        <v>19:06:33.758</v>
      </c>
      <c r="T275" t="str">
        <f>"19:06:33.758"</f>
        <v>19:06:33.758</v>
      </c>
      <c r="U275" t="str">
        <f t="shared" si="13"/>
        <v>AB63B2</v>
      </c>
      <c r="V275">
        <v>0</v>
      </c>
      <c r="W275">
        <v>0</v>
      </c>
      <c r="X275">
        <v>6</v>
      </c>
      <c r="Z275">
        <v>0</v>
      </c>
      <c r="AA275">
        <v>9</v>
      </c>
      <c r="AB275">
        <v>3</v>
      </c>
      <c r="AC275">
        <v>0</v>
      </c>
      <c r="AD275">
        <v>10</v>
      </c>
      <c r="AE275">
        <v>0</v>
      </c>
      <c r="AF275">
        <v>0</v>
      </c>
      <c r="AG275">
        <v>2</v>
      </c>
      <c r="AH275">
        <v>0</v>
      </c>
      <c r="AI275" t="s">
        <v>230</v>
      </c>
      <c r="AJ275">
        <v>41.984704000000001</v>
      </c>
      <c r="AK275" t="s">
        <v>141</v>
      </c>
      <c r="AL275">
        <v>-87.894937999999996</v>
      </c>
      <c r="AS275">
        <v>1</v>
      </c>
      <c r="AT275" t="s">
        <v>118</v>
      </c>
      <c r="AU275" t="b">
        <v>1</v>
      </c>
      <c r="AV275">
        <v>180</v>
      </c>
      <c r="AW275">
        <v>19.125</v>
      </c>
      <c r="AX275">
        <v>1</v>
      </c>
      <c r="AZ275">
        <v>7205</v>
      </c>
      <c r="BA275">
        <v>1</v>
      </c>
      <c r="BB275" t="str">
        <f t="shared" si="14"/>
        <v xml:space="preserve">KAP400  </v>
      </c>
      <c r="BC275">
        <v>1</v>
      </c>
      <c r="BE275">
        <v>0</v>
      </c>
      <c r="BF275">
        <v>0</v>
      </c>
      <c r="BG275">
        <v>0</v>
      </c>
      <c r="BI275">
        <v>1</v>
      </c>
      <c r="BJ275">
        <v>1</v>
      </c>
      <c r="BK275">
        <v>1</v>
      </c>
      <c r="BL275">
        <v>0</v>
      </c>
      <c r="BO275">
        <v>0</v>
      </c>
      <c r="BP275">
        <v>0</v>
      </c>
      <c r="BW275" t="str">
        <f>"19:06:33.758"</f>
        <v>19:06:33.758</v>
      </c>
      <c r="BX275" t="s">
        <v>119</v>
      </c>
      <c r="BY275" t="s">
        <v>120</v>
      </c>
      <c r="CJ275">
        <v>0</v>
      </c>
      <c r="CK275">
        <v>0</v>
      </c>
      <c r="CL275">
        <v>0</v>
      </c>
      <c r="CM275">
        <v>2</v>
      </c>
      <c r="CN275">
        <v>0</v>
      </c>
      <c r="CO275">
        <v>7</v>
      </c>
      <c r="CP275" t="s">
        <v>121</v>
      </c>
      <c r="CQ275">
        <v>582</v>
      </c>
      <c r="CR275">
        <v>0</v>
      </c>
      <c r="CW275">
        <v>5660601</v>
      </c>
      <c r="CY275">
        <v>0</v>
      </c>
      <c r="CZ275">
        <v>0</v>
      </c>
      <c r="DA275">
        <v>0</v>
      </c>
      <c r="DB275">
        <v>1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</row>
    <row r="276" spans="1:113" x14ac:dyDescent="0.3">
      <c r="A276" t="str">
        <f>"06/16/2022 19:06:34.876"</f>
        <v>06/16/2022 19:06:34.876</v>
      </c>
      <c r="C276" t="str">
        <f t="shared" si="12"/>
        <v>FFBF5BC0</v>
      </c>
      <c r="D276" t="s">
        <v>113</v>
      </c>
      <c r="E276">
        <v>8</v>
      </c>
      <c r="H276">
        <v>206</v>
      </c>
      <c r="I276" t="s">
        <v>114</v>
      </c>
      <c r="J276" t="s">
        <v>115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>"19:06:34.688"</f>
        <v>19:06:34.688</v>
      </c>
      <c r="T276" t="str">
        <f>"19:06:34.688"</f>
        <v>19:06:34.688</v>
      </c>
      <c r="U276" t="str">
        <f t="shared" si="13"/>
        <v>AB63B2</v>
      </c>
      <c r="V276">
        <v>0</v>
      </c>
      <c r="W276">
        <v>0</v>
      </c>
      <c r="X276">
        <v>6</v>
      </c>
      <c r="Z276">
        <v>0</v>
      </c>
      <c r="AA276">
        <v>9</v>
      </c>
      <c r="AB276">
        <v>3</v>
      </c>
      <c r="AC276">
        <v>0</v>
      </c>
      <c r="AD276">
        <v>10</v>
      </c>
      <c r="AE276">
        <v>0</v>
      </c>
      <c r="AF276">
        <v>0</v>
      </c>
      <c r="AG276">
        <v>2</v>
      </c>
      <c r="AH276">
        <v>0</v>
      </c>
      <c r="AI276" t="s">
        <v>231</v>
      </c>
      <c r="AJ276">
        <v>41.984639000000001</v>
      </c>
      <c r="AK276" t="s">
        <v>141</v>
      </c>
      <c r="AL276">
        <v>-87.894937999999996</v>
      </c>
      <c r="AS276">
        <v>1</v>
      </c>
      <c r="AT276" t="s">
        <v>118</v>
      </c>
      <c r="AU276" t="b">
        <v>1</v>
      </c>
      <c r="AV276">
        <v>180</v>
      </c>
      <c r="AW276">
        <v>19.125</v>
      </c>
      <c r="AX276">
        <v>1</v>
      </c>
      <c r="AZ276">
        <v>7205</v>
      </c>
      <c r="BA276">
        <v>1</v>
      </c>
      <c r="BB276" t="str">
        <f t="shared" si="14"/>
        <v xml:space="preserve">KAP400  </v>
      </c>
      <c r="BC276">
        <v>1</v>
      </c>
      <c r="BE276">
        <v>0</v>
      </c>
      <c r="BF276">
        <v>0</v>
      </c>
      <c r="BG276">
        <v>0</v>
      </c>
      <c r="BI276">
        <v>1</v>
      </c>
      <c r="BJ276">
        <v>1</v>
      </c>
      <c r="BK276">
        <v>1</v>
      </c>
      <c r="BL276">
        <v>0</v>
      </c>
      <c r="BO276">
        <v>0</v>
      </c>
      <c r="BP276">
        <v>0</v>
      </c>
      <c r="BW276" t="str">
        <f>"19:06:34.692"</f>
        <v>19:06:34.692</v>
      </c>
      <c r="BX276" t="s">
        <v>119</v>
      </c>
      <c r="BY276" t="s">
        <v>120</v>
      </c>
      <c r="CJ276">
        <v>0</v>
      </c>
      <c r="CK276">
        <v>0</v>
      </c>
      <c r="CL276">
        <v>0</v>
      </c>
      <c r="CM276">
        <v>2</v>
      </c>
      <c r="CN276">
        <v>0</v>
      </c>
      <c r="CO276">
        <v>7</v>
      </c>
      <c r="CP276" t="s">
        <v>121</v>
      </c>
      <c r="CQ276">
        <v>582</v>
      </c>
      <c r="CR276">
        <v>0</v>
      </c>
      <c r="CW276">
        <v>5662023</v>
      </c>
      <c r="CY276">
        <v>0</v>
      </c>
      <c r="CZ276">
        <v>0</v>
      </c>
      <c r="DA276">
        <v>0</v>
      </c>
      <c r="DB276">
        <v>1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</row>
    <row r="277" spans="1:113" x14ac:dyDescent="0.3">
      <c r="A277" t="str">
        <f>"06/16/2022 19:06:35.985"</f>
        <v>06/16/2022 19:06:35.985</v>
      </c>
      <c r="C277" t="str">
        <f t="shared" si="12"/>
        <v>FFBF5BC0</v>
      </c>
      <c r="D277" t="s">
        <v>113</v>
      </c>
      <c r="E277">
        <v>8</v>
      </c>
      <c r="H277">
        <v>206</v>
      </c>
      <c r="I277" t="s">
        <v>114</v>
      </c>
      <c r="J277" t="s">
        <v>115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>"19:06:35.766"</f>
        <v>19:06:35.766</v>
      </c>
      <c r="T277" t="str">
        <f>"19:06:35.766"</f>
        <v>19:06:35.766</v>
      </c>
      <c r="U277" t="str">
        <f t="shared" si="13"/>
        <v>AB63B2</v>
      </c>
      <c r="V277">
        <v>0</v>
      </c>
      <c r="W277">
        <v>0</v>
      </c>
      <c r="X277">
        <v>6</v>
      </c>
      <c r="Z277">
        <v>0</v>
      </c>
      <c r="AA277">
        <v>9</v>
      </c>
      <c r="AB277">
        <v>3</v>
      </c>
      <c r="AC277">
        <v>0</v>
      </c>
      <c r="AD277">
        <v>10</v>
      </c>
      <c r="AE277">
        <v>0</v>
      </c>
      <c r="AF277">
        <v>0</v>
      </c>
      <c r="AG277">
        <v>2</v>
      </c>
      <c r="AH277">
        <v>0</v>
      </c>
      <c r="AI277" t="s">
        <v>232</v>
      </c>
      <c r="AJ277">
        <v>41.984532000000002</v>
      </c>
      <c r="AK277" t="s">
        <v>141</v>
      </c>
      <c r="AL277">
        <v>-87.894937999999996</v>
      </c>
      <c r="AS277">
        <v>1</v>
      </c>
      <c r="AT277" t="s">
        <v>118</v>
      </c>
      <c r="AU277" t="b">
        <v>1</v>
      </c>
      <c r="AV277">
        <v>180</v>
      </c>
      <c r="AW277">
        <v>19.125</v>
      </c>
      <c r="AX277">
        <v>1</v>
      </c>
      <c r="AZ277">
        <v>7205</v>
      </c>
      <c r="BA277">
        <v>1</v>
      </c>
      <c r="BB277" t="str">
        <f t="shared" si="14"/>
        <v xml:space="preserve">KAP400  </v>
      </c>
      <c r="BC277">
        <v>1</v>
      </c>
      <c r="BE277">
        <v>0</v>
      </c>
      <c r="BF277">
        <v>0</v>
      </c>
      <c r="BG277">
        <v>0</v>
      </c>
      <c r="BI277">
        <v>1</v>
      </c>
      <c r="BJ277">
        <v>1</v>
      </c>
      <c r="BK277">
        <v>1</v>
      </c>
      <c r="BL277">
        <v>0</v>
      </c>
      <c r="BO277">
        <v>0</v>
      </c>
      <c r="BP277">
        <v>0</v>
      </c>
      <c r="BW277" t="str">
        <f>"19:06:35.772"</f>
        <v>19:06:35.772</v>
      </c>
      <c r="BX277" t="s">
        <v>119</v>
      </c>
      <c r="BY277" t="s">
        <v>120</v>
      </c>
      <c r="CJ277">
        <v>0</v>
      </c>
      <c r="CK277">
        <v>0</v>
      </c>
      <c r="CL277">
        <v>0</v>
      </c>
      <c r="CM277">
        <v>2</v>
      </c>
      <c r="CN277">
        <v>0</v>
      </c>
      <c r="CO277">
        <v>7</v>
      </c>
      <c r="CP277" t="s">
        <v>121</v>
      </c>
      <c r="CQ277">
        <v>581</v>
      </c>
      <c r="CR277">
        <v>0</v>
      </c>
      <c r="CW277">
        <v>14700351</v>
      </c>
      <c r="CY277">
        <v>0</v>
      </c>
      <c r="CZ277">
        <v>0</v>
      </c>
      <c r="DA277">
        <v>0</v>
      </c>
      <c r="DB277">
        <v>1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</row>
    <row r="278" spans="1:113" x14ac:dyDescent="0.3">
      <c r="A278" t="str">
        <f>"06/16/2022 19:06:36.969"</f>
        <v>06/16/2022 19:06:36.969</v>
      </c>
      <c r="C278" t="str">
        <f t="shared" si="12"/>
        <v>FFBF5BC0</v>
      </c>
      <c r="D278" t="s">
        <v>113</v>
      </c>
      <c r="E278">
        <v>8</v>
      </c>
      <c r="H278">
        <v>206</v>
      </c>
      <c r="I278" t="s">
        <v>114</v>
      </c>
      <c r="J278" t="s">
        <v>115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>"19:06:36.734"</f>
        <v>19:06:36.734</v>
      </c>
      <c r="T278" t="str">
        <f>"19:06:36.734"</f>
        <v>19:06:36.734</v>
      </c>
      <c r="U278" t="str">
        <f t="shared" si="13"/>
        <v>AB63B2</v>
      </c>
      <c r="V278">
        <v>0</v>
      </c>
      <c r="W278">
        <v>0</v>
      </c>
      <c r="X278">
        <v>6</v>
      </c>
      <c r="Z278">
        <v>0</v>
      </c>
      <c r="AA278">
        <v>9</v>
      </c>
      <c r="AB278">
        <v>3</v>
      </c>
      <c r="AC278">
        <v>0</v>
      </c>
      <c r="AD278">
        <v>10</v>
      </c>
      <c r="AE278">
        <v>0</v>
      </c>
      <c r="AF278">
        <v>0</v>
      </c>
      <c r="AG278">
        <v>2</v>
      </c>
      <c r="AH278">
        <v>0</v>
      </c>
      <c r="AI278" t="s">
        <v>233</v>
      </c>
      <c r="AJ278">
        <v>41.984468</v>
      </c>
      <c r="AK278" t="s">
        <v>141</v>
      </c>
      <c r="AL278">
        <v>-87.894937999999996</v>
      </c>
      <c r="AS278">
        <v>1</v>
      </c>
      <c r="AT278" t="s">
        <v>118</v>
      </c>
      <c r="AU278" t="b">
        <v>1</v>
      </c>
      <c r="AV278">
        <v>180</v>
      </c>
      <c r="AW278">
        <v>19.125</v>
      </c>
      <c r="AX278">
        <v>1</v>
      </c>
      <c r="AZ278">
        <v>7205</v>
      </c>
      <c r="BA278">
        <v>1</v>
      </c>
      <c r="BB278" t="str">
        <f t="shared" si="14"/>
        <v xml:space="preserve">KAP400  </v>
      </c>
      <c r="BC278">
        <v>1</v>
      </c>
      <c r="BE278">
        <v>0</v>
      </c>
      <c r="BF278">
        <v>0</v>
      </c>
      <c r="BG278">
        <v>0</v>
      </c>
      <c r="BI278">
        <v>1</v>
      </c>
      <c r="BJ278">
        <v>1</v>
      </c>
      <c r="BK278">
        <v>1</v>
      </c>
      <c r="BL278">
        <v>0</v>
      </c>
      <c r="BO278">
        <v>0</v>
      </c>
      <c r="BP278">
        <v>0</v>
      </c>
      <c r="BW278" t="str">
        <f>"19:06:36.742"</f>
        <v>19:06:36.742</v>
      </c>
      <c r="BX278" t="s">
        <v>119</v>
      </c>
      <c r="BY278" t="s">
        <v>120</v>
      </c>
      <c r="CJ278">
        <v>0</v>
      </c>
      <c r="CK278">
        <v>0</v>
      </c>
      <c r="CL278">
        <v>0</v>
      </c>
      <c r="CM278">
        <v>2</v>
      </c>
      <c r="CN278">
        <v>0</v>
      </c>
      <c r="CO278">
        <v>7</v>
      </c>
      <c r="CP278" t="s">
        <v>121</v>
      </c>
      <c r="CQ278">
        <v>582</v>
      </c>
      <c r="CR278">
        <v>0</v>
      </c>
      <c r="CW278">
        <v>5665036</v>
      </c>
      <c r="CY278">
        <v>0</v>
      </c>
      <c r="CZ278">
        <v>0</v>
      </c>
      <c r="DA278">
        <v>0</v>
      </c>
      <c r="DB278">
        <v>1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</row>
    <row r="279" spans="1:113" x14ac:dyDescent="0.3">
      <c r="A279" t="str">
        <f>"06/16/2022 19:06:37.906"</f>
        <v>06/16/2022 19:06:37.906</v>
      </c>
      <c r="C279" t="str">
        <f t="shared" si="12"/>
        <v>FFBF5BC0</v>
      </c>
      <c r="D279" t="s">
        <v>113</v>
      </c>
      <c r="E279">
        <v>8</v>
      </c>
      <c r="H279">
        <v>206</v>
      </c>
      <c r="I279" t="s">
        <v>114</v>
      </c>
      <c r="J279" t="s">
        <v>115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>"19:06:37.672"</f>
        <v>19:06:37.672</v>
      </c>
      <c r="T279" t="str">
        <f>"19:06:37.672"</f>
        <v>19:06:37.672</v>
      </c>
      <c r="U279" t="str">
        <f t="shared" si="13"/>
        <v>AB63B2</v>
      </c>
      <c r="V279">
        <v>0</v>
      </c>
      <c r="W279">
        <v>0</v>
      </c>
      <c r="X279">
        <v>6</v>
      </c>
      <c r="Z279">
        <v>0</v>
      </c>
      <c r="AA279">
        <v>9</v>
      </c>
      <c r="AB279">
        <v>3</v>
      </c>
      <c r="AC279">
        <v>0</v>
      </c>
      <c r="AD279">
        <v>10</v>
      </c>
      <c r="AE279">
        <v>0</v>
      </c>
      <c r="AF279">
        <v>0</v>
      </c>
      <c r="AG279">
        <v>2</v>
      </c>
      <c r="AH279">
        <v>0</v>
      </c>
      <c r="AI279" t="s">
        <v>234</v>
      </c>
      <c r="AJ279">
        <v>41.984360000000002</v>
      </c>
      <c r="AK279" t="s">
        <v>141</v>
      </c>
      <c r="AL279">
        <v>-87.894937999999996</v>
      </c>
      <c r="AS279">
        <v>1</v>
      </c>
      <c r="AT279" t="s">
        <v>118</v>
      </c>
      <c r="AU279" t="b">
        <v>1</v>
      </c>
      <c r="AV279">
        <v>180</v>
      </c>
      <c r="AW279">
        <v>18.125</v>
      </c>
      <c r="AX279">
        <v>1</v>
      </c>
      <c r="AZ279">
        <v>7205</v>
      </c>
      <c r="BA279">
        <v>1</v>
      </c>
      <c r="BB279" t="str">
        <f t="shared" si="14"/>
        <v xml:space="preserve">KAP400  </v>
      </c>
      <c r="BC279">
        <v>1</v>
      </c>
      <c r="BE279">
        <v>0</v>
      </c>
      <c r="BF279">
        <v>0</v>
      </c>
      <c r="BG279">
        <v>0</v>
      </c>
      <c r="BI279">
        <v>1</v>
      </c>
      <c r="BJ279">
        <v>1</v>
      </c>
      <c r="BK279">
        <v>1</v>
      </c>
      <c r="BL279">
        <v>0</v>
      </c>
      <c r="BO279">
        <v>0</v>
      </c>
      <c r="BP279">
        <v>0</v>
      </c>
      <c r="BW279" t="str">
        <f>"19:06:37.674"</f>
        <v>19:06:37.674</v>
      </c>
      <c r="BX279" t="s">
        <v>119</v>
      </c>
      <c r="BY279" t="s">
        <v>120</v>
      </c>
      <c r="CJ279">
        <v>0</v>
      </c>
      <c r="CK279">
        <v>0</v>
      </c>
      <c r="CL279">
        <v>0</v>
      </c>
      <c r="CM279">
        <v>2</v>
      </c>
      <c r="CN279">
        <v>0</v>
      </c>
      <c r="CO279">
        <v>7</v>
      </c>
      <c r="CP279" t="s">
        <v>121</v>
      </c>
      <c r="CQ279">
        <v>581</v>
      </c>
      <c r="CR279">
        <v>0</v>
      </c>
      <c r="CW279">
        <v>14703325</v>
      </c>
      <c r="CY279">
        <v>0</v>
      </c>
      <c r="CZ279">
        <v>0</v>
      </c>
      <c r="DA279">
        <v>0</v>
      </c>
      <c r="DB279">
        <v>1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</row>
    <row r="280" spans="1:113" x14ac:dyDescent="0.3">
      <c r="A280" t="str">
        <f>"06/16/2022 19:06:38.844"</f>
        <v>06/16/2022 19:06:38.844</v>
      </c>
      <c r="C280" t="str">
        <f t="shared" si="12"/>
        <v>FFBF5BC0</v>
      </c>
      <c r="D280" t="s">
        <v>113</v>
      </c>
      <c r="E280">
        <v>8</v>
      </c>
      <c r="H280">
        <v>206</v>
      </c>
      <c r="I280" t="s">
        <v>114</v>
      </c>
      <c r="J280" t="s">
        <v>115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>"19:06:38.602"</f>
        <v>19:06:38.602</v>
      </c>
      <c r="T280" t="str">
        <f>"19:06:38.602"</f>
        <v>19:06:38.602</v>
      </c>
      <c r="U280" t="str">
        <f t="shared" si="13"/>
        <v>AB63B2</v>
      </c>
      <c r="V280">
        <v>0</v>
      </c>
      <c r="W280">
        <v>0</v>
      </c>
      <c r="X280">
        <v>6</v>
      </c>
      <c r="Z280">
        <v>0</v>
      </c>
      <c r="AA280">
        <v>9</v>
      </c>
      <c r="AB280">
        <v>3</v>
      </c>
      <c r="AC280">
        <v>0</v>
      </c>
      <c r="AD280">
        <v>10</v>
      </c>
      <c r="AE280">
        <v>0</v>
      </c>
      <c r="AF280">
        <v>0</v>
      </c>
      <c r="AG280">
        <v>2</v>
      </c>
      <c r="AH280">
        <v>0</v>
      </c>
      <c r="AI280" t="s">
        <v>235</v>
      </c>
      <c r="AJ280">
        <v>41.984296000000001</v>
      </c>
      <c r="AK280" t="s">
        <v>141</v>
      </c>
      <c r="AL280">
        <v>-87.894937999999996</v>
      </c>
      <c r="AS280">
        <v>1</v>
      </c>
      <c r="AT280" t="s">
        <v>118</v>
      </c>
      <c r="AU280" t="b">
        <v>1</v>
      </c>
      <c r="AV280">
        <v>180</v>
      </c>
      <c r="AW280">
        <v>19.125</v>
      </c>
      <c r="AX280">
        <v>1</v>
      </c>
      <c r="AZ280">
        <v>7205</v>
      </c>
      <c r="BA280">
        <v>1</v>
      </c>
      <c r="BB280" t="str">
        <f t="shared" si="14"/>
        <v xml:space="preserve">KAP400  </v>
      </c>
      <c r="BC280">
        <v>1</v>
      </c>
      <c r="BE280">
        <v>0</v>
      </c>
      <c r="BF280">
        <v>0</v>
      </c>
      <c r="BG280">
        <v>0</v>
      </c>
      <c r="BI280">
        <v>1</v>
      </c>
      <c r="BJ280">
        <v>1</v>
      </c>
      <c r="BK280">
        <v>1</v>
      </c>
      <c r="BL280">
        <v>0</v>
      </c>
      <c r="BO280">
        <v>0</v>
      </c>
      <c r="BP280">
        <v>0</v>
      </c>
      <c r="BW280" t="str">
        <f>"19:06:38.602"</f>
        <v>19:06:38.602</v>
      </c>
      <c r="BX280" t="s">
        <v>119</v>
      </c>
      <c r="BY280" t="s">
        <v>120</v>
      </c>
      <c r="CJ280">
        <v>0</v>
      </c>
      <c r="CK280">
        <v>0</v>
      </c>
      <c r="CL280">
        <v>0</v>
      </c>
      <c r="CM280">
        <v>2</v>
      </c>
      <c r="CN280">
        <v>0</v>
      </c>
      <c r="CO280">
        <v>7</v>
      </c>
      <c r="CP280" t="s">
        <v>121</v>
      </c>
      <c r="CQ280">
        <v>581</v>
      </c>
      <c r="CR280">
        <v>0</v>
      </c>
      <c r="CW280">
        <v>14704753</v>
      </c>
      <c r="CY280">
        <v>0</v>
      </c>
      <c r="CZ280">
        <v>0</v>
      </c>
      <c r="DA280">
        <v>0</v>
      </c>
      <c r="DB280">
        <v>1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</row>
    <row r="281" spans="1:113" x14ac:dyDescent="0.3">
      <c r="A281" t="str">
        <f>"06/16/2022 19:06:39.813"</f>
        <v>06/16/2022 19:06:39.813</v>
      </c>
      <c r="C281" t="str">
        <f t="shared" si="12"/>
        <v>FFBF5BC0</v>
      </c>
      <c r="D281" t="s">
        <v>113</v>
      </c>
      <c r="E281">
        <v>8</v>
      </c>
      <c r="H281">
        <v>206</v>
      </c>
      <c r="I281" t="s">
        <v>114</v>
      </c>
      <c r="J281" t="s">
        <v>115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>"19:06:39.609"</f>
        <v>19:06:39.609</v>
      </c>
      <c r="T281" t="str">
        <f>"19:06:39.609"</f>
        <v>19:06:39.609</v>
      </c>
      <c r="U281" t="str">
        <f t="shared" si="13"/>
        <v>AB63B2</v>
      </c>
      <c r="V281">
        <v>0</v>
      </c>
      <c r="W281">
        <v>0</v>
      </c>
      <c r="X281">
        <v>6</v>
      </c>
      <c r="Z281">
        <v>0</v>
      </c>
      <c r="AA281">
        <v>9</v>
      </c>
      <c r="AB281">
        <v>3</v>
      </c>
      <c r="AC281">
        <v>0</v>
      </c>
      <c r="AD281">
        <v>10</v>
      </c>
      <c r="AE281">
        <v>0</v>
      </c>
      <c r="AF281">
        <v>0</v>
      </c>
      <c r="AG281">
        <v>2</v>
      </c>
      <c r="AH281">
        <v>0</v>
      </c>
      <c r="AI281" t="s">
        <v>236</v>
      </c>
      <c r="AJ281">
        <v>41.984209999999997</v>
      </c>
      <c r="AK281" t="s">
        <v>141</v>
      </c>
      <c r="AL281">
        <v>-87.894937999999996</v>
      </c>
      <c r="AS281">
        <v>1</v>
      </c>
      <c r="AT281" t="s">
        <v>118</v>
      </c>
      <c r="AU281" t="b">
        <v>1</v>
      </c>
      <c r="AV281">
        <v>180</v>
      </c>
      <c r="AW281">
        <v>19.125</v>
      </c>
      <c r="AX281">
        <v>1</v>
      </c>
      <c r="AZ281">
        <v>7205</v>
      </c>
      <c r="BA281">
        <v>1</v>
      </c>
      <c r="BB281" t="str">
        <f t="shared" si="14"/>
        <v xml:space="preserve">KAP400  </v>
      </c>
      <c r="BC281">
        <v>1</v>
      </c>
      <c r="BE281">
        <v>0</v>
      </c>
      <c r="BF281">
        <v>0</v>
      </c>
      <c r="BG281">
        <v>0</v>
      </c>
      <c r="BI281">
        <v>1</v>
      </c>
      <c r="BJ281">
        <v>1</v>
      </c>
      <c r="BK281">
        <v>1</v>
      </c>
      <c r="BL281">
        <v>0</v>
      </c>
      <c r="BO281">
        <v>0</v>
      </c>
      <c r="BP281">
        <v>0</v>
      </c>
      <c r="BW281" t="str">
        <f>"19:06:39.611"</f>
        <v>19:06:39.611</v>
      </c>
      <c r="BX281" t="s">
        <v>119</v>
      </c>
      <c r="BY281" t="s">
        <v>120</v>
      </c>
      <c r="CJ281">
        <v>0</v>
      </c>
      <c r="CK281">
        <v>0</v>
      </c>
      <c r="CL281">
        <v>0</v>
      </c>
      <c r="CM281">
        <v>2</v>
      </c>
      <c r="CN281">
        <v>0</v>
      </c>
      <c r="CO281">
        <v>7</v>
      </c>
      <c r="CP281" t="s">
        <v>121</v>
      </c>
      <c r="CQ281">
        <v>581</v>
      </c>
      <c r="CR281">
        <v>0</v>
      </c>
      <c r="CW281">
        <v>14706405</v>
      </c>
      <c r="CY281">
        <v>0</v>
      </c>
      <c r="CZ281">
        <v>0</v>
      </c>
      <c r="DA281">
        <v>0</v>
      </c>
      <c r="DB281">
        <v>1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</row>
    <row r="282" spans="1:113" x14ac:dyDescent="0.3">
      <c r="A282" t="str">
        <f>"06/16/2022 19:06:40.734"</f>
        <v>06/16/2022 19:06:40.734</v>
      </c>
      <c r="C282" t="str">
        <f t="shared" si="12"/>
        <v>FFBF5BC0</v>
      </c>
      <c r="D282" t="s">
        <v>113</v>
      </c>
      <c r="E282">
        <v>8</v>
      </c>
      <c r="H282">
        <v>206</v>
      </c>
      <c r="I282" t="s">
        <v>114</v>
      </c>
      <c r="J282" t="s">
        <v>115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>"19:06:40.492"</f>
        <v>19:06:40.492</v>
      </c>
      <c r="T282" t="str">
        <f>"19:06:40.492"</f>
        <v>19:06:40.492</v>
      </c>
      <c r="U282" t="str">
        <f t="shared" si="13"/>
        <v>AB63B2</v>
      </c>
      <c r="V282">
        <v>0</v>
      </c>
      <c r="W282">
        <v>0</v>
      </c>
      <c r="X282">
        <v>6</v>
      </c>
      <c r="Z282">
        <v>0</v>
      </c>
      <c r="AA282">
        <v>9</v>
      </c>
      <c r="AB282">
        <v>3</v>
      </c>
      <c r="AC282">
        <v>0</v>
      </c>
      <c r="AD282">
        <v>10</v>
      </c>
      <c r="AE282">
        <v>0</v>
      </c>
      <c r="AF282">
        <v>0</v>
      </c>
      <c r="AG282">
        <v>2</v>
      </c>
      <c r="AH282">
        <v>0</v>
      </c>
      <c r="AI282" t="s">
        <v>237</v>
      </c>
      <c r="AJ282">
        <v>41.984146000000003</v>
      </c>
      <c r="AK282" t="s">
        <v>141</v>
      </c>
      <c r="AL282">
        <v>-87.894937999999996</v>
      </c>
      <c r="AS282">
        <v>1</v>
      </c>
      <c r="AT282" t="s">
        <v>118</v>
      </c>
      <c r="AU282" t="b">
        <v>1</v>
      </c>
      <c r="AV282">
        <v>180</v>
      </c>
      <c r="AW282">
        <v>19.125</v>
      </c>
      <c r="AX282">
        <v>1</v>
      </c>
      <c r="AZ282">
        <v>7205</v>
      </c>
      <c r="BA282">
        <v>1</v>
      </c>
      <c r="BB282" t="str">
        <f t="shared" si="14"/>
        <v xml:space="preserve">KAP400  </v>
      </c>
      <c r="BC282">
        <v>1</v>
      </c>
      <c r="BE282">
        <v>0</v>
      </c>
      <c r="BF282">
        <v>0</v>
      </c>
      <c r="BG282">
        <v>0</v>
      </c>
      <c r="BI282">
        <v>1</v>
      </c>
      <c r="BJ282">
        <v>1</v>
      </c>
      <c r="BK282">
        <v>1</v>
      </c>
      <c r="BL282">
        <v>0</v>
      </c>
      <c r="BO282">
        <v>0</v>
      </c>
      <c r="BP282">
        <v>0</v>
      </c>
      <c r="BW282" t="str">
        <f>"19:06:40.494"</f>
        <v>19:06:40.494</v>
      </c>
      <c r="BX282" t="s">
        <v>119</v>
      </c>
      <c r="BY282" t="s">
        <v>120</v>
      </c>
      <c r="CJ282">
        <v>0</v>
      </c>
      <c r="CK282">
        <v>0</v>
      </c>
      <c r="CL282">
        <v>0</v>
      </c>
      <c r="CM282">
        <v>2</v>
      </c>
      <c r="CN282">
        <v>0</v>
      </c>
      <c r="CO282">
        <v>7</v>
      </c>
      <c r="CP282" t="s">
        <v>121</v>
      </c>
      <c r="CQ282">
        <v>581</v>
      </c>
      <c r="CR282">
        <v>0</v>
      </c>
      <c r="CW282">
        <v>14707864</v>
      </c>
      <c r="CY282">
        <v>0</v>
      </c>
      <c r="CZ282">
        <v>0</v>
      </c>
      <c r="DA282">
        <v>0</v>
      </c>
      <c r="DB282">
        <v>1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</row>
    <row r="283" spans="1:113" x14ac:dyDescent="0.3">
      <c r="A283" t="str">
        <f>"06/16/2022 19:06:41.674"</f>
        <v>06/16/2022 19:06:41.674</v>
      </c>
      <c r="C283" t="str">
        <f t="shared" si="12"/>
        <v>FFBF5BC0</v>
      </c>
      <c r="D283" t="s">
        <v>113</v>
      </c>
      <c r="E283">
        <v>8</v>
      </c>
      <c r="H283">
        <v>206</v>
      </c>
      <c r="I283" t="s">
        <v>114</v>
      </c>
      <c r="J283" t="s">
        <v>115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>"19:06:41.422"</f>
        <v>19:06:41.422</v>
      </c>
      <c r="T283" t="str">
        <f>"19:06:41.422"</f>
        <v>19:06:41.422</v>
      </c>
      <c r="U283" t="str">
        <f t="shared" si="13"/>
        <v>AB63B2</v>
      </c>
      <c r="V283">
        <v>0</v>
      </c>
      <c r="W283">
        <v>0</v>
      </c>
      <c r="X283">
        <v>6</v>
      </c>
      <c r="Z283">
        <v>0</v>
      </c>
      <c r="AA283">
        <v>9</v>
      </c>
      <c r="AB283">
        <v>3</v>
      </c>
      <c r="AC283">
        <v>0</v>
      </c>
      <c r="AD283">
        <v>10</v>
      </c>
      <c r="AE283">
        <v>0</v>
      </c>
      <c r="AF283">
        <v>0</v>
      </c>
      <c r="AG283">
        <v>2</v>
      </c>
      <c r="AH283">
        <v>0</v>
      </c>
      <c r="AI283" t="s">
        <v>238</v>
      </c>
      <c r="AJ283">
        <v>41.984059999999999</v>
      </c>
      <c r="AK283" t="s">
        <v>141</v>
      </c>
      <c r="AL283">
        <v>-87.894937999999996</v>
      </c>
      <c r="AS283">
        <v>1</v>
      </c>
      <c r="AT283" t="s">
        <v>118</v>
      </c>
      <c r="AU283" t="b">
        <v>1</v>
      </c>
      <c r="AV283">
        <v>180</v>
      </c>
      <c r="AW283">
        <v>19.125</v>
      </c>
      <c r="AX283">
        <v>1</v>
      </c>
      <c r="AZ283">
        <v>7205</v>
      </c>
      <c r="BA283">
        <v>1</v>
      </c>
      <c r="BB283" t="str">
        <f t="shared" si="14"/>
        <v xml:space="preserve">KAP400  </v>
      </c>
      <c r="BC283">
        <v>1</v>
      </c>
      <c r="BE283">
        <v>0</v>
      </c>
      <c r="BF283">
        <v>0</v>
      </c>
      <c r="BG283">
        <v>0</v>
      </c>
      <c r="BI283">
        <v>1</v>
      </c>
      <c r="BJ283">
        <v>1</v>
      </c>
      <c r="BK283">
        <v>1</v>
      </c>
      <c r="BL283">
        <v>0</v>
      </c>
      <c r="BO283">
        <v>0</v>
      </c>
      <c r="BP283">
        <v>0</v>
      </c>
      <c r="BW283" t="str">
        <f>"19:06:41.428"</f>
        <v>19:06:41.428</v>
      </c>
      <c r="BX283" t="s">
        <v>119</v>
      </c>
      <c r="BY283" t="s">
        <v>120</v>
      </c>
      <c r="CJ283">
        <v>0</v>
      </c>
      <c r="CK283">
        <v>0</v>
      </c>
      <c r="CL283">
        <v>0</v>
      </c>
      <c r="CM283">
        <v>2</v>
      </c>
      <c r="CN283">
        <v>0</v>
      </c>
      <c r="CO283">
        <v>7</v>
      </c>
      <c r="CP283" t="s">
        <v>121</v>
      </c>
      <c r="CQ283">
        <v>582</v>
      </c>
      <c r="CR283">
        <v>0</v>
      </c>
      <c r="CW283">
        <v>5671884</v>
      </c>
      <c r="CY283">
        <v>0</v>
      </c>
      <c r="CZ283">
        <v>0</v>
      </c>
      <c r="DA283">
        <v>0</v>
      </c>
      <c r="DB283">
        <v>1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</row>
    <row r="284" spans="1:113" x14ac:dyDescent="0.3">
      <c r="A284" t="str">
        <f>"06/16/2022 19:06:42.625"</f>
        <v>06/16/2022 19:06:42.625</v>
      </c>
      <c r="C284" t="str">
        <f t="shared" si="12"/>
        <v>FFBF5BC0</v>
      </c>
      <c r="D284" t="s">
        <v>113</v>
      </c>
      <c r="E284">
        <v>8</v>
      </c>
      <c r="H284">
        <v>206</v>
      </c>
      <c r="I284" t="s">
        <v>114</v>
      </c>
      <c r="J284" t="s">
        <v>115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>"19:06:42.453"</f>
        <v>19:06:42.453</v>
      </c>
      <c r="T284" t="str">
        <f>"19:06:42.453"</f>
        <v>19:06:42.453</v>
      </c>
      <c r="U284" t="str">
        <f t="shared" si="13"/>
        <v>AB63B2</v>
      </c>
      <c r="V284">
        <v>0</v>
      </c>
      <c r="W284">
        <v>0</v>
      </c>
      <c r="X284">
        <v>6</v>
      </c>
      <c r="Z284">
        <v>0</v>
      </c>
      <c r="AA284">
        <v>9</v>
      </c>
      <c r="AB284">
        <v>3</v>
      </c>
      <c r="AC284">
        <v>0</v>
      </c>
      <c r="AD284">
        <v>10</v>
      </c>
      <c r="AE284">
        <v>0</v>
      </c>
      <c r="AF284">
        <v>0</v>
      </c>
      <c r="AG284">
        <v>2</v>
      </c>
      <c r="AH284">
        <v>0</v>
      </c>
      <c r="AI284" t="s">
        <v>239</v>
      </c>
      <c r="AJ284">
        <v>41.983974000000003</v>
      </c>
      <c r="AK284" t="s">
        <v>141</v>
      </c>
      <c r="AL284">
        <v>-87.894937999999996</v>
      </c>
      <c r="AS284">
        <v>1</v>
      </c>
      <c r="AT284" t="s">
        <v>118</v>
      </c>
      <c r="AU284" t="b">
        <v>1</v>
      </c>
      <c r="AV284">
        <v>180</v>
      </c>
      <c r="AW284">
        <v>19.125</v>
      </c>
      <c r="AX284">
        <v>1</v>
      </c>
      <c r="AZ284">
        <v>7205</v>
      </c>
      <c r="BA284">
        <v>1</v>
      </c>
      <c r="BB284" t="str">
        <f t="shared" si="14"/>
        <v xml:space="preserve">KAP400  </v>
      </c>
      <c r="BC284">
        <v>1</v>
      </c>
      <c r="BE284">
        <v>0</v>
      </c>
      <c r="BF284">
        <v>0</v>
      </c>
      <c r="BG284">
        <v>0</v>
      </c>
      <c r="BI284">
        <v>1</v>
      </c>
      <c r="BJ284">
        <v>1</v>
      </c>
      <c r="BK284">
        <v>1</v>
      </c>
      <c r="BL284">
        <v>0</v>
      </c>
      <c r="BO284">
        <v>0</v>
      </c>
      <c r="BP284">
        <v>0</v>
      </c>
      <c r="BW284" t="str">
        <f>"19:06:42.459"</f>
        <v>19:06:42.459</v>
      </c>
      <c r="BX284" t="s">
        <v>119</v>
      </c>
      <c r="BY284" t="s">
        <v>120</v>
      </c>
      <c r="CJ284">
        <v>0</v>
      </c>
      <c r="CK284">
        <v>0</v>
      </c>
      <c r="CL284">
        <v>0</v>
      </c>
      <c r="CM284">
        <v>2</v>
      </c>
      <c r="CN284">
        <v>0</v>
      </c>
      <c r="CO284">
        <v>7</v>
      </c>
      <c r="CP284" t="s">
        <v>121</v>
      </c>
      <c r="CQ284">
        <v>582</v>
      </c>
      <c r="CR284">
        <v>0</v>
      </c>
      <c r="CW284">
        <v>5673251</v>
      </c>
      <c r="CY284">
        <v>0</v>
      </c>
      <c r="CZ284">
        <v>0</v>
      </c>
      <c r="DA284">
        <v>0</v>
      </c>
      <c r="DB284">
        <v>1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</row>
    <row r="285" spans="1:113" x14ac:dyDescent="0.3">
      <c r="A285" t="str">
        <f>"06/16/2022 19:06:43.750"</f>
        <v>06/16/2022 19:06:43.750</v>
      </c>
      <c r="C285" t="str">
        <f t="shared" si="12"/>
        <v>FFBF5BC0</v>
      </c>
      <c r="D285" t="s">
        <v>113</v>
      </c>
      <c r="E285">
        <v>8</v>
      </c>
      <c r="H285">
        <v>206</v>
      </c>
      <c r="I285" t="s">
        <v>114</v>
      </c>
      <c r="J285" t="s">
        <v>115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>"19:06:43.508"</f>
        <v>19:06:43.508</v>
      </c>
      <c r="T285" t="str">
        <f>"19:06:43.508"</f>
        <v>19:06:43.508</v>
      </c>
      <c r="U285" t="str">
        <f t="shared" si="13"/>
        <v>AB63B2</v>
      </c>
      <c r="V285">
        <v>0</v>
      </c>
      <c r="W285">
        <v>0</v>
      </c>
      <c r="X285">
        <v>6</v>
      </c>
      <c r="Z285">
        <v>0</v>
      </c>
      <c r="AA285">
        <v>9</v>
      </c>
      <c r="AB285">
        <v>3</v>
      </c>
      <c r="AC285">
        <v>0</v>
      </c>
      <c r="AD285">
        <v>10</v>
      </c>
      <c r="AE285">
        <v>0</v>
      </c>
      <c r="AF285">
        <v>0</v>
      </c>
      <c r="AG285">
        <v>2</v>
      </c>
      <c r="AH285">
        <v>0</v>
      </c>
      <c r="AI285" t="s">
        <v>240</v>
      </c>
      <c r="AJ285">
        <v>41.983888</v>
      </c>
      <c r="AK285" t="s">
        <v>141</v>
      </c>
      <c r="AL285">
        <v>-87.894937999999996</v>
      </c>
      <c r="AS285">
        <v>1</v>
      </c>
      <c r="AT285" t="s">
        <v>118</v>
      </c>
      <c r="AU285" t="b">
        <v>1</v>
      </c>
      <c r="AV285">
        <v>180</v>
      </c>
      <c r="AW285">
        <v>19.125</v>
      </c>
      <c r="AX285">
        <v>1</v>
      </c>
      <c r="AZ285">
        <v>7205</v>
      </c>
      <c r="BA285">
        <v>1</v>
      </c>
      <c r="BB285" t="str">
        <f t="shared" si="14"/>
        <v xml:space="preserve">KAP400  </v>
      </c>
      <c r="BC285">
        <v>1</v>
      </c>
      <c r="BE285">
        <v>0</v>
      </c>
      <c r="BF285">
        <v>0</v>
      </c>
      <c r="BG285">
        <v>0</v>
      </c>
      <c r="BI285">
        <v>1</v>
      </c>
      <c r="BJ285">
        <v>1</v>
      </c>
      <c r="BK285">
        <v>1</v>
      </c>
      <c r="BL285">
        <v>0</v>
      </c>
      <c r="BO285">
        <v>0</v>
      </c>
      <c r="BP285">
        <v>0</v>
      </c>
      <c r="BW285" t="str">
        <f>"19:06:43.509"</f>
        <v>19:06:43.509</v>
      </c>
      <c r="BX285" t="s">
        <v>119</v>
      </c>
      <c r="BY285" t="s">
        <v>120</v>
      </c>
      <c r="CJ285">
        <v>0</v>
      </c>
      <c r="CK285">
        <v>0</v>
      </c>
      <c r="CL285">
        <v>0</v>
      </c>
      <c r="CM285">
        <v>2</v>
      </c>
      <c r="CN285">
        <v>0</v>
      </c>
      <c r="CO285">
        <v>7</v>
      </c>
      <c r="CP285" t="s">
        <v>121</v>
      </c>
      <c r="CQ285">
        <v>581</v>
      </c>
      <c r="CR285">
        <v>0</v>
      </c>
      <c r="CW285">
        <v>14712325</v>
      </c>
      <c r="CY285">
        <v>0</v>
      </c>
      <c r="CZ285">
        <v>0</v>
      </c>
      <c r="DA285">
        <v>0</v>
      </c>
      <c r="DB285">
        <v>1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</row>
    <row r="286" spans="1:113" x14ac:dyDescent="0.3">
      <c r="A286" t="str">
        <f>"06/16/2022 19:06:44.750"</f>
        <v>06/16/2022 19:06:44.750</v>
      </c>
      <c r="C286" t="str">
        <f t="shared" si="12"/>
        <v>FFBF5BC0</v>
      </c>
      <c r="D286" t="s">
        <v>113</v>
      </c>
      <c r="E286">
        <v>8</v>
      </c>
      <c r="H286">
        <v>206</v>
      </c>
      <c r="I286" t="s">
        <v>114</v>
      </c>
      <c r="J286" t="s">
        <v>115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>"19:06:44.484"</f>
        <v>19:06:44.484</v>
      </c>
      <c r="T286" t="str">
        <f>"19:06:44.484"</f>
        <v>19:06:44.484</v>
      </c>
      <c r="U286" t="str">
        <f t="shared" si="13"/>
        <v>AB63B2</v>
      </c>
      <c r="V286">
        <v>0</v>
      </c>
      <c r="W286">
        <v>0</v>
      </c>
      <c r="X286">
        <v>6</v>
      </c>
      <c r="Z286">
        <v>0</v>
      </c>
      <c r="AA286">
        <v>9</v>
      </c>
      <c r="AB286">
        <v>3</v>
      </c>
      <c r="AC286">
        <v>0</v>
      </c>
      <c r="AD286">
        <v>10</v>
      </c>
      <c r="AE286">
        <v>0</v>
      </c>
      <c r="AF286">
        <v>0</v>
      </c>
      <c r="AG286">
        <v>2</v>
      </c>
      <c r="AH286">
        <v>0</v>
      </c>
      <c r="AI286" t="s">
        <v>241</v>
      </c>
      <c r="AJ286">
        <v>41.983801999999997</v>
      </c>
      <c r="AK286" t="s">
        <v>141</v>
      </c>
      <c r="AL286">
        <v>-87.894937999999996</v>
      </c>
      <c r="AS286">
        <v>1</v>
      </c>
      <c r="AT286" t="s">
        <v>118</v>
      </c>
      <c r="AU286" t="b">
        <v>1</v>
      </c>
      <c r="AV286">
        <v>180</v>
      </c>
      <c r="AW286">
        <v>19.125</v>
      </c>
      <c r="AX286">
        <v>1</v>
      </c>
      <c r="AZ286">
        <v>7205</v>
      </c>
      <c r="BA286">
        <v>1</v>
      </c>
      <c r="BB286" t="str">
        <f t="shared" si="14"/>
        <v xml:space="preserve">KAP400  </v>
      </c>
      <c r="BC286">
        <v>1</v>
      </c>
      <c r="BE286">
        <v>0</v>
      </c>
      <c r="BF286">
        <v>0</v>
      </c>
      <c r="BG286">
        <v>0</v>
      </c>
      <c r="BI286">
        <v>1</v>
      </c>
      <c r="BJ286">
        <v>1</v>
      </c>
      <c r="BK286">
        <v>1</v>
      </c>
      <c r="BL286">
        <v>0</v>
      </c>
      <c r="BO286">
        <v>0</v>
      </c>
      <c r="BP286">
        <v>0</v>
      </c>
      <c r="BW286" t="str">
        <f>"19:06:44.490"</f>
        <v>19:06:44.490</v>
      </c>
      <c r="BX286" t="s">
        <v>119</v>
      </c>
      <c r="BY286" t="s">
        <v>120</v>
      </c>
      <c r="CJ286">
        <v>0</v>
      </c>
      <c r="CK286">
        <v>0</v>
      </c>
      <c r="CL286">
        <v>0</v>
      </c>
      <c r="CM286">
        <v>2</v>
      </c>
      <c r="CN286">
        <v>0</v>
      </c>
      <c r="CO286">
        <v>7</v>
      </c>
      <c r="CP286" t="s">
        <v>121</v>
      </c>
      <c r="CQ286">
        <v>582</v>
      </c>
      <c r="CR286">
        <v>0</v>
      </c>
      <c r="CW286">
        <v>5676128</v>
      </c>
      <c r="CY286">
        <v>0</v>
      </c>
      <c r="CZ286">
        <v>0</v>
      </c>
      <c r="DA286">
        <v>0</v>
      </c>
      <c r="DB286">
        <v>1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</row>
    <row r="287" spans="1:113" x14ac:dyDescent="0.3">
      <c r="A287" t="str">
        <f>"06/16/2022 19:06:46.000"</f>
        <v>06/16/2022 19:06:46.000</v>
      </c>
      <c r="C287" t="str">
        <f t="shared" si="12"/>
        <v>FFBF5BC0</v>
      </c>
      <c r="D287" t="s">
        <v>113</v>
      </c>
      <c r="E287">
        <v>8</v>
      </c>
      <c r="H287">
        <v>206</v>
      </c>
      <c r="I287" t="s">
        <v>114</v>
      </c>
      <c r="J287" t="s">
        <v>115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>"19:06:45.625"</f>
        <v>19:06:45.625</v>
      </c>
      <c r="T287" t="str">
        <f>"19:06:45.625"</f>
        <v>19:06:45.625</v>
      </c>
      <c r="U287" t="str">
        <f t="shared" si="13"/>
        <v>AB63B2</v>
      </c>
      <c r="V287">
        <v>0</v>
      </c>
      <c r="W287">
        <v>0</v>
      </c>
      <c r="X287">
        <v>6</v>
      </c>
      <c r="Z287">
        <v>0</v>
      </c>
      <c r="AA287">
        <v>9</v>
      </c>
      <c r="AB287">
        <v>3</v>
      </c>
      <c r="AC287">
        <v>0</v>
      </c>
      <c r="AD287">
        <v>10</v>
      </c>
      <c r="AE287">
        <v>0</v>
      </c>
      <c r="AF287">
        <v>0</v>
      </c>
      <c r="AG287">
        <v>2</v>
      </c>
      <c r="AH287">
        <v>0</v>
      </c>
      <c r="AI287" t="s">
        <v>242</v>
      </c>
      <c r="AJ287">
        <v>41.983716000000001</v>
      </c>
      <c r="AK287" t="s">
        <v>141</v>
      </c>
      <c r="AL287">
        <v>-87.894937999999996</v>
      </c>
      <c r="AS287">
        <v>1</v>
      </c>
      <c r="AT287" t="s">
        <v>118</v>
      </c>
      <c r="AU287" t="b">
        <v>1</v>
      </c>
      <c r="AV287">
        <v>180</v>
      </c>
      <c r="AW287">
        <v>19.125</v>
      </c>
      <c r="AX287">
        <v>1</v>
      </c>
      <c r="AZ287">
        <v>7205</v>
      </c>
      <c r="BA287">
        <v>1</v>
      </c>
      <c r="BB287" t="str">
        <f t="shared" si="14"/>
        <v xml:space="preserve">KAP400  </v>
      </c>
      <c r="BC287">
        <v>1</v>
      </c>
      <c r="BE287">
        <v>0</v>
      </c>
      <c r="BF287">
        <v>0</v>
      </c>
      <c r="BG287">
        <v>0</v>
      </c>
      <c r="BI287">
        <v>1</v>
      </c>
      <c r="BJ287">
        <v>1</v>
      </c>
      <c r="BK287">
        <v>1</v>
      </c>
      <c r="BL287">
        <v>0</v>
      </c>
      <c r="BO287">
        <v>0</v>
      </c>
      <c r="BP287">
        <v>0</v>
      </c>
      <c r="BW287" t="str">
        <f>"19:06:45.626"</f>
        <v>19:06:45.626</v>
      </c>
      <c r="BX287" t="s">
        <v>119</v>
      </c>
      <c r="BY287" t="s">
        <v>120</v>
      </c>
      <c r="CJ287">
        <v>0</v>
      </c>
      <c r="CK287">
        <v>0</v>
      </c>
      <c r="CL287">
        <v>0</v>
      </c>
      <c r="CM287">
        <v>2</v>
      </c>
      <c r="CN287">
        <v>0</v>
      </c>
      <c r="CO287">
        <v>7</v>
      </c>
      <c r="CP287" t="s">
        <v>121</v>
      </c>
      <c r="CQ287">
        <v>582</v>
      </c>
      <c r="CR287">
        <v>0</v>
      </c>
      <c r="CW287">
        <v>5677800</v>
      </c>
      <c r="CY287">
        <v>0</v>
      </c>
      <c r="CZ287">
        <v>0</v>
      </c>
      <c r="DA287">
        <v>0</v>
      </c>
      <c r="DB287">
        <v>1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</row>
    <row r="288" spans="1:113" x14ac:dyDescent="0.3">
      <c r="A288" t="str">
        <f>"06/16/2022 19:06:46.953"</f>
        <v>06/16/2022 19:06:46.953</v>
      </c>
      <c r="C288" t="str">
        <f t="shared" si="12"/>
        <v>FFBF5BC0</v>
      </c>
      <c r="D288" t="s">
        <v>113</v>
      </c>
      <c r="E288">
        <v>8</v>
      </c>
      <c r="H288">
        <v>206</v>
      </c>
      <c r="I288" t="s">
        <v>114</v>
      </c>
      <c r="J288" t="s">
        <v>115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>"19:06:46.711"</f>
        <v>19:06:46.711</v>
      </c>
      <c r="T288" t="str">
        <f>"19:06:46.711"</f>
        <v>19:06:46.711</v>
      </c>
      <c r="U288" t="str">
        <f t="shared" si="13"/>
        <v>AB63B2</v>
      </c>
      <c r="V288">
        <v>0</v>
      </c>
      <c r="W288">
        <v>0</v>
      </c>
      <c r="X288">
        <v>6</v>
      </c>
      <c r="Z288">
        <v>0</v>
      </c>
      <c r="AA288">
        <v>9</v>
      </c>
      <c r="AB288">
        <v>3</v>
      </c>
      <c r="AC288">
        <v>0</v>
      </c>
      <c r="AD288">
        <v>10</v>
      </c>
      <c r="AE288">
        <v>0</v>
      </c>
      <c r="AF288">
        <v>0</v>
      </c>
      <c r="AG288">
        <v>2</v>
      </c>
      <c r="AH288">
        <v>0</v>
      </c>
      <c r="AI288" t="s">
        <v>243</v>
      </c>
      <c r="AJ288">
        <v>41.983609000000001</v>
      </c>
      <c r="AK288" t="s">
        <v>141</v>
      </c>
      <c r="AL288">
        <v>-87.894937999999996</v>
      </c>
      <c r="AS288">
        <v>1</v>
      </c>
      <c r="AT288" t="s">
        <v>118</v>
      </c>
      <c r="AU288" t="b">
        <v>1</v>
      </c>
      <c r="AV288">
        <v>180</v>
      </c>
      <c r="AW288">
        <v>19.125</v>
      </c>
      <c r="AX288">
        <v>1</v>
      </c>
      <c r="AZ288">
        <v>7205</v>
      </c>
      <c r="BA288">
        <v>1</v>
      </c>
      <c r="BB288" t="str">
        <f t="shared" si="14"/>
        <v xml:space="preserve">KAP400  </v>
      </c>
      <c r="BC288">
        <v>1</v>
      </c>
      <c r="BE288">
        <v>0</v>
      </c>
      <c r="BF288">
        <v>0</v>
      </c>
      <c r="BG288">
        <v>0</v>
      </c>
      <c r="BI288">
        <v>1</v>
      </c>
      <c r="BJ288">
        <v>1</v>
      </c>
      <c r="BK288">
        <v>1</v>
      </c>
      <c r="BL288">
        <v>0</v>
      </c>
      <c r="BO288">
        <v>0</v>
      </c>
      <c r="BP288">
        <v>0</v>
      </c>
      <c r="BW288" t="str">
        <f>"19:06:46.715"</f>
        <v>19:06:46.715</v>
      </c>
      <c r="BX288" t="s">
        <v>119</v>
      </c>
      <c r="BY288" t="s">
        <v>120</v>
      </c>
      <c r="CJ288">
        <v>0</v>
      </c>
      <c r="CK288">
        <v>0</v>
      </c>
      <c r="CL288">
        <v>0</v>
      </c>
      <c r="CM288">
        <v>2</v>
      </c>
      <c r="CN288">
        <v>0</v>
      </c>
      <c r="CO288">
        <v>7</v>
      </c>
      <c r="CP288" t="s">
        <v>121</v>
      </c>
      <c r="CQ288">
        <v>582</v>
      </c>
      <c r="CR288">
        <v>0</v>
      </c>
      <c r="CW288">
        <v>5679431</v>
      </c>
      <c r="CY288">
        <v>0</v>
      </c>
      <c r="CZ288">
        <v>0</v>
      </c>
      <c r="DA288">
        <v>0</v>
      </c>
      <c r="DB288">
        <v>1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</row>
    <row r="289" spans="1:113" x14ac:dyDescent="0.3">
      <c r="A289" t="str">
        <f>"06/16/2022 19:06:47.906"</f>
        <v>06/16/2022 19:06:47.906</v>
      </c>
      <c r="C289" t="str">
        <f t="shared" si="12"/>
        <v>FFBF5BC0</v>
      </c>
      <c r="D289" t="s">
        <v>113</v>
      </c>
      <c r="E289">
        <v>8</v>
      </c>
      <c r="H289">
        <v>206</v>
      </c>
      <c r="I289" t="s">
        <v>114</v>
      </c>
      <c r="J289" t="s">
        <v>115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>"19:06:47.719"</f>
        <v>19:06:47.719</v>
      </c>
      <c r="T289" t="str">
        <f>"19:06:47.719"</f>
        <v>19:06:47.719</v>
      </c>
      <c r="U289" t="str">
        <f t="shared" si="13"/>
        <v>AB63B2</v>
      </c>
      <c r="V289">
        <v>0</v>
      </c>
      <c r="W289">
        <v>0</v>
      </c>
      <c r="X289">
        <v>6</v>
      </c>
      <c r="Z289">
        <v>0</v>
      </c>
      <c r="AA289">
        <v>9</v>
      </c>
      <c r="AB289">
        <v>3</v>
      </c>
      <c r="AC289">
        <v>0</v>
      </c>
      <c r="AD289">
        <v>10</v>
      </c>
      <c r="AE289">
        <v>0</v>
      </c>
      <c r="AF289">
        <v>0</v>
      </c>
      <c r="AG289">
        <v>2</v>
      </c>
      <c r="AH289">
        <v>0</v>
      </c>
      <c r="AI289" t="s">
        <v>244</v>
      </c>
      <c r="AJ289">
        <v>41.983522999999998</v>
      </c>
      <c r="AK289" t="s">
        <v>141</v>
      </c>
      <c r="AL289">
        <v>-87.894937999999996</v>
      </c>
      <c r="AS289">
        <v>1</v>
      </c>
      <c r="AT289" t="s">
        <v>118</v>
      </c>
      <c r="AU289" t="b">
        <v>1</v>
      </c>
      <c r="AV289">
        <v>180</v>
      </c>
      <c r="AW289">
        <v>19.125</v>
      </c>
      <c r="AX289">
        <v>1</v>
      </c>
      <c r="AZ289">
        <v>7205</v>
      </c>
      <c r="BA289">
        <v>1</v>
      </c>
      <c r="BB289" t="str">
        <f t="shared" si="14"/>
        <v xml:space="preserve">KAP400  </v>
      </c>
      <c r="BC289">
        <v>1</v>
      </c>
      <c r="BE289">
        <v>0</v>
      </c>
      <c r="BF289">
        <v>0</v>
      </c>
      <c r="BG289">
        <v>0</v>
      </c>
      <c r="BI289">
        <v>1</v>
      </c>
      <c r="BJ289">
        <v>1</v>
      </c>
      <c r="BK289">
        <v>1</v>
      </c>
      <c r="BL289">
        <v>0</v>
      </c>
      <c r="BO289">
        <v>0</v>
      </c>
      <c r="BP289">
        <v>0</v>
      </c>
      <c r="BW289" t="str">
        <f>"19:06:47.721"</f>
        <v>19:06:47.721</v>
      </c>
      <c r="BX289" t="s">
        <v>119</v>
      </c>
      <c r="BY289" t="s">
        <v>120</v>
      </c>
      <c r="CJ289">
        <v>0</v>
      </c>
      <c r="CK289">
        <v>0</v>
      </c>
      <c r="CL289">
        <v>0</v>
      </c>
      <c r="CM289">
        <v>2</v>
      </c>
      <c r="CN289">
        <v>0</v>
      </c>
      <c r="CO289">
        <v>7</v>
      </c>
      <c r="CP289" t="s">
        <v>121</v>
      </c>
      <c r="CQ289">
        <v>581</v>
      </c>
      <c r="CR289">
        <v>0</v>
      </c>
      <c r="CW289">
        <v>14718784</v>
      </c>
      <c r="CY289">
        <v>0</v>
      </c>
      <c r="CZ289">
        <v>0</v>
      </c>
      <c r="DA289">
        <v>0</v>
      </c>
      <c r="DB289">
        <v>1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</row>
    <row r="290" spans="1:113" x14ac:dyDescent="0.3">
      <c r="A290" t="str">
        <f>"06/16/2022 19:06:49.047"</f>
        <v>06/16/2022 19:06:49.047</v>
      </c>
      <c r="C290" t="str">
        <f t="shared" si="12"/>
        <v>FFBF5BC0</v>
      </c>
      <c r="D290" t="s">
        <v>113</v>
      </c>
      <c r="E290">
        <v>8</v>
      </c>
      <c r="H290">
        <v>206</v>
      </c>
      <c r="I290" t="s">
        <v>114</v>
      </c>
      <c r="J290" t="s">
        <v>115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>"19:06:48.742"</f>
        <v>19:06:48.742</v>
      </c>
      <c r="T290" t="str">
        <f>"19:06:48.742"</f>
        <v>19:06:48.742</v>
      </c>
      <c r="U290" t="str">
        <f t="shared" si="13"/>
        <v>AB63B2</v>
      </c>
      <c r="V290">
        <v>0</v>
      </c>
      <c r="W290">
        <v>0</v>
      </c>
      <c r="X290">
        <v>6</v>
      </c>
      <c r="Z290">
        <v>0</v>
      </c>
      <c r="AA290">
        <v>9</v>
      </c>
      <c r="AB290">
        <v>3</v>
      </c>
      <c r="AC290">
        <v>0</v>
      </c>
      <c r="AD290">
        <v>10</v>
      </c>
      <c r="AE290">
        <v>0</v>
      </c>
      <c r="AF290">
        <v>0</v>
      </c>
      <c r="AG290">
        <v>2</v>
      </c>
      <c r="AH290">
        <v>0</v>
      </c>
      <c r="AI290" t="s">
        <v>245</v>
      </c>
      <c r="AJ290">
        <v>41.983438</v>
      </c>
      <c r="AK290" t="s">
        <v>141</v>
      </c>
      <c r="AL290">
        <v>-87.894937999999996</v>
      </c>
      <c r="AS290">
        <v>1</v>
      </c>
      <c r="AT290" t="s">
        <v>118</v>
      </c>
      <c r="AU290" t="b">
        <v>1</v>
      </c>
      <c r="AV290">
        <v>180</v>
      </c>
      <c r="AW290">
        <v>18.125</v>
      </c>
      <c r="AX290">
        <v>1</v>
      </c>
      <c r="AZ290">
        <v>7205</v>
      </c>
      <c r="BA290">
        <v>1</v>
      </c>
      <c r="BB290" t="str">
        <f t="shared" si="14"/>
        <v xml:space="preserve">KAP400  </v>
      </c>
      <c r="BC290">
        <v>1</v>
      </c>
      <c r="BE290">
        <v>0</v>
      </c>
      <c r="BF290">
        <v>0</v>
      </c>
      <c r="BG290">
        <v>0</v>
      </c>
      <c r="BI290">
        <v>1</v>
      </c>
      <c r="BJ290">
        <v>1</v>
      </c>
      <c r="BK290">
        <v>1</v>
      </c>
      <c r="BL290">
        <v>0</v>
      </c>
      <c r="BO290">
        <v>0</v>
      </c>
      <c r="BP290">
        <v>0</v>
      </c>
      <c r="BW290" t="str">
        <f>"19:06:48.747"</f>
        <v>19:06:48.747</v>
      </c>
      <c r="BX290" t="s">
        <v>119</v>
      </c>
      <c r="BY290" t="s">
        <v>120</v>
      </c>
      <c r="CJ290">
        <v>0</v>
      </c>
      <c r="CK290">
        <v>0</v>
      </c>
      <c r="CL290">
        <v>0</v>
      </c>
      <c r="CM290">
        <v>2</v>
      </c>
      <c r="CN290">
        <v>0</v>
      </c>
      <c r="CO290">
        <v>7</v>
      </c>
      <c r="CP290" t="s">
        <v>121</v>
      </c>
      <c r="CQ290">
        <v>582</v>
      </c>
      <c r="CR290">
        <v>0</v>
      </c>
      <c r="CW290">
        <v>5682321</v>
      </c>
      <c r="CY290">
        <v>0</v>
      </c>
      <c r="CZ290">
        <v>0</v>
      </c>
      <c r="DA290">
        <v>0</v>
      </c>
      <c r="DB290">
        <v>1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</row>
    <row r="291" spans="1:113" x14ac:dyDescent="0.3">
      <c r="A291" t="str">
        <f>"06/16/2022 19:06:49.844"</f>
        <v>06/16/2022 19:06:49.844</v>
      </c>
      <c r="C291" t="str">
        <f t="shared" si="12"/>
        <v>FFBF5BC0</v>
      </c>
      <c r="D291" t="s">
        <v>113</v>
      </c>
      <c r="E291">
        <v>8</v>
      </c>
      <c r="H291">
        <v>206</v>
      </c>
      <c r="I291" t="s">
        <v>114</v>
      </c>
      <c r="J291" t="s">
        <v>115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>"19:06:49.555"</f>
        <v>19:06:49.555</v>
      </c>
      <c r="T291" t="str">
        <f>"19:06:49.555"</f>
        <v>19:06:49.555</v>
      </c>
      <c r="U291" t="str">
        <f t="shared" si="13"/>
        <v>AB63B2</v>
      </c>
      <c r="V291">
        <v>0</v>
      </c>
      <c r="W291">
        <v>0</v>
      </c>
      <c r="X291">
        <v>6</v>
      </c>
      <c r="Z291">
        <v>0</v>
      </c>
      <c r="AA291">
        <v>9</v>
      </c>
      <c r="AB291">
        <v>3</v>
      </c>
      <c r="AC291">
        <v>0</v>
      </c>
      <c r="AD291">
        <v>10</v>
      </c>
      <c r="AE291">
        <v>0</v>
      </c>
      <c r="AF291">
        <v>0</v>
      </c>
      <c r="AG291">
        <v>2</v>
      </c>
      <c r="AH291">
        <v>0</v>
      </c>
      <c r="AI291" t="s">
        <v>246</v>
      </c>
      <c r="AJ291">
        <v>41.983373</v>
      </c>
      <c r="AK291" t="s">
        <v>141</v>
      </c>
      <c r="AL291">
        <v>-87.894937999999996</v>
      </c>
      <c r="AS291">
        <v>1</v>
      </c>
      <c r="AT291" t="s">
        <v>118</v>
      </c>
      <c r="AU291" t="b">
        <v>1</v>
      </c>
      <c r="AV291">
        <v>180</v>
      </c>
      <c r="AW291">
        <v>18.125</v>
      </c>
      <c r="AX291">
        <v>1</v>
      </c>
      <c r="AZ291">
        <v>7205</v>
      </c>
      <c r="BA291">
        <v>1</v>
      </c>
      <c r="BB291" t="str">
        <f t="shared" si="14"/>
        <v xml:space="preserve">KAP400  </v>
      </c>
      <c r="BC291">
        <v>1</v>
      </c>
      <c r="BE291">
        <v>0</v>
      </c>
      <c r="BF291">
        <v>0</v>
      </c>
      <c r="BG291">
        <v>0</v>
      </c>
      <c r="BI291">
        <v>1</v>
      </c>
      <c r="BJ291">
        <v>1</v>
      </c>
      <c r="BK291">
        <v>1</v>
      </c>
      <c r="BL291">
        <v>0</v>
      </c>
      <c r="BO291">
        <v>0</v>
      </c>
      <c r="BP291">
        <v>0</v>
      </c>
      <c r="BW291" t="str">
        <f>"19:06:49.558"</f>
        <v>19:06:49.558</v>
      </c>
      <c r="BX291" t="s">
        <v>119</v>
      </c>
      <c r="BY291" t="s">
        <v>120</v>
      </c>
      <c r="CJ291">
        <v>0</v>
      </c>
      <c r="CK291">
        <v>0</v>
      </c>
      <c r="CL291">
        <v>0</v>
      </c>
      <c r="CM291">
        <v>2</v>
      </c>
      <c r="CN291">
        <v>0</v>
      </c>
      <c r="CO291">
        <v>7</v>
      </c>
      <c r="CP291" t="s">
        <v>121</v>
      </c>
      <c r="CQ291">
        <v>582</v>
      </c>
      <c r="CR291">
        <v>0</v>
      </c>
      <c r="CW291">
        <v>5683548</v>
      </c>
      <c r="CY291">
        <v>0</v>
      </c>
      <c r="CZ291">
        <v>0</v>
      </c>
      <c r="DA291">
        <v>0</v>
      </c>
      <c r="DB291">
        <v>1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</row>
    <row r="292" spans="1:113" x14ac:dyDescent="0.3">
      <c r="A292" t="str">
        <f>"06/16/2022 19:06:50.828"</f>
        <v>06/16/2022 19:06:50.828</v>
      </c>
      <c r="C292" t="str">
        <f t="shared" si="12"/>
        <v>FFBF5BC0</v>
      </c>
      <c r="D292" t="s">
        <v>113</v>
      </c>
      <c r="E292">
        <v>8</v>
      </c>
      <c r="H292">
        <v>206</v>
      </c>
      <c r="I292" t="s">
        <v>114</v>
      </c>
      <c r="J292" t="s">
        <v>115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>"19:06:50.516"</f>
        <v>19:06:50.516</v>
      </c>
      <c r="T292" t="str">
        <f>"19:06:50.516"</f>
        <v>19:06:50.516</v>
      </c>
      <c r="U292" t="str">
        <f t="shared" si="13"/>
        <v>AB63B2</v>
      </c>
      <c r="V292">
        <v>0</v>
      </c>
      <c r="W292">
        <v>0</v>
      </c>
      <c r="X292">
        <v>6</v>
      </c>
      <c r="Z292">
        <v>0</v>
      </c>
      <c r="AA292">
        <v>9</v>
      </c>
      <c r="AB292">
        <v>3</v>
      </c>
      <c r="AC292">
        <v>0</v>
      </c>
      <c r="AD292">
        <v>10</v>
      </c>
      <c r="AE292">
        <v>0</v>
      </c>
      <c r="AF292">
        <v>0</v>
      </c>
      <c r="AG292">
        <v>2</v>
      </c>
      <c r="AH292">
        <v>0</v>
      </c>
      <c r="AI292" t="s">
        <v>247</v>
      </c>
      <c r="AJ292">
        <v>41.983286999999997</v>
      </c>
      <c r="AK292" t="s">
        <v>141</v>
      </c>
      <c r="AL292">
        <v>-87.894937999999996</v>
      </c>
      <c r="AS292">
        <v>1</v>
      </c>
      <c r="AT292" t="s">
        <v>118</v>
      </c>
      <c r="AU292" t="b">
        <v>1</v>
      </c>
      <c r="AV292">
        <v>180</v>
      </c>
      <c r="AW292">
        <v>18.125</v>
      </c>
      <c r="AX292">
        <v>1</v>
      </c>
      <c r="AZ292">
        <v>7205</v>
      </c>
      <c r="BA292">
        <v>1</v>
      </c>
      <c r="BB292" t="str">
        <f t="shared" si="14"/>
        <v xml:space="preserve">KAP400  </v>
      </c>
      <c r="BC292">
        <v>1</v>
      </c>
      <c r="BE292">
        <v>0</v>
      </c>
      <c r="BF292">
        <v>0</v>
      </c>
      <c r="BG292">
        <v>0</v>
      </c>
      <c r="BI292">
        <v>1</v>
      </c>
      <c r="BJ292">
        <v>1</v>
      </c>
      <c r="BK292">
        <v>1</v>
      </c>
      <c r="BL292">
        <v>0</v>
      </c>
      <c r="BO292">
        <v>0</v>
      </c>
      <c r="BP292">
        <v>0</v>
      </c>
      <c r="BW292" t="str">
        <f>"19:06:50.521"</f>
        <v>19:06:50.521</v>
      </c>
      <c r="BX292" t="s">
        <v>119</v>
      </c>
      <c r="BY292" t="s">
        <v>120</v>
      </c>
      <c r="CJ292">
        <v>0</v>
      </c>
      <c r="CK292">
        <v>0</v>
      </c>
      <c r="CL292">
        <v>0</v>
      </c>
      <c r="CM292">
        <v>2</v>
      </c>
      <c r="CN292">
        <v>0</v>
      </c>
      <c r="CO292">
        <v>7</v>
      </c>
      <c r="CP292" t="s">
        <v>121</v>
      </c>
      <c r="CQ292">
        <v>581</v>
      </c>
      <c r="CR292">
        <v>0</v>
      </c>
      <c r="CW292">
        <v>14723250</v>
      </c>
      <c r="CY292">
        <v>0</v>
      </c>
      <c r="CZ292">
        <v>0</v>
      </c>
      <c r="DA292">
        <v>0</v>
      </c>
      <c r="DB292">
        <v>1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</row>
    <row r="293" spans="1:113" x14ac:dyDescent="0.3">
      <c r="A293" t="str">
        <f>"06/16/2022 19:06:51.849"</f>
        <v>06/16/2022 19:06:51.849</v>
      </c>
      <c r="C293" t="str">
        <f t="shared" si="12"/>
        <v>FFBF5BC0</v>
      </c>
      <c r="D293" t="s">
        <v>113</v>
      </c>
      <c r="E293">
        <v>8</v>
      </c>
      <c r="H293">
        <v>206</v>
      </c>
      <c r="I293" t="s">
        <v>114</v>
      </c>
      <c r="J293" t="s">
        <v>115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>"19:06:51.617"</f>
        <v>19:06:51.617</v>
      </c>
      <c r="T293" t="str">
        <f>"19:06:51.617"</f>
        <v>19:06:51.617</v>
      </c>
      <c r="U293" t="str">
        <f t="shared" si="13"/>
        <v>AB63B2</v>
      </c>
      <c r="V293">
        <v>0</v>
      </c>
      <c r="W293">
        <v>0</v>
      </c>
      <c r="X293">
        <v>6</v>
      </c>
      <c r="Z293">
        <v>0</v>
      </c>
      <c r="AA293">
        <v>9</v>
      </c>
      <c r="AB293">
        <v>3</v>
      </c>
      <c r="AC293">
        <v>0</v>
      </c>
      <c r="AD293">
        <v>10</v>
      </c>
      <c r="AE293">
        <v>0</v>
      </c>
      <c r="AF293">
        <v>0</v>
      </c>
      <c r="AG293">
        <v>2</v>
      </c>
      <c r="AH293">
        <v>0</v>
      </c>
      <c r="AI293" t="s">
        <v>248</v>
      </c>
      <c r="AJ293">
        <v>41.983223000000002</v>
      </c>
      <c r="AK293" t="s">
        <v>141</v>
      </c>
      <c r="AL293">
        <v>-87.894937999999996</v>
      </c>
      <c r="AS293">
        <v>1</v>
      </c>
      <c r="AT293" t="s">
        <v>118</v>
      </c>
      <c r="AU293" t="b">
        <v>1</v>
      </c>
      <c r="AV293">
        <v>180</v>
      </c>
      <c r="AW293">
        <v>17.125</v>
      </c>
      <c r="AX293">
        <v>1</v>
      </c>
      <c r="AZ293">
        <v>7205</v>
      </c>
      <c r="BA293">
        <v>1</v>
      </c>
      <c r="BB293" t="str">
        <f t="shared" si="14"/>
        <v xml:space="preserve">KAP400  </v>
      </c>
      <c r="BC293">
        <v>1</v>
      </c>
      <c r="BE293">
        <v>0</v>
      </c>
      <c r="BF293">
        <v>0</v>
      </c>
      <c r="BG293">
        <v>0</v>
      </c>
      <c r="BI293">
        <v>1</v>
      </c>
      <c r="BJ293">
        <v>1</v>
      </c>
      <c r="BK293">
        <v>1</v>
      </c>
      <c r="BL293">
        <v>0</v>
      </c>
      <c r="BO293">
        <v>0</v>
      </c>
      <c r="BP293">
        <v>0</v>
      </c>
      <c r="BW293" t="str">
        <f>"19:06:51.624"</f>
        <v>19:06:51.624</v>
      </c>
      <c r="BX293" t="s">
        <v>119</v>
      </c>
      <c r="BY293" t="s">
        <v>120</v>
      </c>
      <c r="CJ293">
        <v>0</v>
      </c>
      <c r="CK293">
        <v>0</v>
      </c>
      <c r="CL293">
        <v>0</v>
      </c>
      <c r="CM293">
        <v>2</v>
      </c>
      <c r="CN293">
        <v>0</v>
      </c>
      <c r="CO293">
        <v>7</v>
      </c>
      <c r="CP293" t="s">
        <v>121</v>
      </c>
      <c r="CQ293">
        <v>582</v>
      </c>
      <c r="CR293">
        <v>0</v>
      </c>
      <c r="CW293">
        <v>5686539</v>
      </c>
      <c r="CY293">
        <v>0</v>
      </c>
      <c r="CZ293">
        <v>0</v>
      </c>
      <c r="DA293">
        <v>0</v>
      </c>
      <c r="DB293">
        <v>1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</row>
    <row r="294" spans="1:113" x14ac:dyDescent="0.3">
      <c r="A294" t="str">
        <f>"06/16/2022 19:06:52.813"</f>
        <v>06/16/2022 19:06:52.813</v>
      </c>
      <c r="C294" t="str">
        <f t="shared" si="12"/>
        <v>FFBF5BC0</v>
      </c>
      <c r="D294" t="s">
        <v>113</v>
      </c>
      <c r="E294">
        <v>8</v>
      </c>
      <c r="H294">
        <v>206</v>
      </c>
      <c r="I294" t="s">
        <v>114</v>
      </c>
      <c r="J294" t="s">
        <v>115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>"19:06:52.500"</f>
        <v>19:06:52.500</v>
      </c>
      <c r="T294" t="str">
        <f>"19:06:52.500"</f>
        <v>19:06:52.500</v>
      </c>
      <c r="U294" t="str">
        <f t="shared" si="13"/>
        <v>AB63B2</v>
      </c>
      <c r="V294">
        <v>0</v>
      </c>
      <c r="W294">
        <v>0</v>
      </c>
      <c r="X294">
        <v>6</v>
      </c>
      <c r="Z294">
        <v>0</v>
      </c>
      <c r="AA294">
        <v>9</v>
      </c>
      <c r="AB294">
        <v>3</v>
      </c>
      <c r="AC294">
        <v>0</v>
      </c>
      <c r="AD294">
        <v>10</v>
      </c>
      <c r="AE294">
        <v>0</v>
      </c>
      <c r="AF294">
        <v>0</v>
      </c>
      <c r="AG294">
        <v>2</v>
      </c>
      <c r="AH294">
        <v>0</v>
      </c>
      <c r="AI294" t="s">
        <v>249</v>
      </c>
      <c r="AJ294">
        <v>41.983136999999999</v>
      </c>
      <c r="AK294" t="s">
        <v>141</v>
      </c>
      <c r="AL294">
        <v>-87.894937999999996</v>
      </c>
      <c r="AS294">
        <v>1</v>
      </c>
      <c r="AT294" t="s">
        <v>118</v>
      </c>
      <c r="AU294" t="b">
        <v>1</v>
      </c>
      <c r="AV294">
        <v>180</v>
      </c>
      <c r="AW294">
        <v>16.125</v>
      </c>
      <c r="AX294">
        <v>1</v>
      </c>
      <c r="AZ294">
        <v>7205</v>
      </c>
      <c r="BA294">
        <v>1</v>
      </c>
      <c r="BB294" t="str">
        <f t="shared" si="14"/>
        <v xml:space="preserve">KAP400  </v>
      </c>
      <c r="BC294">
        <v>1</v>
      </c>
      <c r="BE294">
        <v>0</v>
      </c>
      <c r="BF294">
        <v>0</v>
      </c>
      <c r="BG294">
        <v>0</v>
      </c>
      <c r="BI294">
        <v>1</v>
      </c>
      <c r="BJ294">
        <v>1</v>
      </c>
      <c r="BK294">
        <v>1</v>
      </c>
      <c r="BL294">
        <v>0</v>
      </c>
      <c r="BO294">
        <v>0</v>
      </c>
      <c r="BP294">
        <v>0</v>
      </c>
      <c r="BW294" t="str">
        <f>"19:06:52.505"</f>
        <v>19:06:52.505</v>
      </c>
      <c r="BX294" t="s">
        <v>119</v>
      </c>
      <c r="BY294" t="s">
        <v>120</v>
      </c>
      <c r="CJ294">
        <v>0</v>
      </c>
      <c r="CK294">
        <v>0</v>
      </c>
      <c r="CL294">
        <v>0</v>
      </c>
      <c r="CM294">
        <v>2</v>
      </c>
      <c r="CN294">
        <v>0</v>
      </c>
      <c r="CO294">
        <v>7</v>
      </c>
      <c r="CP294" t="s">
        <v>121</v>
      </c>
      <c r="CQ294">
        <v>582</v>
      </c>
      <c r="CR294">
        <v>0</v>
      </c>
      <c r="CW294">
        <v>5687743</v>
      </c>
      <c r="CY294">
        <v>0</v>
      </c>
      <c r="CZ294">
        <v>0</v>
      </c>
      <c r="DA294">
        <v>0</v>
      </c>
      <c r="DB294">
        <v>1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</row>
    <row r="295" spans="1:113" x14ac:dyDescent="0.3">
      <c r="A295" t="str">
        <f>"06/16/2022 19:06:53.657"</f>
        <v>06/16/2022 19:06:53.657</v>
      </c>
      <c r="C295" t="str">
        <f t="shared" si="12"/>
        <v>FFBF5BC0</v>
      </c>
      <c r="D295" t="s">
        <v>113</v>
      </c>
      <c r="E295">
        <v>8</v>
      </c>
      <c r="H295">
        <v>206</v>
      </c>
      <c r="I295" t="s">
        <v>114</v>
      </c>
      <c r="J295" t="s">
        <v>115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>"19:06:53.406"</f>
        <v>19:06:53.406</v>
      </c>
      <c r="T295" t="str">
        <f>"19:06:53.406"</f>
        <v>19:06:53.406</v>
      </c>
      <c r="U295" t="str">
        <f t="shared" si="13"/>
        <v>AB63B2</v>
      </c>
      <c r="V295">
        <v>0</v>
      </c>
      <c r="W295">
        <v>0</v>
      </c>
      <c r="X295">
        <v>6</v>
      </c>
      <c r="Z295">
        <v>0</v>
      </c>
      <c r="AA295">
        <v>9</v>
      </c>
      <c r="AB295">
        <v>3</v>
      </c>
      <c r="AC295">
        <v>0</v>
      </c>
      <c r="AD295">
        <v>10</v>
      </c>
      <c r="AE295">
        <v>0</v>
      </c>
      <c r="AF295">
        <v>0</v>
      </c>
      <c r="AG295">
        <v>2</v>
      </c>
      <c r="AH295">
        <v>0</v>
      </c>
      <c r="AI295" t="s">
        <v>250</v>
      </c>
      <c r="AJ295">
        <v>41.983072999999997</v>
      </c>
      <c r="AK295" t="s">
        <v>141</v>
      </c>
      <c r="AL295">
        <v>-87.894937999999996</v>
      </c>
      <c r="AS295">
        <v>1</v>
      </c>
      <c r="AT295" t="s">
        <v>118</v>
      </c>
      <c r="AU295" t="b">
        <v>1</v>
      </c>
      <c r="AV295">
        <v>180</v>
      </c>
      <c r="AW295">
        <v>16.125</v>
      </c>
      <c r="AX295">
        <v>1</v>
      </c>
      <c r="AZ295">
        <v>7205</v>
      </c>
      <c r="BA295">
        <v>1</v>
      </c>
      <c r="BB295" t="str">
        <f t="shared" si="14"/>
        <v xml:space="preserve">KAP400  </v>
      </c>
      <c r="BC295">
        <v>1</v>
      </c>
      <c r="BE295">
        <v>0</v>
      </c>
      <c r="BF295">
        <v>0</v>
      </c>
      <c r="BG295">
        <v>0</v>
      </c>
      <c r="BI295">
        <v>1</v>
      </c>
      <c r="BJ295">
        <v>1</v>
      </c>
      <c r="BK295">
        <v>1</v>
      </c>
      <c r="BL295">
        <v>0</v>
      </c>
      <c r="BO295">
        <v>0</v>
      </c>
      <c r="BP295">
        <v>0</v>
      </c>
      <c r="BW295" t="str">
        <f>"19:06:53.413"</f>
        <v>19:06:53.413</v>
      </c>
      <c r="BX295" t="s">
        <v>119</v>
      </c>
      <c r="BY295" t="s">
        <v>120</v>
      </c>
      <c r="CJ295">
        <v>0</v>
      </c>
      <c r="CK295">
        <v>0</v>
      </c>
      <c r="CL295">
        <v>0</v>
      </c>
      <c r="CM295">
        <v>2</v>
      </c>
      <c r="CN295">
        <v>0</v>
      </c>
      <c r="CO295">
        <v>7</v>
      </c>
      <c r="CP295" t="s">
        <v>121</v>
      </c>
      <c r="CQ295">
        <v>581</v>
      </c>
      <c r="CR295">
        <v>0</v>
      </c>
      <c r="CW295">
        <v>14727736</v>
      </c>
      <c r="CY295">
        <v>0</v>
      </c>
      <c r="CZ295">
        <v>0</v>
      </c>
      <c r="DA295">
        <v>0</v>
      </c>
      <c r="DB295">
        <v>1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</row>
    <row r="296" spans="1:113" x14ac:dyDescent="0.3">
      <c r="A296" t="str">
        <f>"06/16/2022 19:06:54.594"</f>
        <v>06/16/2022 19:06:54.594</v>
      </c>
      <c r="C296" t="str">
        <f t="shared" si="12"/>
        <v>FFBF5BC0</v>
      </c>
      <c r="D296" t="s">
        <v>113</v>
      </c>
      <c r="E296">
        <v>8</v>
      </c>
      <c r="H296">
        <v>206</v>
      </c>
      <c r="I296" t="s">
        <v>114</v>
      </c>
      <c r="J296" t="s">
        <v>115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>"19:06:54.320"</f>
        <v>19:06:54.320</v>
      </c>
      <c r="T296" t="str">
        <f>"19:06:54.320"</f>
        <v>19:06:54.320</v>
      </c>
      <c r="U296" t="str">
        <f t="shared" si="13"/>
        <v>AB63B2</v>
      </c>
      <c r="V296">
        <v>0</v>
      </c>
      <c r="W296">
        <v>0</v>
      </c>
      <c r="X296">
        <v>6</v>
      </c>
      <c r="Z296">
        <v>0</v>
      </c>
      <c r="AA296">
        <v>9</v>
      </c>
      <c r="AB296">
        <v>3</v>
      </c>
      <c r="AC296">
        <v>0</v>
      </c>
      <c r="AD296">
        <v>10</v>
      </c>
      <c r="AE296">
        <v>0</v>
      </c>
      <c r="AF296">
        <v>0</v>
      </c>
      <c r="AG296">
        <v>2</v>
      </c>
      <c r="AH296">
        <v>0</v>
      </c>
      <c r="AI296" t="s">
        <v>251</v>
      </c>
      <c r="AJ296">
        <v>41.983007999999998</v>
      </c>
      <c r="AK296" t="s">
        <v>141</v>
      </c>
      <c r="AL296">
        <v>-87.894937999999996</v>
      </c>
      <c r="AS296">
        <v>1</v>
      </c>
      <c r="AT296" t="s">
        <v>118</v>
      </c>
      <c r="AU296" t="b">
        <v>1</v>
      </c>
      <c r="AV296">
        <v>180</v>
      </c>
      <c r="AW296">
        <v>16.125</v>
      </c>
      <c r="AX296">
        <v>1</v>
      </c>
      <c r="AZ296">
        <v>7205</v>
      </c>
      <c r="BA296">
        <v>1</v>
      </c>
      <c r="BB296" t="str">
        <f t="shared" si="14"/>
        <v xml:space="preserve">KAP400  </v>
      </c>
      <c r="BC296">
        <v>1</v>
      </c>
      <c r="BE296">
        <v>0</v>
      </c>
      <c r="BF296">
        <v>0</v>
      </c>
      <c r="BG296">
        <v>0</v>
      </c>
      <c r="BI296">
        <v>1</v>
      </c>
      <c r="BJ296">
        <v>1</v>
      </c>
      <c r="BK296">
        <v>1</v>
      </c>
      <c r="BL296">
        <v>0</v>
      </c>
      <c r="BO296">
        <v>0</v>
      </c>
      <c r="BP296">
        <v>0</v>
      </c>
      <c r="BW296" t="str">
        <f>"19:06:54.324"</f>
        <v>19:06:54.324</v>
      </c>
      <c r="BX296" t="s">
        <v>119</v>
      </c>
      <c r="BY296" t="s">
        <v>120</v>
      </c>
      <c r="CJ296">
        <v>0</v>
      </c>
      <c r="CK296">
        <v>0</v>
      </c>
      <c r="CL296">
        <v>0</v>
      </c>
      <c r="CM296">
        <v>2</v>
      </c>
      <c r="CN296">
        <v>0</v>
      </c>
      <c r="CO296">
        <v>7</v>
      </c>
      <c r="CP296" t="s">
        <v>121</v>
      </c>
      <c r="CQ296">
        <v>581</v>
      </c>
      <c r="CR296">
        <v>0</v>
      </c>
      <c r="CW296">
        <v>14729185</v>
      </c>
      <c r="CY296">
        <v>0</v>
      </c>
      <c r="CZ296">
        <v>0</v>
      </c>
      <c r="DA296">
        <v>0</v>
      </c>
      <c r="DB296">
        <v>1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</row>
    <row r="297" spans="1:113" x14ac:dyDescent="0.3">
      <c r="A297" t="str">
        <f>"06/16/2022 19:06:55.704"</f>
        <v>06/16/2022 19:06:55.704</v>
      </c>
      <c r="C297" t="str">
        <f t="shared" si="12"/>
        <v>FFBF5BC0</v>
      </c>
      <c r="D297" t="s">
        <v>113</v>
      </c>
      <c r="E297">
        <v>8</v>
      </c>
      <c r="H297">
        <v>206</v>
      </c>
      <c r="I297" t="s">
        <v>114</v>
      </c>
      <c r="J297" t="s">
        <v>115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>"19:06:55.398"</f>
        <v>19:06:55.398</v>
      </c>
      <c r="T297" t="str">
        <f>"19:06:55.398"</f>
        <v>19:06:55.398</v>
      </c>
      <c r="U297" t="str">
        <f t="shared" si="13"/>
        <v>AB63B2</v>
      </c>
      <c r="V297">
        <v>0</v>
      </c>
      <c r="W297">
        <v>0</v>
      </c>
      <c r="X297">
        <v>6</v>
      </c>
      <c r="Z297">
        <v>0</v>
      </c>
      <c r="AA297">
        <v>9</v>
      </c>
      <c r="AB297">
        <v>3</v>
      </c>
      <c r="AC297">
        <v>0</v>
      </c>
      <c r="AD297">
        <v>10</v>
      </c>
      <c r="AE297">
        <v>0</v>
      </c>
      <c r="AF297">
        <v>0</v>
      </c>
      <c r="AG297">
        <v>2</v>
      </c>
      <c r="AH297">
        <v>0</v>
      </c>
      <c r="AI297" t="s">
        <v>252</v>
      </c>
      <c r="AJ297">
        <v>41.982944000000003</v>
      </c>
      <c r="AK297" t="s">
        <v>141</v>
      </c>
      <c r="AL297">
        <v>-87.894937999999996</v>
      </c>
      <c r="AS297">
        <v>1</v>
      </c>
      <c r="AT297" t="s">
        <v>118</v>
      </c>
      <c r="AU297" t="b">
        <v>1</v>
      </c>
      <c r="AV297">
        <v>180</v>
      </c>
      <c r="AW297">
        <v>16.125</v>
      </c>
      <c r="AX297">
        <v>1</v>
      </c>
      <c r="AZ297">
        <v>7205</v>
      </c>
      <c r="BA297">
        <v>1</v>
      </c>
      <c r="BB297" t="str">
        <f t="shared" si="14"/>
        <v xml:space="preserve">KAP400  </v>
      </c>
      <c r="BC297">
        <v>1</v>
      </c>
      <c r="BE297">
        <v>0</v>
      </c>
      <c r="BF297">
        <v>0</v>
      </c>
      <c r="BG297">
        <v>0</v>
      </c>
      <c r="BI297">
        <v>1</v>
      </c>
      <c r="BJ297">
        <v>1</v>
      </c>
      <c r="BK297">
        <v>1</v>
      </c>
      <c r="BL297">
        <v>0</v>
      </c>
      <c r="BO297">
        <v>0</v>
      </c>
      <c r="BP297">
        <v>0</v>
      </c>
      <c r="BW297" t="str">
        <f>"19:06:55.405"</f>
        <v>19:06:55.405</v>
      </c>
      <c r="BX297" t="s">
        <v>119</v>
      </c>
      <c r="BY297" t="s">
        <v>120</v>
      </c>
      <c r="CJ297">
        <v>0</v>
      </c>
      <c r="CK297">
        <v>0</v>
      </c>
      <c r="CL297">
        <v>0</v>
      </c>
      <c r="CM297">
        <v>2</v>
      </c>
      <c r="CN297">
        <v>0</v>
      </c>
      <c r="CO297">
        <v>7</v>
      </c>
      <c r="CP297" t="s">
        <v>121</v>
      </c>
      <c r="CQ297">
        <v>581</v>
      </c>
      <c r="CR297">
        <v>0</v>
      </c>
      <c r="CW297">
        <v>14730910</v>
      </c>
      <c r="CY297">
        <v>0</v>
      </c>
      <c r="CZ297">
        <v>0</v>
      </c>
      <c r="DA297">
        <v>0</v>
      </c>
      <c r="DB297">
        <v>1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</row>
    <row r="298" spans="1:113" x14ac:dyDescent="0.3">
      <c r="A298" t="str">
        <f>"06/16/2022 19:06:56.705"</f>
        <v>06/16/2022 19:06:56.705</v>
      </c>
      <c r="C298" t="str">
        <f t="shared" si="12"/>
        <v>FFBF5BC0</v>
      </c>
      <c r="D298" t="s">
        <v>113</v>
      </c>
      <c r="E298">
        <v>8</v>
      </c>
      <c r="H298">
        <v>206</v>
      </c>
      <c r="I298" t="s">
        <v>114</v>
      </c>
      <c r="J298" t="s">
        <v>115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>"19:06:56.422"</f>
        <v>19:06:56.422</v>
      </c>
      <c r="T298" t="str">
        <f>"19:06:56.422"</f>
        <v>19:06:56.422</v>
      </c>
      <c r="U298" t="str">
        <f t="shared" si="13"/>
        <v>AB63B2</v>
      </c>
      <c r="V298">
        <v>0</v>
      </c>
      <c r="W298">
        <v>0</v>
      </c>
      <c r="X298">
        <v>6</v>
      </c>
      <c r="Z298">
        <v>0</v>
      </c>
      <c r="AA298">
        <v>9</v>
      </c>
      <c r="AB298">
        <v>3</v>
      </c>
      <c r="AC298">
        <v>0</v>
      </c>
      <c r="AD298">
        <v>10</v>
      </c>
      <c r="AE298">
        <v>0</v>
      </c>
      <c r="AF298">
        <v>0</v>
      </c>
      <c r="AG298">
        <v>2</v>
      </c>
      <c r="AH298">
        <v>0</v>
      </c>
      <c r="AI298" t="s">
        <v>253</v>
      </c>
      <c r="AJ298">
        <v>41.982858</v>
      </c>
      <c r="AK298" t="s">
        <v>141</v>
      </c>
      <c r="AL298">
        <v>-87.894937999999996</v>
      </c>
      <c r="AS298">
        <v>1</v>
      </c>
      <c r="AT298" t="s">
        <v>118</v>
      </c>
      <c r="AU298" t="b">
        <v>1</v>
      </c>
      <c r="AV298">
        <v>180</v>
      </c>
      <c r="AW298">
        <v>16.125</v>
      </c>
      <c r="AX298">
        <v>1</v>
      </c>
      <c r="AZ298">
        <v>7205</v>
      </c>
      <c r="BA298">
        <v>1</v>
      </c>
      <c r="BB298" t="str">
        <f t="shared" si="14"/>
        <v xml:space="preserve">KAP400  </v>
      </c>
      <c r="BC298">
        <v>1</v>
      </c>
      <c r="BE298">
        <v>0</v>
      </c>
      <c r="BF298">
        <v>0</v>
      </c>
      <c r="BG298">
        <v>0</v>
      </c>
      <c r="BI298">
        <v>1</v>
      </c>
      <c r="BJ298">
        <v>1</v>
      </c>
      <c r="BK298">
        <v>1</v>
      </c>
      <c r="BL298">
        <v>0</v>
      </c>
      <c r="BO298">
        <v>0</v>
      </c>
      <c r="BP298">
        <v>0</v>
      </c>
      <c r="BW298" t="str">
        <f>"19:06:56.426"</f>
        <v>19:06:56.426</v>
      </c>
      <c r="BX298" t="s">
        <v>119</v>
      </c>
      <c r="BY298" t="s">
        <v>120</v>
      </c>
      <c r="CJ298">
        <v>0</v>
      </c>
      <c r="CK298">
        <v>0</v>
      </c>
      <c r="CL298">
        <v>0</v>
      </c>
      <c r="CM298">
        <v>2</v>
      </c>
      <c r="CN298">
        <v>0</v>
      </c>
      <c r="CO298">
        <v>7</v>
      </c>
      <c r="CP298" t="s">
        <v>121</v>
      </c>
      <c r="CQ298">
        <v>582</v>
      </c>
      <c r="CR298">
        <v>0</v>
      </c>
      <c r="CW298">
        <v>5693381</v>
      </c>
      <c r="CY298">
        <v>0</v>
      </c>
      <c r="CZ298">
        <v>0</v>
      </c>
      <c r="DA298">
        <v>0</v>
      </c>
      <c r="DB298">
        <v>1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</row>
    <row r="299" spans="1:113" x14ac:dyDescent="0.3">
      <c r="A299" t="str">
        <f>"06/16/2022 19:06:57.657"</f>
        <v>06/16/2022 19:06:57.657</v>
      </c>
      <c r="C299" t="str">
        <f t="shared" si="12"/>
        <v>FFBF5BC0</v>
      </c>
      <c r="D299" t="s">
        <v>113</v>
      </c>
      <c r="E299">
        <v>8</v>
      </c>
      <c r="H299">
        <v>206</v>
      </c>
      <c r="I299" t="s">
        <v>114</v>
      </c>
      <c r="J299" t="s">
        <v>115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>"19:06:57.430"</f>
        <v>19:06:57.430</v>
      </c>
      <c r="T299" t="str">
        <f>"19:06:57.430"</f>
        <v>19:06:57.430</v>
      </c>
      <c r="U299" t="str">
        <f t="shared" si="13"/>
        <v>AB63B2</v>
      </c>
      <c r="V299">
        <v>0</v>
      </c>
      <c r="W299">
        <v>0</v>
      </c>
      <c r="X299">
        <v>6</v>
      </c>
      <c r="Z299">
        <v>0</v>
      </c>
      <c r="AA299">
        <v>9</v>
      </c>
      <c r="AB299">
        <v>3</v>
      </c>
      <c r="AC299">
        <v>0</v>
      </c>
      <c r="AD299">
        <v>10</v>
      </c>
      <c r="AE299">
        <v>0</v>
      </c>
      <c r="AF299">
        <v>0</v>
      </c>
      <c r="AG299">
        <v>2</v>
      </c>
      <c r="AH299">
        <v>0</v>
      </c>
      <c r="AI299" t="s">
        <v>254</v>
      </c>
      <c r="AJ299">
        <v>41.982793999999998</v>
      </c>
      <c r="AK299" t="s">
        <v>141</v>
      </c>
      <c r="AL299">
        <v>-87.894937999999996</v>
      </c>
      <c r="AS299">
        <v>1</v>
      </c>
      <c r="AT299" t="s">
        <v>118</v>
      </c>
      <c r="AU299" t="b">
        <v>1</v>
      </c>
      <c r="AV299">
        <v>180</v>
      </c>
      <c r="AW299">
        <v>16.125</v>
      </c>
      <c r="AX299">
        <v>1</v>
      </c>
      <c r="AZ299">
        <v>7205</v>
      </c>
      <c r="BA299">
        <v>1</v>
      </c>
      <c r="BB299" t="str">
        <f t="shared" si="14"/>
        <v xml:space="preserve">KAP400  </v>
      </c>
      <c r="BC299">
        <v>1</v>
      </c>
      <c r="BE299">
        <v>0</v>
      </c>
      <c r="BF299">
        <v>0</v>
      </c>
      <c r="BG299">
        <v>0</v>
      </c>
      <c r="BI299">
        <v>1</v>
      </c>
      <c r="BJ299">
        <v>1</v>
      </c>
      <c r="BK299">
        <v>1</v>
      </c>
      <c r="BL299">
        <v>0</v>
      </c>
      <c r="BO299">
        <v>0</v>
      </c>
      <c r="BP299">
        <v>0</v>
      </c>
      <c r="BW299" t="str">
        <f>"19:06:57.432"</f>
        <v>19:06:57.432</v>
      </c>
      <c r="BX299" t="s">
        <v>119</v>
      </c>
      <c r="BY299" t="s">
        <v>120</v>
      </c>
      <c r="CJ299">
        <v>0</v>
      </c>
      <c r="CK299">
        <v>0</v>
      </c>
      <c r="CL299">
        <v>0</v>
      </c>
      <c r="CM299">
        <v>2</v>
      </c>
      <c r="CN299">
        <v>0</v>
      </c>
      <c r="CO299">
        <v>7</v>
      </c>
      <c r="CP299" t="s">
        <v>121</v>
      </c>
      <c r="CQ299">
        <v>582</v>
      </c>
      <c r="CR299">
        <v>0</v>
      </c>
      <c r="CW299">
        <v>5694826</v>
      </c>
      <c r="CY299">
        <v>0</v>
      </c>
      <c r="CZ299">
        <v>0</v>
      </c>
      <c r="DA299">
        <v>0</v>
      </c>
      <c r="DB299">
        <v>1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</row>
    <row r="300" spans="1:113" x14ac:dyDescent="0.3">
      <c r="A300" t="str">
        <f>"06/16/2022 19:06:58.766"</f>
        <v>06/16/2022 19:06:58.766</v>
      </c>
      <c r="C300" t="str">
        <f t="shared" si="12"/>
        <v>FFBF5BC0</v>
      </c>
      <c r="D300" t="s">
        <v>113</v>
      </c>
      <c r="E300">
        <v>8</v>
      </c>
      <c r="H300">
        <v>206</v>
      </c>
      <c r="I300" t="s">
        <v>114</v>
      </c>
      <c r="J300" t="s">
        <v>115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>"19:06:58.469"</f>
        <v>19:06:58.469</v>
      </c>
      <c r="T300" t="str">
        <f>"19:06:58.469"</f>
        <v>19:06:58.469</v>
      </c>
      <c r="U300" t="str">
        <f t="shared" si="13"/>
        <v>AB63B2</v>
      </c>
      <c r="V300">
        <v>0</v>
      </c>
      <c r="W300">
        <v>0</v>
      </c>
      <c r="X300">
        <v>6</v>
      </c>
      <c r="Z300">
        <v>0</v>
      </c>
      <c r="AA300">
        <v>9</v>
      </c>
      <c r="AB300">
        <v>3</v>
      </c>
      <c r="AC300">
        <v>0</v>
      </c>
      <c r="AD300">
        <v>10</v>
      </c>
      <c r="AE300">
        <v>0</v>
      </c>
      <c r="AF300">
        <v>0</v>
      </c>
      <c r="AG300">
        <v>2</v>
      </c>
      <c r="AH300">
        <v>0</v>
      </c>
      <c r="AI300" t="s">
        <v>255</v>
      </c>
      <c r="AJ300">
        <v>41.982708000000002</v>
      </c>
      <c r="AK300" t="s">
        <v>141</v>
      </c>
      <c r="AL300">
        <v>-87.894937999999996</v>
      </c>
      <c r="AS300">
        <v>1</v>
      </c>
      <c r="AT300" t="s">
        <v>118</v>
      </c>
      <c r="AU300" t="b">
        <v>1</v>
      </c>
      <c r="AV300">
        <v>177.19</v>
      </c>
      <c r="AW300">
        <v>16.125</v>
      </c>
      <c r="AX300">
        <v>1</v>
      </c>
      <c r="AZ300">
        <v>7205</v>
      </c>
      <c r="BA300">
        <v>1</v>
      </c>
      <c r="BB300" t="str">
        <f t="shared" si="14"/>
        <v xml:space="preserve">KAP400  </v>
      </c>
      <c r="BC300">
        <v>1</v>
      </c>
      <c r="BE300">
        <v>0</v>
      </c>
      <c r="BF300">
        <v>0</v>
      </c>
      <c r="BG300">
        <v>0</v>
      </c>
      <c r="BI300">
        <v>1</v>
      </c>
      <c r="BJ300">
        <v>1</v>
      </c>
      <c r="BK300">
        <v>1</v>
      </c>
      <c r="BL300">
        <v>0</v>
      </c>
      <c r="BO300">
        <v>0</v>
      </c>
      <c r="BP300">
        <v>0</v>
      </c>
      <c r="BW300" t="str">
        <f>"19:06:58.471"</f>
        <v>19:06:58.471</v>
      </c>
      <c r="BX300" t="s">
        <v>119</v>
      </c>
      <c r="BY300" t="s">
        <v>120</v>
      </c>
      <c r="CJ300">
        <v>0</v>
      </c>
      <c r="CK300">
        <v>0</v>
      </c>
      <c r="CL300">
        <v>0</v>
      </c>
      <c r="CM300">
        <v>2</v>
      </c>
      <c r="CN300">
        <v>0</v>
      </c>
      <c r="CO300">
        <v>7</v>
      </c>
      <c r="CP300" t="s">
        <v>121</v>
      </c>
      <c r="CQ300">
        <v>582</v>
      </c>
      <c r="CR300">
        <v>0</v>
      </c>
      <c r="CW300">
        <v>5696412</v>
      </c>
      <c r="CY300">
        <v>0</v>
      </c>
      <c r="CZ300">
        <v>0</v>
      </c>
      <c r="DA300">
        <v>0</v>
      </c>
      <c r="DB300">
        <v>1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</row>
    <row r="301" spans="1:113" x14ac:dyDescent="0.3">
      <c r="A301" t="str">
        <f>"06/16/2022 19:06:59.735"</f>
        <v>06/16/2022 19:06:59.735</v>
      </c>
      <c r="C301" t="str">
        <f t="shared" si="12"/>
        <v>FFBF5BC0</v>
      </c>
      <c r="D301" t="s">
        <v>113</v>
      </c>
      <c r="E301">
        <v>8</v>
      </c>
      <c r="H301">
        <v>206</v>
      </c>
      <c r="I301" t="s">
        <v>114</v>
      </c>
      <c r="J301" t="s">
        <v>115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>"19:06:59.461"</f>
        <v>19:06:59.461</v>
      </c>
      <c r="T301" t="str">
        <f>"19:06:59.461"</f>
        <v>19:06:59.461</v>
      </c>
      <c r="U301" t="str">
        <f t="shared" si="13"/>
        <v>AB63B2</v>
      </c>
      <c r="V301">
        <v>0</v>
      </c>
      <c r="W301">
        <v>0</v>
      </c>
      <c r="X301">
        <v>6</v>
      </c>
      <c r="Z301">
        <v>0</v>
      </c>
      <c r="AA301">
        <v>9</v>
      </c>
      <c r="AB301">
        <v>3</v>
      </c>
      <c r="AC301">
        <v>0</v>
      </c>
      <c r="AD301">
        <v>10</v>
      </c>
      <c r="AE301">
        <v>0</v>
      </c>
      <c r="AF301">
        <v>0</v>
      </c>
      <c r="AG301">
        <v>2</v>
      </c>
      <c r="AH301">
        <v>0</v>
      </c>
      <c r="AI301" t="s">
        <v>256</v>
      </c>
      <c r="AJ301">
        <v>41.982644000000001</v>
      </c>
      <c r="AK301" t="s">
        <v>141</v>
      </c>
      <c r="AL301">
        <v>-87.894937999999996</v>
      </c>
      <c r="AS301">
        <v>1</v>
      </c>
      <c r="AT301" t="s">
        <v>118</v>
      </c>
      <c r="AU301" t="b">
        <v>1</v>
      </c>
      <c r="AV301">
        <v>177.19</v>
      </c>
      <c r="AW301">
        <v>16.125</v>
      </c>
      <c r="AX301">
        <v>1</v>
      </c>
      <c r="AZ301">
        <v>7205</v>
      </c>
      <c r="BA301">
        <v>1</v>
      </c>
      <c r="BB301" t="str">
        <f t="shared" si="14"/>
        <v xml:space="preserve">KAP400  </v>
      </c>
      <c r="BC301">
        <v>1</v>
      </c>
      <c r="BE301">
        <v>0</v>
      </c>
      <c r="BF301">
        <v>0</v>
      </c>
      <c r="BG301">
        <v>0</v>
      </c>
      <c r="BI301">
        <v>1</v>
      </c>
      <c r="BJ301">
        <v>1</v>
      </c>
      <c r="BK301">
        <v>1</v>
      </c>
      <c r="BL301">
        <v>0</v>
      </c>
      <c r="BO301">
        <v>0</v>
      </c>
      <c r="BP301">
        <v>0</v>
      </c>
      <c r="BW301" t="str">
        <f>"19:06:59.465"</f>
        <v>19:06:59.465</v>
      </c>
      <c r="BX301" t="s">
        <v>119</v>
      </c>
      <c r="BY301" t="s">
        <v>120</v>
      </c>
      <c r="CJ301">
        <v>0</v>
      </c>
      <c r="CK301">
        <v>0</v>
      </c>
      <c r="CL301">
        <v>0</v>
      </c>
      <c r="CM301">
        <v>2</v>
      </c>
      <c r="CN301">
        <v>0</v>
      </c>
      <c r="CO301">
        <v>7</v>
      </c>
      <c r="CP301" t="s">
        <v>121</v>
      </c>
      <c r="CQ301">
        <v>582</v>
      </c>
      <c r="CR301">
        <v>0</v>
      </c>
      <c r="CW301">
        <v>5697831</v>
      </c>
      <c r="CY301">
        <v>0</v>
      </c>
      <c r="CZ301">
        <v>0</v>
      </c>
      <c r="DA301">
        <v>0</v>
      </c>
      <c r="DB301">
        <v>1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</row>
    <row r="302" spans="1:113" x14ac:dyDescent="0.3">
      <c r="A302" t="str">
        <f>"06/16/2022 19:07:00.657"</f>
        <v>06/16/2022 19:07:00.657</v>
      </c>
      <c r="C302" t="str">
        <f t="shared" si="12"/>
        <v>FFBF5BC0</v>
      </c>
      <c r="D302" t="s">
        <v>113</v>
      </c>
      <c r="E302">
        <v>8</v>
      </c>
      <c r="H302">
        <v>206</v>
      </c>
      <c r="I302" t="s">
        <v>114</v>
      </c>
      <c r="J302" t="s">
        <v>115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>"19:07:00.383"</f>
        <v>19:07:00.383</v>
      </c>
      <c r="T302" t="str">
        <f>"19:07:00.383"</f>
        <v>19:07:00.383</v>
      </c>
      <c r="U302" t="str">
        <f t="shared" si="13"/>
        <v>AB63B2</v>
      </c>
      <c r="V302">
        <v>0</v>
      </c>
      <c r="W302">
        <v>0</v>
      </c>
      <c r="X302">
        <v>6</v>
      </c>
      <c r="Z302">
        <v>0</v>
      </c>
      <c r="AA302">
        <v>9</v>
      </c>
      <c r="AB302">
        <v>3</v>
      </c>
      <c r="AC302">
        <v>0</v>
      </c>
      <c r="AD302">
        <v>10</v>
      </c>
      <c r="AE302">
        <v>0</v>
      </c>
      <c r="AF302">
        <v>0</v>
      </c>
      <c r="AG302">
        <v>2</v>
      </c>
      <c r="AH302">
        <v>0</v>
      </c>
      <c r="AI302" t="s">
        <v>257</v>
      </c>
      <c r="AJ302">
        <v>41.982557999999997</v>
      </c>
      <c r="AK302" t="s">
        <v>136</v>
      </c>
      <c r="AL302">
        <v>-87.894917000000007</v>
      </c>
      <c r="AS302">
        <v>1</v>
      </c>
      <c r="AT302" t="s">
        <v>118</v>
      </c>
      <c r="AU302" t="b">
        <v>1</v>
      </c>
      <c r="AV302">
        <v>174.38</v>
      </c>
      <c r="AW302">
        <v>16.125</v>
      </c>
      <c r="AX302">
        <v>1</v>
      </c>
      <c r="AZ302">
        <v>7205</v>
      </c>
      <c r="BA302">
        <v>1</v>
      </c>
      <c r="BB302" t="str">
        <f t="shared" si="14"/>
        <v xml:space="preserve">KAP400  </v>
      </c>
      <c r="BC302">
        <v>1</v>
      </c>
      <c r="BE302">
        <v>0</v>
      </c>
      <c r="BF302">
        <v>0</v>
      </c>
      <c r="BG302">
        <v>0</v>
      </c>
      <c r="BI302">
        <v>1</v>
      </c>
      <c r="BJ302">
        <v>1</v>
      </c>
      <c r="BK302">
        <v>1</v>
      </c>
      <c r="BL302">
        <v>0</v>
      </c>
      <c r="BO302">
        <v>0</v>
      </c>
      <c r="BP302">
        <v>0</v>
      </c>
      <c r="BW302" t="str">
        <f>"19:07:00.383"</f>
        <v>19:07:00.383</v>
      </c>
      <c r="BX302" t="s">
        <v>119</v>
      </c>
      <c r="BY302" t="s">
        <v>120</v>
      </c>
      <c r="CJ302">
        <v>0</v>
      </c>
      <c r="CK302">
        <v>0</v>
      </c>
      <c r="CL302">
        <v>0</v>
      </c>
      <c r="CM302">
        <v>2</v>
      </c>
      <c r="CN302">
        <v>0</v>
      </c>
      <c r="CO302">
        <v>7</v>
      </c>
      <c r="CP302" t="s">
        <v>121</v>
      </c>
      <c r="CQ302">
        <v>582</v>
      </c>
      <c r="CR302">
        <v>0</v>
      </c>
      <c r="CW302">
        <v>5699186</v>
      </c>
      <c r="CY302">
        <v>0</v>
      </c>
      <c r="CZ302">
        <v>0</v>
      </c>
      <c r="DA302">
        <v>0</v>
      </c>
      <c r="DB302">
        <v>1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</row>
    <row r="303" spans="1:113" x14ac:dyDescent="0.3">
      <c r="A303" t="str">
        <f>"06/16/2022 19:07:01.937"</f>
        <v>06/16/2022 19:07:01.937</v>
      </c>
      <c r="C303" t="str">
        <f t="shared" si="12"/>
        <v>FFBF5BC0</v>
      </c>
      <c r="D303" t="s">
        <v>113</v>
      </c>
      <c r="E303">
        <v>8</v>
      </c>
      <c r="H303">
        <v>206</v>
      </c>
      <c r="I303" t="s">
        <v>114</v>
      </c>
      <c r="J303" t="s">
        <v>115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>"19:07:01.523"</f>
        <v>19:07:01.523</v>
      </c>
      <c r="T303" t="str">
        <f>"19:07:01.523"</f>
        <v>19:07:01.523</v>
      </c>
      <c r="U303" t="str">
        <f t="shared" si="13"/>
        <v>AB63B2</v>
      </c>
      <c r="V303">
        <v>0</v>
      </c>
      <c r="W303">
        <v>0</v>
      </c>
      <c r="X303">
        <v>6</v>
      </c>
      <c r="Z303">
        <v>0</v>
      </c>
      <c r="AA303">
        <v>9</v>
      </c>
      <c r="AB303">
        <v>3</v>
      </c>
      <c r="AC303">
        <v>0</v>
      </c>
      <c r="AD303">
        <v>10</v>
      </c>
      <c r="AE303">
        <v>0</v>
      </c>
      <c r="AF303">
        <v>0</v>
      </c>
      <c r="AG303">
        <v>2</v>
      </c>
      <c r="AH303">
        <v>0</v>
      </c>
      <c r="AI303" t="s">
        <v>258</v>
      </c>
      <c r="AJ303">
        <v>41.982492999999998</v>
      </c>
      <c r="AK303" t="s">
        <v>131</v>
      </c>
      <c r="AL303">
        <v>-87.894895000000005</v>
      </c>
      <c r="AS303">
        <v>1</v>
      </c>
      <c r="AT303" t="s">
        <v>118</v>
      </c>
      <c r="AU303" t="b">
        <v>1</v>
      </c>
      <c r="AV303">
        <v>171.56</v>
      </c>
      <c r="AW303">
        <v>17.125</v>
      </c>
      <c r="AX303">
        <v>1</v>
      </c>
      <c r="AZ303">
        <v>7205</v>
      </c>
      <c r="BA303">
        <v>1</v>
      </c>
      <c r="BB303" t="str">
        <f t="shared" si="14"/>
        <v xml:space="preserve">KAP400  </v>
      </c>
      <c r="BC303">
        <v>1</v>
      </c>
      <c r="BE303">
        <v>0</v>
      </c>
      <c r="BF303">
        <v>0</v>
      </c>
      <c r="BG303">
        <v>0</v>
      </c>
      <c r="BI303">
        <v>1</v>
      </c>
      <c r="BJ303">
        <v>1</v>
      </c>
      <c r="BK303">
        <v>1</v>
      </c>
      <c r="BL303">
        <v>0</v>
      </c>
      <c r="BO303">
        <v>0</v>
      </c>
      <c r="BP303">
        <v>0</v>
      </c>
      <c r="BW303" t="str">
        <f>"19:07:01.527"</f>
        <v>19:07:01.527</v>
      </c>
      <c r="BX303" t="s">
        <v>119</v>
      </c>
      <c r="BY303" t="s">
        <v>120</v>
      </c>
      <c r="CJ303">
        <v>0</v>
      </c>
      <c r="CK303">
        <v>0</v>
      </c>
      <c r="CL303">
        <v>0</v>
      </c>
      <c r="CM303">
        <v>2</v>
      </c>
      <c r="CN303">
        <v>0</v>
      </c>
      <c r="CO303">
        <v>7</v>
      </c>
      <c r="CP303" t="s">
        <v>121</v>
      </c>
      <c r="CQ303">
        <v>582</v>
      </c>
      <c r="CR303">
        <v>0</v>
      </c>
      <c r="CW303">
        <v>5700733</v>
      </c>
      <c r="CY303">
        <v>0</v>
      </c>
      <c r="CZ303">
        <v>0</v>
      </c>
      <c r="DA303">
        <v>0</v>
      </c>
      <c r="DB303">
        <v>1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</row>
    <row r="304" spans="1:113" x14ac:dyDescent="0.3">
      <c r="A304" t="str">
        <f>"06/16/2022 19:07:02.859"</f>
        <v>06/16/2022 19:07:02.859</v>
      </c>
      <c r="C304" t="str">
        <f t="shared" si="12"/>
        <v>FFBF5BC0</v>
      </c>
      <c r="D304" t="s">
        <v>113</v>
      </c>
      <c r="E304">
        <v>8</v>
      </c>
      <c r="H304">
        <v>206</v>
      </c>
      <c r="I304" t="s">
        <v>114</v>
      </c>
      <c r="J304" t="s">
        <v>115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>"19:07:02.555"</f>
        <v>19:07:02.555</v>
      </c>
      <c r="T304" t="str">
        <f>"19:07:02.555"</f>
        <v>19:07:02.555</v>
      </c>
      <c r="U304" t="str">
        <f t="shared" si="13"/>
        <v>AB63B2</v>
      </c>
      <c r="V304">
        <v>0</v>
      </c>
      <c r="W304">
        <v>0</v>
      </c>
      <c r="X304">
        <v>6</v>
      </c>
      <c r="Z304">
        <v>0</v>
      </c>
      <c r="AA304">
        <v>9</v>
      </c>
      <c r="AB304">
        <v>3</v>
      </c>
      <c r="AC304">
        <v>0</v>
      </c>
      <c r="AD304">
        <v>10</v>
      </c>
      <c r="AE304">
        <v>0</v>
      </c>
      <c r="AF304">
        <v>0</v>
      </c>
      <c r="AG304">
        <v>2</v>
      </c>
      <c r="AH304">
        <v>0</v>
      </c>
      <c r="AI304" t="s">
        <v>259</v>
      </c>
      <c r="AJ304">
        <v>41.982408</v>
      </c>
      <c r="AK304" t="s">
        <v>131</v>
      </c>
      <c r="AL304">
        <v>-87.894895000000005</v>
      </c>
      <c r="AS304">
        <v>1</v>
      </c>
      <c r="AT304" t="s">
        <v>118</v>
      </c>
      <c r="AU304" t="b">
        <v>1</v>
      </c>
      <c r="AV304">
        <v>165.94</v>
      </c>
      <c r="AW304">
        <v>17.125</v>
      </c>
      <c r="AX304">
        <v>1</v>
      </c>
      <c r="AZ304">
        <v>7205</v>
      </c>
      <c r="BA304">
        <v>1</v>
      </c>
      <c r="BB304" t="str">
        <f t="shared" si="14"/>
        <v xml:space="preserve">KAP400  </v>
      </c>
      <c r="BC304">
        <v>1</v>
      </c>
      <c r="BE304">
        <v>0</v>
      </c>
      <c r="BF304">
        <v>0</v>
      </c>
      <c r="BG304">
        <v>0</v>
      </c>
      <c r="BI304">
        <v>1</v>
      </c>
      <c r="BJ304">
        <v>1</v>
      </c>
      <c r="BK304">
        <v>1</v>
      </c>
      <c r="BL304">
        <v>0</v>
      </c>
      <c r="BO304">
        <v>0</v>
      </c>
      <c r="BP304">
        <v>0</v>
      </c>
      <c r="BW304" t="str">
        <f>"19:07:02.559"</f>
        <v>19:07:02.559</v>
      </c>
      <c r="BX304" t="s">
        <v>119</v>
      </c>
      <c r="BY304" t="s">
        <v>120</v>
      </c>
      <c r="CJ304">
        <v>0</v>
      </c>
      <c r="CK304">
        <v>0</v>
      </c>
      <c r="CL304">
        <v>0</v>
      </c>
      <c r="CM304">
        <v>2</v>
      </c>
      <c r="CN304">
        <v>0</v>
      </c>
      <c r="CO304">
        <v>7</v>
      </c>
      <c r="CP304" t="s">
        <v>121</v>
      </c>
      <c r="CQ304">
        <v>582</v>
      </c>
      <c r="CR304">
        <v>0</v>
      </c>
      <c r="CW304">
        <v>5702254</v>
      </c>
      <c r="CY304">
        <v>0</v>
      </c>
      <c r="CZ304">
        <v>0</v>
      </c>
      <c r="DA304">
        <v>0</v>
      </c>
      <c r="DB304">
        <v>1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</row>
    <row r="305" spans="1:113" x14ac:dyDescent="0.3">
      <c r="A305" t="str">
        <f>"06/16/2022 19:07:03.734"</f>
        <v>06/16/2022 19:07:03.734</v>
      </c>
      <c r="C305" t="str">
        <f t="shared" si="12"/>
        <v>FFBF5BC0</v>
      </c>
      <c r="D305" t="s">
        <v>113</v>
      </c>
      <c r="E305">
        <v>8</v>
      </c>
      <c r="H305">
        <v>206</v>
      </c>
      <c r="I305" t="s">
        <v>114</v>
      </c>
      <c r="J305" t="s">
        <v>115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>"19:07:03.523"</f>
        <v>19:07:03.523</v>
      </c>
      <c r="T305" t="str">
        <f>"19:07:03.523"</f>
        <v>19:07:03.523</v>
      </c>
      <c r="U305" t="str">
        <f t="shared" si="13"/>
        <v>AB63B2</v>
      </c>
      <c r="V305">
        <v>0</v>
      </c>
      <c r="W305">
        <v>0</v>
      </c>
      <c r="X305">
        <v>6</v>
      </c>
      <c r="Z305">
        <v>0</v>
      </c>
      <c r="AA305">
        <v>9</v>
      </c>
      <c r="AB305">
        <v>3</v>
      </c>
      <c r="AC305">
        <v>0</v>
      </c>
      <c r="AD305">
        <v>10</v>
      </c>
      <c r="AE305">
        <v>0</v>
      </c>
      <c r="AF305">
        <v>0</v>
      </c>
      <c r="AG305">
        <v>2</v>
      </c>
      <c r="AH305">
        <v>0</v>
      </c>
      <c r="AI305" t="s">
        <v>260</v>
      </c>
      <c r="AJ305">
        <v>41.982343</v>
      </c>
      <c r="AK305" t="s">
        <v>129</v>
      </c>
      <c r="AL305">
        <v>-87.894874000000002</v>
      </c>
      <c r="AS305">
        <v>1</v>
      </c>
      <c r="AT305" t="s">
        <v>118</v>
      </c>
      <c r="AU305" t="b">
        <v>1</v>
      </c>
      <c r="AV305">
        <v>163.13</v>
      </c>
      <c r="AW305">
        <v>17.125</v>
      </c>
      <c r="AX305">
        <v>1</v>
      </c>
      <c r="AZ305">
        <v>7205</v>
      </c>
      <c r="BA305">
        <v>1</v>
      </c>
      <c r="BB305" t="str">
        <f t="shared" si="14"/>
        <v xml:space="preserve">KAP400  </v>
      </c>
      <c r="BC305">
        <v>1</v>
      </c>
      <c r="BE305">
        <v>0</v>
      </c>
      <c r="BF305">
        <v>0</v>
      </c>
      <c r="BG305">
        <v>0</v>
      </c>
      <c r="BI305">
        <v>1</v>
      </c>
      <c r="BJ305">
        <v>1</v>
      </c>
      <c r="BK305">
        <v>1</v>
      </c>
      <c r="BL305">
        <v>0</v>
      </c>
      <c r="BO305">
        <v>0</v>
      </c>
      <c r="BP305">
        <v>0</v>
      </c>
      <c r="BW305" t="str">
        <f>"19:07:03.530"</f>
        <v>19:07:03.530</v>
      </c>
      <c r="BX305" t="s">
        <v>119</v>
      </c>
      <c r="BY305" t="s">
        <v>120</v>
      </c>
      <c r="CJ305">
        <v>0</v>
      </c>
      <c r="CK305">
        <v>0</v>
      </c>
      <c r="CL305">
        <v>0</v>
      </c>
      <c r="CM305">
        <v>2</v>
      </c>
      <c r="CN305">
        <v>0</v>
      </c>
      <c r="CO305">
        <v>7</v>
      </c>
      <c r="CP305" t="s">
        <v>121</v>
      </c>
      <c r="CQ305">
        <v>582</v>
      </c>
      <c r="CR305">
        <v>0</v>
      </c>
      <c r="CW305">
        <v>5703648</v>
      </c>
      <c r="CY305">
        <v>0</v>
      </c>
      <c r="CZ305">
        <v>0</v>
      </c>
      <c r="DA305">
        <v>0</v>
      </c>
      <c r="DB305">
        <v>1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</row>
    <row r="306" spans="1:113" x14ac:dyDescent="0.3">
      <c r="A306" t="str">
        <f>"06/16/2022 19:07:04.672"</f>
        <v>06/16/2022 19:07:04.672</v>
      </c>
      <c r="C306" t="str">
        <f t="shared" si="12"/>
        <v>FFBF5BC0</v>
      </c>
      <c r="D306" t="s">
        <v>113</v>
      </c>
      <c r="E306">
        <v>8</v>
      </c>
      <c r="H306">
        <v>206</v>
      </c>
      <c r="I306" t="s">
        <v>114</v>
      </c>
      <c r="J306" t="s">
        <v>115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>"19:07:04.398"</f>
        <v>19:07:04.398</v>
      </c>
      <c r="T306" t="str">
        <f>"19:07:04.398"</f>
        <v>19:07:04.398</v>
      </c>
      <c r="U306" t="str">
        <f t="shared" si="13"/>
        <v>AB63B2</v>
      </c>
      <c r="V306">
        <v>0</v>
      </c>
      <c r="W306">
        <v>0</v>
      </c>
      <c r="X306">
        <v>6</v>
      </c>
      <c r="Z306">
        <v>0</v>
      </c>
      <c r="AA306">
        <v>9</v>
      </c>
      <c r="AB306">
        <v>3</v>
      </c>
      <c r="AC306">
        <v>0</v>
      </c>
      <c r="AD306">
        <v>10</v>
      </c>
      <c r="AE306">
        <v>0</v>
      </c>
      <c r="AF306">
        <v>0</v>
      </c>
      <c r="AG306">
        <v>2</v>
      </c>
      <c r="AH306">
        <v>0</v>
      </c>
      <c r="AI306" t="s">
        <v>261</v>
      </c>
      <c r="AJ306">
        <v>41.982278999999998</v>
      </c>
      <c r="AK306" t="s">
        <v>125</v>
      </c>
      <c r="AL306">
        <v>-87.894830999999996</v>
      </c>
      <c r="AS306">
        <v>1</v>
      </c>
      <c r="AT306" t="s">
        <v>118</v>
      </c>
      <c r="AU306" t="b">
        <v>1</v>
      </c>
      <c r="AV306">
        <v>157.5</v>
      </c>
      <c r="AW306">
        <v>18.125</v>
      </c>
      <c r="AX306">
        <v>1</v>
      </c>
      <c r="AZ306">
        <v>7205</v>
      </c>
      <c r="BA306">
        <v>1</v>
      </c>
      <c r="BB306" t="str">
        <f t="shared" si="14"/>
        <v xml:space="preserve">KAP400  </v>
      </c>
      <c r="BC306">
        <v>1</v>
      </c>
      <c r="BE306">
        <v>0</v>
      </c>
      <c r="BF306">
        <v>0</v>
      </c>
      <c r="BG306">
        <v>0</v>
      </c>
      <c r="BI306">
        <v>1</v>
      </c>
      <c r="BJ306">
        <v>1</v>
      </c>
      <c r="BK306">
        <v>1</v>
      </c>
      <c r="BL306">
        <v>0</v>
      </c>
      <c r="BO306">
        <v>0</v>
      </c>
      <c r="BP306">
        <v>0</v>
      </c>
      <c r="BW306" t="str">
        <f>"19:07:04.402"</f>
        <v>19:07:04.402</v>
      </c>
      <c r="BX306" t="s">
        <v>119</v>
      </c>
      <c r="BY306" t="s">
        <v>120</v>
      </c>
      <c r="CJ306">
        <v>0</v>
      </c>
      <c r="CK306">
        <v>0</v>
      </c>
      <c r="CL306">
        <v>0</v>
      </c>
      <c r="CM306">
        <v>2</v>
      </c>
      <c r="CN306">
        <v>0</v>
      </c>
      <c r="CO306">
        <v>7</v>
      </c>
      <c r="CP306" t="s">
        <v>121</v>
      </c>
      <c r="CQ306">
        <v>582</v>
      </c>
      <c r="CR306">
        <v>0</v>
      </c>
      <c r="CW306">
        <v>5704844</v>
      </c>
      <c r="CY306">
        <v>0</v>
      </c>
      <c r="CZ306">
        <v>0</v>
      </c>
      <c r="DA306">
        <v>0</v>
      </c>
      <c r="DB306">
        <v>1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</row>
    <row r="307" spans="1:113" x14ac:dyDescent="0.3">
      <c r="A307" t="str">
        <f>"06/16/2022 19:07:05.734"</f>
        <v>06/16/2022 19:07:05.734</v>
      </c>
      <c r="C307" t="str">
        <f t="shared" si="12"/>
        <v>FFBF5BC0</v>
      </c>
      <c r="D307" t="s">
        <v>113</v>
      </c>
      <c r="E307">
        <v>8</v>
      </c>
      <c r="H307">
        <v>206</v>
      </c>
      <c r="I307" t="s">
        <v>114</v>
      </c>
      <c r="J307" t="s">
        <v>115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>"19:07:05.508"</f>
        <v>19:07:05.508</v>
      </c>
      <c r="T307" t="str">
        <f>"19:07:05.508"</f>
        <v>19:07:05.508</v>
      </c>
      <c r="U307" t="str">
        <f t="shared" si="13"/>
        <v>AB63B2</v>
      </c>
      <c r="V307">
        <v>0</v>
      </c>
      <c r="W307">
        <v>0</v>
      </c>
      <c r="X307">
        <v>6</v>
      </c>
      <c r="Z307">
        <v>0</v>
      </c>
      <c r="AA307">
        <v>9</v>
      </c>
      <c r="AB307">
        <v>3</v>
      </c>
      <c r="AC307">
        <v>0</v>
      </c>
      <c r="AD307">
        <v>10</v>
      </c>
      <c r="AE307">
        <v>0</v>
      </c>
      <c r="AF307">
        <v>0</v>
      </c>
      <c r="AG307">
        <v>2</v>
      </c>
      <c r="AH307">
        <v>0</v>
      </c>
      <c r="AI307" t="s">
        <v>262</v>
      </c>
      <c r="AJ307">
        <v>41.982193000000002</v>
      </c>
      <c r="AK307" t="s">
        <v>263</v>
      </c>
      <c r="AL307">
        <v>-87.894788000000005</v>
      </c>
      <c r="AS307">
        <v>1</v>
      </c>
      <c r="AT307" t="s">
        <v>118</v>
      </c>
      <c r="AU307" t="b">
        <v>1</v>
      </c>
      <c r="AV307">
        <v>151.88</v>
      </c>
      <c r="AW307">
        <v>18.125</v>
      </c>
      <c r="AX307">
        <v>1</v>
      </c>
      <c r="AZ307">
        <v>7205</v>
      </c>
      <c r="BA307">
        <v>1</v>
      </c>
      <c r="BB307" t="str">
        <f t="shared" si="14"/>
        <v xml:space="preserve">KAP400  </v>
      </c>
      <c r="BC307">
        <v>1</v>
      </c>
      <c r="BE307">
        <v>0</v>
      </c>
      <c r="BF307">
        <v>0</v>
      </c>
      <c r="BG307">
        <v>0</v>
      </c>
      <c r="BI307">
        <v>1</v>
      </c>
      <c r="BJ307">
        <v>1</v>
      </c>
      <c r="BK307">
        <v>1</v>
      </c>
      <c r="BL307">
        <v>0</v>
      </c>
      <c r="BO307">
        <v>0</v>
      </c>
      <c r="BP307">
        <v>0</v>
      </c>
      <c r="BW307" t="str">
        <f>"19:07:05.508"</f>
        <v>19:07:05.508</v>
      </c>
      <c r="BX307" t="s">
        <v>119</v>
      </c>
      <c r="BY307" t="s">
        <v>120</v>
      </c>
      <c r="CJ307">
        <v>0</v>
      </c>
      <c r="CK307">
        <v>0</v>
      </c>
      <c r="CL307">
        <v>0</v>
      </c>
      <c r="CM307">
        <v>2</v>
      </c>
      <c r="CN307">
        <v>0</v>
      </c>
      <c r="CO307">
        <v>7</v>
      </c>
      <c r="CP307" t="s">
        <v>121</v>
      </c>
      <c r="CQ307">
        <v>582</v>
      </c>
      <c r="CR307">
        <v>0</v>
      </c>
      <c r="CW307">
        <v>5706356</v>
      </c>
      <c r="CY307">
        <v>0</v>
      </c>
      <c r="CZ307">
        <v>0</v>
      </c>
      <c r="DA307">
        <v>0</v>
      </c>
      <c r="DB307">
        <v>1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</row>
    <row r="308" spans="1:113" x14ac:dyDescent="0.3">
      <c r="A308" t="str">
        <f>"06/16/2022 19:07:06.833"</f>
        <v>06/16/2022 19:07:06.833</v>
      </c>
      <c r="C308" t="str">
        <f t="shared" si="12"/>
        <v>FFBF5BC0</v>
      </c>
      <c r="D308" t="s">
        <v>113</v>
      </c>
      <c r="E308">
        <v>8</v>
      </c>
      <c r="H308">
        <v>206</v>
      </c>
      <c r="I308" t="s">
        <v>114</v>
      </c>
      <c r="J308" t="s">
        <v>115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>"19:07:06.445"</f>
        <v>19:07:06.445</v>
      </c>
      <c r="T308" t="str">
        <f>"19:07:06.445"</f>
        <v>19:07:06.445</v>
      </c>
      <c r="U308" t="str">
        <f t="shared" si="13"/>
        <v>AB63B2</v>
      </c>
      <c r="V308">
        <v>0</v>
      </c>
      <c r="W308">
        <v>0</v>
      </c>
      <c r="X308">
        <v>6</v>
      </c>
      <c r="Z308">
        <v>0</v>
      </c>
      <c r="AA308">
        <v>9</v>
      </c>
      <c r="AB308">
        <v>3</v>
      </c>
      <c r="AC308">
        <v>0</v>
      </c>
      <c r="AD308">
        <v>10</v>
      </c>
      <c r="AE308">
        <v>0</v>
      </c>
      <c r="AF308">
        <v>0</v>
      </c>
      <c r="AG308">
        <v>2</v>
      </c>
      <c r="AH308">
        <v>0</v>
      </c>
      <c r="AI308" t="s">
        <v>264</v>
      </c>
      <c r="AJ308">
        <v>41.982129</v>
      </c>
      <c r="AK308" t="s">
        <v>265</v>
      </c>
      <c r="AL308">
        <v>-87.894722999999999</v>
      </c>
      <c r="AS308">
        <v>1</v>
      </c>
      <c r="AT308" t="s">
        <v>118</v>
      </c>
      <c r="AU308" t="b">
        <v>1</v>
      </c>
      <c r="AV308">
        <v>143.44</v>
      </c>
      <c r="AW308">
        <v>18.125</v>
      </c>
      <c r="AX308">
        <v>1</v>
      </c>
      <c r="AZ308">
        <v>7205</v>
      </c>
      <c r="BA308">
        <v>1</v>
      </c>
      <c r="BB308" t="str">
        <f t="shared" si="14"/>
        <v xml:space="preserve">KAP400  </v>
      </c>
      <c r="BC308">
        <v>1</v>
      </c>
      <c r="BE308">
        <v>0</v>
      </c>
      <c r="BF308">
        <v>0</v>
      </c>
      <c r="BG308">
        <v>0</v>
      </c>
      <c r="BI308">
        <v>1</v>
      </c>
      <c r="BJ308">
        <v>1</v>
      </c>
      <c r="BK308">
        <v>1</v>
      </c>
      <c r="BL308">
        <v>0</v>
      </c>
      <c r="BO308">
        <v>0</v>
      </c>
      <c r="BP308">
        <v>0</v>
      </c>
      <c r="BW308" t="str">
        <f>"19:07:06.448"</f>
        <v>19:07:06.448</v>
      </c>
      <c r="BX308" t="s">
        <v>119</v>
      </c>
      <c r="BY308" t="s">
        <v>120</v>
      </c>
      <c r="CJ308">
        <v>0</v>
      </c>
      <c r="CK308">
        <v>0</v>
      </c>
      <c r="CL308">
        <v>0</v>
      </c>
      <c r="CM308">
        <v>2</v>
      </c>
      <c r="CN308">
        <v>0</v>
      </c>
      <c r="CO308">
        <v>7</v>
      </c>
      <c r="CP308" t="s">
        <v>121</v>
      </c>
      <c r="CQ308">
        <v>582</v>
      </c>
      <c r="CR308">
        <v>0</v>
      </c>
      <c r="CW308">
        <v>5707632</v>
      </c>
      <c r="CY308">
        <v>0</v>
      </c>
      <c r="CZ308">
        <v>0</v>
      </c>
      <c r="DA308">
        <v>0</v>
      </c>
      <c r="DB308">
        <v>1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</row>
    <row r="309" spans="1:113" x14ac:dyDescent="0.3">
      <c r="A309" t="str">
        <f>"06/16/2022 19:07:07.688"</f>
        <v>06/16/2022 19:07:07.688</v>
      </c>
      <c r="C309" t="str">
        <f t="shared" si="12"/>
        <v>FFBF5BC0</v>
      </c>
      <c r="D309" t="s">
        <v>113</v>
      </c>
      <c r="E309">
        <v>8</v>
      </c>
      <c r="H309">
        <v>206</v>
      </c>
      <c r="I309" t="s">
        <v>114</v>
      </c>
      <c r="J309" t="s">
        <v>115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>"19:07:07.461"</f>
        <v>19:07:07.461</v>
      </c>
      <c r="T309" t="str">
        <f>"19:07:07.461"</f>
        <v>19:07:07.461</v>
      </c>
      <c r="U309" t="str">
        <f t="shared" si="13"/>
        <v>AB63B2</v>
      </c>
      <c r="V309">
        <v>0</v>
      </c>
      <c r="W309">
        <v>0</v>
      </c>
      <c r="X309">
        <v>6</v>
      </c>
      <c r="Z309">
        <v>0</v>
      </c>
      <c r="AA309">
        <v>9</v>
      </c>
      <c r="AB309">
        <v>3</v>
      </c>
      <c r="AC309">
        <v>0</v>
      </c>
      <c r="AD309">
        <v>10</v>
      </c>
      <c r="AE309">
        <v>0</v>
      </c>
      <c r="AF309">
        <v>0</v>
      </c>
      <c r="AG309">
        <v>2</v>
      </c>
      <c r="AH309">
        <v>0</v>
      </c>
      <c r="AI309" t="s">
        <v>266</v>
      </c>
      <c r="AJ309">
        <v>41.982064000000001</v>
      </c>
      <c r="AK309" t="s">
        <v>267</v>
      </c>
      <c r="AL309">
        <v>-87.894659000000004</v>
      </c>
      <c r="AS309">
        <v>1</v>
      </c>
      <c r="AT309" t="s">
        <v>118</v>
      </c>
      <c r="AU309" t="b">
        <v>1</v>
      </c>
      <c r="AV309">
        <v>137.81</v>
      </c>
      <c r="AW309">
        <v>18.125</v>
      </c>
      <c r="AX309">
        <v>1</v>
      </c>
      <c r="AZ309">
        <v>7205</v>
      </c>
      <c r="BA309">
        <v>1</v>
      </c>
      <c r="BB309" t="str">
        <f t="shared" si="14"/>
        <v xml:space="preserve">KAP400  </v>
      </c>
      <c r="BC309">
        <v>1</v>
      </c>
      <c r="BE309">
        <v>0</v>
      </c>
      <c r="BF309">
        <v>0</v>
      </c>
      <c r="BG309">
        <v>0</v>
      </c>
      <c r="BI309">
        <v>1</v>
      </c>
      <c r="BJ309">
        <v>1</v>
      </c>
      <c r="BK309">
        <v>1</v>
      </c>
      <c r="BL309">
        <v>0</v>
      </c>
      <c r="BO309">
        <v>0</v>
      </c>
      <c r="BP309">
        <v>0</v>
      </c>
      <c r="BW309" t="str">
        <f>"19:07:07.463"</f>
        <v>19:07:07.463</v>
      </c>
      <c r="BX309" t="s">
        <v>119</v>
      </c>
      <c r="BY309" t="s">
        <v>120</v>
      </c>
      <c r="CJ309">
        <v>0</v>
      </c>
      <c r="CK309">
        <v>0</v>
      </c>
      <c r="CL309">
        <v>0</v>
      </c>
      <c r="CM309">
        <v>2</v>
      </c>
      <c r="CN309">
        <v>0</v>
      </c>
      <c r="CO309">
        <v>7</v>
      </c>
      <c r="CP309" t="s">
        <v>121</v>
      </c>
      <c r="CQ309">
        <v>582</v>
      </c>
      <c r="CR309">
        <v>0</v>
      </c>
      <c r="CW309">
        <v>5709169</v>
      </c>
      <c r="CY309">
        <v>0</v>
      </c>
      <c r="CZ309">
        <v>0</v>
      </c>
      <c r="DA309">
        <v>0</v>
      </c>
      <c r="DB309">
        <v>1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</row>
    <row r="310" spans="1:113" x14ac:dyDescent="0.3">
      <c r="A310" t="str">
        <f>"06/16/2022 19:07:08.625"</f>
        <v>06/16/2022 19:07:08.625</v>
      </c>
      <c r="C310" t="str">
        <f t="shared" si="12"/>
        <v>FFBF5BC0</v>
      </c>
      <c r="D310" t="s">
        <v>113</v>
      </c>
      <c r="E310">
        <v>8</v>
      </c>
      <c r="H310">
        <v>206</v>
      </c>
      <c r="I310" t="s">
        <v>114</v>
      </c>
      <c r="J310" t="s">
        <v>115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>"19:07:08.406"</f>
        <v>19:07:08.406</v>
      </c>
      <c r="T310" t="str">
        <f>"19:07:08.406"</f>
        <v>19:07:08.406</v>
      </c>
      <c r="U310" t="str">
        <f t="shared" si="13"/>
        <v>AB63B2</v>
      </c>
      <c r="V310">
        <v>0</v>
      </c>
      <c r="W310">
        <v>0</v>
      </c>
      <c r="X310">
        <v>6</v>
      </c>
      <c r="Z310">
        <v>0</v>
      </c>
      <c r="AA310">
        <v>9</v>
      </c>
      <c r="AB310">
        <v>3</v>
      </c>
      <c r="AC310">
        <v>0</v>
      </c>
      <c r="AD310">
        <v>10</v>
      </c>
      <c r="AE310">
        <v>0</v>
      </c>
      <c r="AF310">
        <v>0</v>
      </c>
      <c r="AG310">
        <v>2</v>
      </c>
      <c r="AH310">
        <v>0</v>
      </c>
      <c r="AI310" t="s">
        <v>268</v>
      </c>
      <c r="AJ310">
        <v>41.981999999999999</v>
      </c>
      <c r="AK310" t="s">
        <v>269</v>
      </c>
      <c r="AL310">
        <v>-87.894594999999995</v>
      </c>
      <c r="AS310">
        <v>1</v>
      </c>
      <c r="AT310" t="s">
        <v>118</v>
      </c>
      <c r="AU310" t="b">
        <v>1</v>
      </c>
      <c r="AV310">
        <v>135</v>
      </c>
      <c r="AW310">
        <v>18.125</v>
      </c>
      <c r="AX310">
        <v>1</v>
      </c>
      <c r="AZ310">
        <v>7205</v>
      </c>
      <c r="BA310">
        <v>1</v>
      </c>
      <c r="BB310" t="str">
        <f t="shared" si="14"/>
        <v xml:space="preserve">KAP400  </v>
      </c>
      <c r="BC310">
        <v>1</v>
      </c>
      <c r="BE310">
        <v>0</v>
      </c>
      <c r="BF310">
        <v>0</v>
      </c>
      <c r="BG310">
        <v>0</v>
      </c>
      <c r="BI310">
        <v>1</v>
      </c>
      <c r="BJ310">
        <v>1</v>
      </c>
      <c r="BK310">
        <v>1</v>
      </c>
      <c r="BL310">
        <v>0</v>
      </c>
      <c r="BO310">
        <v>0</v>
      </c>
      <c r="BP310">
        <v>0</v>
      </c>
      <c r="BW310" t="str">
        <f>"19:07:08.408"</f>
        <v>19:07:08.408</v>
      </c>
      <c r="BX310" t="s">
        <v>119</v>
      </c>
      <c r="BY310" t="s">
        <v>120</v>
      </c>
      <c r="CJ310">
        <v>0</v>
      </c>
      <c r="CK310">
        <v>0</v>
      </c>
      <c r="CL310">
        <v>0</v>
      </c>
      <c r="CM310">
        <v>2</v>
      </c>
      <c r="CN310">
        <v>0</v>
      </c>
      <c r="CO310">
        <v>7</v>
      </c>
      <c r="CP310" t="s">
        <v>121</v>
      </c>
      <c r="CQ310">
        <v>582</v>
      </c>
      <c r="CR310">
        <v>0</v>
      </c>
      <c r="CW310">
        <v>5710528</v>
      </c>
      <c r="CY310">
        <v>0</v>
      </c>
      <c r="CZ310">
        <v>0</v>
      </c>
      <c r="DA310">
        <v>0</v>
      </c>
      <c r="DB310">
        <v>1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</row>
    <row r="311" spans="1:113" x14ac:dyDescent="0.3">
      <c r="A311" t="str">
        <f>"06/16/2022 19:07:09.516"</f>
        <v>06/16/2022 19:07:09.516</v>
      </c>
      <c r="C311" t="str">
        <f t="shared" si="12"/>
        <v>FFBF5BC0</v>
      </c>
      <c r="D311" t="s">
        <v>113</v>
      </c>
      <c r="E311">
        <v>8</v>
      </c>
      <c r="H311">
        <v>206</v>
      </c>
      <c r="I311" t="s">
        <v>114</v>
      </c>
      <c r="J311" t="s">
        <v>115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>"19:07:09.266"</f>
        <v>19:07:09.266</v>
      </c>
      <c r="T311" t="str">
        <f>"19:07:09.266"</f>
        <v>19:07:09.266</v>
      </c>
      <c r="U311" t="str">
        <f t="shared" si="13"/>
        <v>AB63B2</v>
      </c>
      <c r="V311">
        <v>0</v>
      </c>
      <c r="W311">
        <v>0</v>
      </c>
      <c r="X311">
        <v>6</v>
      </c>
      <c r="Z311">
        <v>0</v>
      </c>
      <c r="AA311">
        <v>9</v>
      </c>
      <c r="AB311">
        <v>3</v>
      </c>
      <c r="AC311">
        <v>0</v>
      </c>
      <c r="AD311">
        <v>10</v>
      </c>
      <c r="AE311">
        <v>0</v>
      </c>
      <c r="AF311">
        <v>0</v>
      </c>
      <c r="AG311">
        <v>2</v>
      </c>
      <c r="AH311">
        <v>0</v>
      </c>
      <c r="AI311" t="s">
        <v>270</v>
      </c>
      <c r="AJ311">
        <v>41.981957000000001</v>
      </c>
      <c r="AK311" t="s">
        <v>271</v>
      </c>
      <c r="AL311">
        <v>-87.894530000000003</v>
      </c>
      <c r="AS311">
        <v>1</v>
      </c>
      <c r="AT311" t="s">
        <v>118</v>
      </c>
      <c r="AU311" t="b">
        <v>1</v>
      </c>
      <c r="AV311">
        <v>135</v>
      </c>
      <c r="AW311">
        <v>18.125</v>
      </c>
      <c r="AX311">
        <v>1</v>
      </c>
      <c r="AZ311">
        <v>7205</v>
      </c>
      <c r="BA311">
        <v>1</v>
      </c>
      <c r="BB311" t="str">
        <f t="shared" si="14"/>
        <v xml:space="preserve">KAP400  </v>
      </c>
      <c r="BC311">
        <v>1</v>
      </c>
      <c r="BE311">
        <v>0</v>
      </c>
      <c r="BF311">
        <v>0</v>
      </c>
      <c r="BG311">
        <v>0</v>
      </c>
      <c r="BI311">
        <v>1</v>
      </c>
      <c r="BJ311">
        <v>1</v>
      </c>
      <c r="BK311">
        <v>1</v>
      </c>
      <c r="BL311">
        <v>0</v>
      </c>
      <c r="BO311">
        <v>0</v>
      </c>
      <c r="BP311">
        <v>0</v>
      </c>
      <c r="BW311" t="str">
        <f>"19:07:09.266"</f>
        <v>19:07:09.266</v>
      </c>
      <c r="BX311" t="s">
        <v>119</v>
      </c>
      <c r="BY311" t="s">
        <v>120</v>
      </c>
      <c r="CJ311">
        <v>0</v>
      </c>
      <c r="CK311">
        <v>0</v>
      </c>
      <c r="CL311">
        <v>0</v>
      </c>
      <c r="CM311">
        <v>2</v>
      </c>
      <c r="CN311">
        <v>0</v>
      </c>
      <c r="CO311">
        <v>7</v>
      </c>
      <c r="CP311" t="s">
        <v>121</v>
      </c>
      <c r="CQ311">
        <v>582</v>
      </c>
      <c r="CR311">
        <v>0</v>
      </c>
      <c r="CW311">
        <v>5711736</v>
      </c>
      <c r="CY311">
        <v>0</v>
      </c>
      <c r="CZ311">
        <v>0</v>
      </c>
      <c r="DA311">
        <v>0</v>
      </c>
      <c r="DB311">
        <v>1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</row>
    <row r="312" spans="1:113" x14ac:dyDescent="0.3">
      <c r="A312" t="str">
        <f>"06/16/2022 19:07:10.360"</f>
        <v>06/16/2022 19:07:10.360</v>
      </c>
      <c r="C312" t="str">
        <f t="shared" si="12"/>
        <v>FFBF5BC0</v>
      </c>
      <c r="D312" t="s">
        <v>113</v>
      </c>
      <c r="E312">
        <v>8</v>
      </c>
      <c r="H312">
        <v>206</v>
      </c>
      <c r="I312" t="s">
        <v>114</v>
      </c>
      <c r="J312" t="s">
        <v>115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>"19:07:10.148"</f>
        <v>19:07:10.148</v>
      </c>
      <c r="T312" t="str">
        <f>"19:07:10.148"</f>
        <v>19:07:10.148</v>
      </c>
      <c r="U312" t="str">
        <f t="shared" si="13"/>
        <v>AB63B2</v>
      </c>
      <c r="V312">
        <v>0</v>
      </c>
      <c r="W312">
        <v>0</v>
      </c>
      <c r="X312">
        <v>6</v>
      </c>
      <c r="Z312">
        <v>0</v>
      </c>
      <c r="AA312">
        <v>9</v>
      </c>
      <c r="AB312">
        <v>3</v>
      </c>
      <c r="AC312">
        <v>0</v>
      </c>
      <c r="AD312">
        <v>10</v>
      </c>
      <c r="AE312">
        <v>0</v>
      </c>
      <c r="AF312">
        <v>0</v>
      </c>
      <c r="AG312">
        <v>2</v>
      </c>
      <c r="AH312">
        <v>0</v>
      </c>
      <c r="AI312" t="s">
        <v>272</v>
      </c>
      <c r="AJ312">
        <v>41.981914000000003</v>
      </c>
      <c r="AK312" t="s">
        <v>273</v>
      </c>
      <c r="AL312">
        <v>-87.894465999999994</v>
      </c>
      <c r="AS312">
        <v>1</v>
      </c>
      <c r="AT312" t="s">
        <v>118</v>
      </c>
      <c r="AU312" t="b">
        <v>1</v>
      </c>
      <c r="AV312">
        <v>132.19</v>
      </c>
      <c r="AW312">
        <v>18.125</v>
      </c>
      <c r="AX312">
        <v>1</v>
      </c>
      <c r="AZ312">
        <v>7205</v>
      </c>
      <c r="BA312">
        <v>1</v>
      </c>
      <c r="BB312" t="str">
        <f t="shared" si="14"/>
        <v xml:space="preserve">KAP400  </v>
      </c>
      <c r="BC312">
        <v>1</v>
      </c>
      <c r="BE312">
        <v>0</v>
      </c>
      <c r="BF312">
        <v>0</v>
      </c>
      <c r="BG312">
        <v>0</v>
      </c>
      <c r="BI312">
        <v>1</v>
      </c>
      <c r="BJ312">
        <v>1</v>
      </c>
      <c r="BK312">
        <v>1</v>
      </c>
      <c r="BL312">
        <v>0</v>
      </c>
      <c r="BO312">
        <v>0</v>
      </c>
      <c r="BP312">
        <v>0</v>
      </c>
      <c r="BW312" t="str">
        <f>"19:07:10.151"</f>
        <v>19:07:10.151</v>
      </c>
      <c r="BX312" t="s">
        <v>119</v>
      </c>
      <c r="BY312" t="s">
        <v>120</v>
      </c>
      <c r="CJ312">
        <v>0</v>
      </c>
      <c r="CK312">
        <v>0</v>
      </c>
      <c r="CL312">
        <v>0</v>
      </c>
      <c r="CM312">
        <v>2</v>
      </c>
      <c r="CN312">
        <v>0</v>
      </c>
      <c r="CO312">
        <v>7</v>
      </c>
      <c r="CP312" t="s">
        <v>121</v>
      </c>
      <c r="CQ312">
        <v>582</v>
      </c>
      <c r="CR312">
        <v>0</v>
      </c>
      <c r="CW312">
        <v>5712989</v>
      </c>
      <c r="CY312">
        <v>0</v>
      </c>
      <c r="CZ312">
        <v>0</v>
      </c>
      <c r="DA312">
        <v>0</v>
      </c>
      <c r="DB312">
        <v>1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</row>
    <row r="313" spans="1:113" x14ac:dyDescent="0.3">
      <c r="A313" t="str">
        <f>"06/16/2022 19:07:11.455"</f>
        <v>06/16/2022 19:07:11.455</v>
      </c>
      <c r="C313" t="str">
        <f t="shared" si="12"/>
        <v>FFBF5BC0</v>
      </c>
      <c r="D313" t="s">
        <v>113</v>
      </c>
      <c r="E313">
        <v>8</v>
      </c>
      <c r="H313">
        <v>206</v>
      </c>
      <c r="I313" t="s">
        <v>114</v>
      </c>
      <c r="J313" t="s">
        <v>115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>"19:07:11.039"</f>
        <v>19:07:11.039</v>
      </c>
      <c r="T313" t="str">
        <f>"19:07:11.039"</f>
        <v>19:07:11.039</v>
      </c>
      <c r="U313" t="str">
        <f t="shared" si="13"/>
        <v>AB63B2</v>
      </c>
      <c r="V313">
        <v>0</v>
      </c>
      <c r="W313">
        <v>0</v>
      </c>
      <c r="X313">
        <v>6</v>
      </c>
      <c r="Z313">
        <v>0</v>
      </c>
      <c r="AA313">
        <v>9</v>
      </c>
      <c r="AB313">
        <v>3</v>
      </c>
      <c r="AC313">
        <v>0</v>
      </c>
      <c r="AD313">
        <v>10</v>
      </c>
      <c r="AE313">
        <v>0</v>
      </c>
      <c r="AF313">
        <v>0</v>
      </c>
      <c r="AG313">
        <v>2</v>
      </c>
      <c r="AH313">
        <v>0</v>
      </c>
      <c r="AI313" t="s">
        <v>274</v>
      </c>
      <c r="AJ313">
        <v>41.981870999999998</v>
      </c>
      <c r="AK313" t="s">
        <v>275</v>
      </c>
      <c r="AL313">
        <v>-87.894401999999999</v>
      </c>
      <c r="AS313">
        <v>1</v>
      </c>
      <c r="AT313" t="s">
        <v>118</v>
      </c>
      <c r="AU313" t="b">
        <v>1</v>
      </c>
      <c r="AV313">
        <v>132.19</v>
      </c>
      <c r="AW313">
        <v>18.125</v>
      </c>
      <c r="AX313">
        <v>1</v>
      </c>
      <c r="AZ313">
        <v>7205</v>
      </c>
      <c r="BA313">
        <v>1</v>
      </c>
      <c r="BB313" t="str">
        <f t="shared" si="14"/>
        <v xml:space="preserve">KAP400  </v>
      </c>
      <c r="BC313">
        <v>1</v>
      </c>
      <c r="BE313">
        <v>0</v>
      </c>
      <c r="BF313">
        <v>0</v>
      </c>
      <c r="BG313">
        <v>0</v>
      </c>
      <c r="BI313">
        <v>1</v>
      </c>
      <c r="BJ313">
        <v>1</v>
      </c>
      <c r="BK313">
        <v>1</v>
      </c>
      <c r="BL313">
        <v>0</v>
      </c>
      <c r="BO313">
        <v>0</v>
      </c>
      <c r="BP313">
        <v>0</v>
      </c>
      <c r="BW313" t="str">
        <f>"19:07:11.046"</f>
        <v>19:07:11.046</v>
      </c>
      <c r="BX313" t="s">
        <v>119</v>
      </c>
      <c r="BY313" t="s">
        <v>120</v>
      </c>
      <c r="CJ313">
        <v>0</v>
      </c>
      <c r="CK313">
        <v>0</v>
      </c>
      <c r="CL313">
        <v>0</v>
      </c>
      <c r="CM313">
        <v>2</v>
      </c>
      <c r="CN313">
        <v>0</v>
      </c>
      <c r="CO313">
        <v>7</v>
      </c>
      <c r="CP313" t="s">
        <v>121</v>
      </c>
      <c r="CQ313">
        <v>582</v>
      </c>
      <c r="CR313">
        <v>0</v>
      </c>
      <c r="CW313">
        <v>5714267</v>
      </c>
      <c r="CY313">
        <v>0</v>
      </c>
      <c r="CZ313">
        <v>0</v>
      </c>
      <c r="DA313">
        <v>0</v>
      </c>
      <c r="DB313">
        <v>1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</row>
    <row r="314" spans="1:113" x14ac:dyDescent="0.3">
      <c r="A314" t="str">
        <f>"06/16/2022 19:07:12.329"</f>
        <v>06/16/2022 19:07:12.329</v>
      </c>
      <c r="C314" t="str">
        <f t="shared" si="12"/>
        <v>FFBF5BC0</v>
      </c>
      <c r="D314" t="s">
        <v>113</v>
      </c>
      <c r="E314">
        <v>8</v>
      </c>
      <c r="H314">
        <v>206</v>
      </c>
      <c r="I314" t="s">
        <v>114</v>
      </c>
      <c r="J314" t="s">
        <v>115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>"19:07:12.055"</f>
        <v>19:07:12.055</v>
      </c>
      <c r="T314" t="str">
        <f>"19:07:12.055"</f>
        <v>19:07:12.055</v>
      </c>
      <c r="U314" t="str">
        <f t="shared" si="13"/>
        <v>AB63B2</v>
      </c>
      <c r="V314">
        <v>0</v>
      </c>
      <c r="W314">
        <v>0</v>
      </c>
      <c r="X314">
        <v>6</v>
      </c>
      <c r="Z314">
        <v>0</v>
      </c>
      <c r="AA314">
        <v>9</v>
      </c>
      <c r="AB314">
        <v>3</v>
      </c>
      <c r="AC314">
        <v>0</v>
      </c>
      <c r="AD314">
        <v>10</v>
      </c>
      <c r="AE314">
        <v>0</v>
      </c>
      <c r="AF314">
        <v>0</v>
      </c>
      <c r="AG314">
        <v>2</v>
      </c>
      <c r="AH314">
        <v>0</v>
      </c>
      <c r="AI314" t="s">
        <v>276</v>
      </c>
      <c r="AJ314">
        <v>41.981807000000003</v>
      </c>
      <c r="AK314" t="s">
        <v>277</v>
      </c>
      <c r="AL314">
        <v>-87.894316000000003</v>
      </c>
      <c r="AS314">
        <v>1</v>
      </c>
      <c r="AT314" t="s">
        <v>118</v>
      </c>
      <c r="AU314" t="b">
        <v>1</v>
      </c>
      <c r="AV314">
        <v>132.19</v>
      </c>
      <c r="AW314">
        <v>18.125</v>
      </c>
      <c r="AX314">
        <v>1</v>
      </c>
      <c r="AZ314">
        <v>7205</v>
      </c>
      <c r="BA314">
        <v>1</v>
      </c>
      <c r="BB314" t="str">
        <f t="shared" si="14"/>
        <v xml:space="preserve">KAP400  </v>
      </c>
      <c r="BC314">
        <v>1</v>
      </c>
      <c r="BE314">
        <v>0</v>
      </c>
      <c r="BF314">
        <v>0</v>
      </c>
      <c r="BG314">
        <v>0</v>
      </c>
      <c r="BI314">
        <v>1</v>
      </c>
      <c r="BJ314">
        <v>1</v>
      </c>
      <c r="BK314">
        <v>1</v>
      </c>
      <c r="BL314">
        <v>0</v>
      </c>
      <c r="BO314">
        <v>0</v>
      </c>
      <c r="BP314">
        <v>0</v>
      </c>
      <c r="BW314" t="str">
        <f>"19:07:12.062"</f>
        <v>19:07:12.062</v>
      </c>
      <c r="BX314" t="s">
        <v>119</v>
      </c>
      <c r="BY314" t="s">
        <v>120</v>
      </c>
      <c r="CJ314">
        <v>0</v>
      </c>
      <c r="CK314">
        <v>0</v>
      </c>
      <c r="CL314">
        <v>0</v>
      </c>
      <c r="CM314">
        <v>2</v>
      </c>
      <c r="CN314">
        <v>0</v>
      </c>
      <c r="CO314">
        <v>7</v>
      </c>
      <c r="CP314" t="s">
        <v>121</v>
      </c>
      <c r="CQ314">
        <v>582</v>
      </c>
      <c r="CR314">
        <v>0</v>
      </c>
      <c r="CW314">
        <v>5715814</v>
      </c>
      <c r="CY314">
        <v>0</v>
      </c>
      <c r="CZ314">
        <v>0</v>
      </c>
      <c r="DA314">
        <v>0</v>
      </c>
      <c r="DB314">
        <v>1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</row>
    <row r="315" spans="1:113" x14ac:dyDescent="0.3">
      <c r="A315" t="str">
        <f>"06/16/2022 19:07:13.203"</f>
        <v>06/16/2022 19:07:13.203</v>
      </c>
      <c r="C315" t="str">
        <f t="shared" si="12"/>
        <v>FFBF5BC0</v>
      </c>
      <c r="D315" t="s">
        <v>113</v>
      </c>
      <c r="E315">
        <v>8</v>
      </c>
      <c r="H315">
        <v>206</v>
      </c>
      <c r="I315" t="s">
        <v>114</v>
      </c>
      <c r="J315" t="s">
        <v>115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>"19:07:12.953"</f>
        <v>19:07:12.953</v>
      </c>
      <c r="T315" t="str">
        <f>"19:07:12.953"</f>
        <v>19:07:12.953</v>
      </c>
      <c r="U315" t="str">
        <f t="shared" si="13"/>
        <v>AB63B2</v>
      </c>
      <c r="V315">
        <v>0</v>
      </c>
      <c r="W315">
        <v>0</v>
      </c>
      <c r="X315">
        <v>6</v>
      </c>
      <c r="Z315">
        <v>0</v>
      </c>
      <c r="AA315">
        <v>9</v>
      </c>
      <c r="AB315">
        <v>3</v>
      </c>
      <c r="AC315">
        <v>0</v>
      </c>
      <c r="AD315">
        <v>10</v>
      </c>
      <c r="AE315">
        <v>0</v>
      </c>
      <c r="AF315">
        <v>0</v>
      </c>
      <c r="AG315">
        <v>2</v>
      </c>
      <c r="AH315">
        <v>0</v>
      </c>
      <c r="AI315" t="s">
        <v>278</v>
      </c>
      <c r="AJ315">
        <v>41.981763999999998</v>
      </c>
      <c r="AK315" t="s">
        <v>279</v>
      </c>
      <c r="AL315">
        <v>-87.894250999999997</v>
      </c>
      <c r="AS315">
        <v>1</v>
      </c>
      <c r="AT315" t="s">
        <v>118</v>
      </c>
      <c r="AU315" t="b">
        <v>1</v>
      </c>
      <c r="AV315">
        <v>132.19</v>
      </c>
      <c r="AW315">
        <v>17.125</v>
      </c>
      <c r="AX315">
        <v>1</v>
      </c>
      <c r="AZ315">
        <v>7205</v>
      </c>
      <c r="BA315">
        <v>1</v>
      </c>
      <c r="BB315" t="str">
        <f t="shared" si="14"/>
        <v xml:space="preserve">KAP400  </v>
      </c>
      <c r="BC315">
        <v>1</v>
      </c>
      <c r="BE315">
        <v>0</v>
      </c>
      <c r="BF315">
        <v>0</v>
      </c>
      <c r="BG315">
        <v>0</v>
      </c>
      <c r="BI315">
        <v>1</v>
      </c>
      <c r="BJ315">
        <v>1</v>
      </c>
      <c r="BK315">
        <v>1</v>
      </c>
      <c r="BL315">
        <v>0</v>
      </c>
      <c r="BO315">
        <v>0</v>
      </c>
      <c r="BP315">
        <v>0</v>
      </c>
      <c r="BW315" t="str">
        <f>"19:07:12.958"</f>
        <v>19:07:12.958</v>
      </c>
      <c r="BX315" t="s">
        <v>119</v>
      </c>
      <c r="BY315" t="s">
        <v>120</v>
      </c>
      <c r="CJ315">
        <v>0</v>
      </c>
      <c r="CK315">
        <v>0</v>
      </c>
      <c r="CL315">
        <v>0</v>
      </c>
      <c r="CM315">
        <v>2</v>
      </c>
      <c r="CN315">
        <v>0</v>
      </c>
      <c r="CO315">
        <v>7</v>
      </c>
      <c r="CP315" t="s">
        <v>121</v>
      </c>
      <c r="CQ315">
        <v>582</v>
      </c>
      <c r="CR315">
        <v>0</v>
      </c>
      <c r="CW315">
        <v>5717135</v>
      </c>
      <c r="CY315">
        <v>0</v>
      </c>
      <c r="CZ315">
        <v>0</v>
      </c>
      <c r="DA315">
        <v>0</v>
      </c>
      <c r="DB315">
        <v>1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</row>
    <row r="316" spans="1:113" x14ac:dyDescent="0.3">
      <c r="A316" t="str">
        <f>"06/16/2022 19:07:14.156"</f>
        <v>06/16/2022 19:07:14.156</v>
      </c>
      <c r="C316" t="str">
        <f t="shared" si="12"/>
        <v>FFBF5BC0</v>
      </c>
      <c r="D316" t="s">
        <v>113</v>
      </c>
      <c r="E316">
        <v>8</v>
      </c>
      <c r="H316">
        <v>206</v>
      </c>
      <c r="I316" t="s">
        <v>114</v>
      </c>
      <c r="J316" t="s">
        <v>115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>"19:07:13.852"</f>
        <v>19:07:13.852</v>
      </c>
      <c r="T316" t="str">
        <f>"19:07:13.852"</f>
        <v>19:07:13.852</v>
      </c>
      <c r="U316" t="str">
        <f t="shared" si="13"/>
        <v>AB63B2</v>
      </c>
      <c r="V316">
        <v>0</v>
      </c>
      <c r="W316">
        <v>0</v>
      </c>
      <c r="X316">
        <v>6</v>
      </c>
      <c r="Z316">
        <v>0</v>
      </c>
      <c r="AA316">
        <v>9</v>
      </c>
      <c r="AB316">
        <v>3</v>
      </c>
      <c r="AC316">
        <v>0</v>
      </c>
      <c r="AD316">
        <v>10</v>
      </c>
      <c r="AE316">
        <v>0</v>
      </c>
      <c r="AF316">
        <v>0</v>
      </c>
      <c r="AG316">
        <v>2</v>
      </c>
      <c r="AH316">
        <v>0</v>
      </c>
      <c r="AI316" t="s">
        <v>280</v>
      </c>
      <c r="AJ316">
        <v>41.981721</v>
      </c>
      <c r="AK316" t="s">
        <v>281</v>
      </c>
      <c r="AL316">
        <v>-87.894187000000002</v>
      </c>
      <c r="AS316">
        <v>1</v>
      </c>
      <c r="AT316" t="s">
        <v>118</v>
      </c>
      <c r="AU316" t="b">
        <v>1</v>
      </c>
      <c r="AV316">
        <v>135</v>
      </c>
      <c r="AW316">
        <v>17.125</v>
      </c>
      <c r="AX316">
        <v>1</v>
      </c>
      <c r="AZ316">
        <v>7205</v>
      </c>
      <c r="BA316">
        <v>1</v>
      </c>
      <c r="BB316" t="str">
        <f t="shared" si="14"/>
        <v xml:space="preserve">KAP400  </v>
      </c>
      <c r="BC316">
        <v>1</v>
      </c>
      <c r="BE316">
        <v>0</v>
      </c>
      <c r="BF316">
        <v>0</v>
      </c>
      <c r="BG316">
        <v>0</v>
      </c>
      <c r="BI316">
        <v>1</v>
      </c>
      <c r="BJ316">
        <v>1</v>
      </c>
      <c r="BK316">
        <v>1</v>
      </c>
      <c r="BL316">
        <v>0</v>
      </c>
      <c r="BO316">
        <v>0</v>
      </c>
      <c r="BP316">
        <v>0</v>
      </c>
      <c r="BW316" t="str">
        <f>"19:07:13.857"</f>
        <v>19:07:13.857</v>
      </c>
      <c r="BX316" t="s">
        <v>119</v>
      </c>
      <c r="BY316" t="s">
        <v>120</v>
      </c>
      <c r="CJ316">
        <v>0</v>
      </c>
      <c r="CK316">
        <v>0</v>
      </c>
      <c r="CL316">
        <v>0</v>
      </c>
      <c r="CM316">
        <v>2</v>
      </c>
      <c r="CN316">
        <v>0</v>
      </c>
      <c r="CO316">
        <v>7</v>
      </c>
      <c r="CP316" t="s">
        <v>121</v>
      </c>
      <c r="CQ316">
        <v>582</v>
      </c>
      <c r="CR316">
        <v>0</v>
      </c>
      <c r="CW316">
        <v>5718396</v>
      </c>
      <c r="CY316">
        <v>0</v>
      </c>
      <c r="CZ316">
        <v>0</v>
      </c>
      <c r="DA316">
        <v>0</v>
      </c>
      <c r="DB316">
        <v>1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</row>
    <row r="317" spans="1:113" x14ac:dyDescent="0.3">
      <c r="A317" t="str">
        <f>"06/16/2022 19:07:15.203"</f>
        <v>06/16/2022 19:07:15.203</v>
      </c>
      <c r="C317" t="str">
        <f t="shared" si="12"/>
        <v>FFBF5BC0</v>
      </c>
      <c r="D317" t="s">
        <v>113</v>
      </c>
      <c r="E317">
        <v>8</v>
      </c>
      <c r="H317">
        <v>206</v>
      </c>
      <c r="I317" t="s">
        <v>114</v>
      </c>
      <c r="J317" t="s">
        <v>115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>"19:07:14.930"</f>
        <v>19:07:14.930</v>
      </c>
      <c r="T317" t="str">
        <f>"19:07:14.930"</f>
        <v>19:07:14.930</v>
      </c>
      <c r="U317" t="str">
        <f t="shared" si="13"/>
        <v>AB63B2</v>
      </c>
      <c r="V317">
        <v>0</v>
      </c>
      <c r="W317">
        <v>0</v>
      </c>
      <c r="X317">
        <v>6</v>
      </c>
      <c r="Z317">
        <v>0</v>
      </c>
      <c r="AA317">
        <v>9</v>
      </c>
      <c r="AB317">
        <v>3</v>
      </c>
      <c r="AC317">
        <v>0</v>
      </c>
      <c r="AD317">
        <v>10</v>
      </c>
      <c r="AE317">
        <v>0</v>
      </c>
      <c r="AF317">
        <v>0</v>
      </c>
      <c r="AG317">
        <v>2</v>
      </c>
      <c r="AH317">
        <v>0</v>
      </c>
      <c r="AI317" t="s">
        <v>282</v>
      </c>
      <c r="AJ317">
        <v>41.981656999999998</v>
      </c>
      <c r="AK317" t="s">
        <v>283</v>
      </c>
      <c r="AL317">
        <v>-87.894101000000006</v>
      </c>
      <c r="AS317">
        <v>1</v>
      </c>
      <c r="AT317" t="s">
        <v>118</v>
      </c>
      <c r="AU317" t="b">
        <v>1</v>
      </c>
      <c r="AV317">
        <v>135</v>
      </c>
      <c r="AW317">
        <v>16.125</v>
      </c>
      <c r="AX317">
        <v>1</v>
      </c>
      <c r="AZ317">
        <v>7205</v>
      </c>
      <c r="BA317">
        <v>1</v>
      </c>
      <c r="BB317" t="str">
        <f t="shared" si="14"/>
        <v xml:space="preserve">KAP400  </v>
      </c>
      <c r="BC317">
        <v>1</v>
      </c>
      <c r="BE317">
        <v>0</v>
      </c>
      <c r="BF317">
        <v>0</v>
      </c>
      <c r="BG317">
        <v>0</v>
      </c>
      <c r="BI317">
        <v>1</v>
      </c>
      <c r="BJ317">
        <v>1</v>
      </c>
      <c r="BK317">
        <v>1</v>
      </c>
      <c r="BL317">
        <v>0</v>
      </c>
      <c r="BO317">
        <v>0</v>
      </c>
      <c r="BP317">
        <v>0</v>
      </c>
      <c r="BW317" t="str">
        <f>"19:07:14.934"</f>
        <v>19:07:14.934</v>
      </c>
      <c r="BX317" t="s">
        <v>119</v>
      </c>
      <c r="BY317" t="s">
        <v>120</v>
      </c>
      <c r="CJ317">
        <v>0</v>
      </c>
      <c r="CK317">
        <v>0</v>
      </c>
      <c r="CL317">
        <v>0</v>
      </c>
      <c r="CM317">
        <v>2</v>
      </c>
      <c r="CN317">
        <v>0</v>
      </c>
      <c r="CO317">
        <v>7</v>
      </c>
      <c r="CP317" t="s">
        <v>121</v>
      </c>
      <c r="CQ317">
        <v>582</v>
      </c>
      <c r="CR317">
        <v>0</v>
      </c>
      <c r="CW317">
        <v>5719869</v>
      </c>
      <c r="CY317">
        <v>0</v>
      </c>
      <c r="CZ317">
        <v>0</v>
      </c>
      <c r="DA317">
        <v>0</v>
      </c>
      <c r="DB317">
        <v>1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</row>
    <row r="318" spans="1:113" x14ac:dyDescent="0.3">
      <c r="A318" t="str">
        <f>"06/16/2022 19:07:16.314"</f>
        <v>06/16/2022 19:07:16.314</v>
      </c>
      <c r="C318" t="str">
        <f t="shared" si="12"/>
        <v>FFBF5BC0</v>
      </c>
      <c r="D318" t="s">
        <v>113</v>
      </c>
      <c r="E318">
        <v>8</v>
      </c>
      <c r="H318">
        <v>206</v>
      </c>
      <c r="I318" t="s">
        <v>114</v>
      </c>
      <c r="J318" t="s">
        <v>115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>"19:07:15.977"</f>
        <v>19:07:15.977</v>
      </c>
      <c r="T318" t="str">
        <f>"19:07:15.977"</f>
        <v>19:07:15.977</v>
      </c>
      <c r="U318" t="str">
        <f t="shared" si="13"/>
        <v>AB63B2</v>
      </c>
      <c r="V318">
        <v>0</v>
      </c>
      <c r="W318">
        <v>0</v>
      </c>
      <c r="X318">
        <v>6</v>
      </c>
      <c r="Z318">
        <v>0</v>
      </c>
      <c r="AA318">
        <v>9</v>
      </c>
      <c r="AB318">
        <v>3</v>
      </c>
      <c r="AC318">
        <v>0</v>
      </c>
      <c r="AD318">
        <v>10</v>
      </c>
      <c r="AE318">
        <v>0</v>
      </c>
      <c r="AF318">
        <v>0</v>
      </c>
      <c r="AG318">
        <v>2</v>
      </c>
      <c r="AH318">
        <v>0</v>
      </c>
      <c r="AI318" t="s">
        <v>284</v>
      </c>
      <c r="AJ318">
        <v>41.981591999999999</v>
      </c>
      <c r="AK318" t="s">
        <v>285</v>
      </c>
      <c r="AL318">
        <v>-87.894036999999997</v>
      </c>
      <c r="AS318">
        <v>1</v>
      </c>
      <c r="AT318" t="s">
        <v>118</v>
      </c>
      <c r="AU318" t="b">
        <v>1</v>
      </c>
      <c r="AV318">
        <v>135</v>
      </c>
      <c r="AW318">
        <v>16.125</v>
      </c>
      <c r="AX318">
        <v>1</v>
      </c>
      <c r="AZ318">
        <v>7205</v>
      </c>
      <c r="BA318">
        <v>1</v>
      </c>
      <c r="BB318" t="str">
        <f t="shared" si="14"/>
        <v xml:space="preserve">KAP400  </v>
      </c>
      <c r="BC318">
        <v>1</v>
      </c>
      <c r="BE318">
        <v>0</v>
      </c>
      <c r="BF318">
        <v>0</v>
      </c>
      <c r="BG318">
        <v>0</v>
      </c>
      <c r="BI318">
        <v>1</v>
      </c>
      <c r="BJ318">
        <v>1</v>
      </c>
      <c r="BK318">
        <v>1</v>
      </c>
      <c r="BL318">
        <v>0</v>
      </c>
      <c r="BO318">
        <v>0</v>
      </c>
      <c r="BP318">
        <v>0</v>
      </c>
      <c r="BW318" t="str">
        <f>"19:07:15.981"</f>
        <v>19:07:15.981</v>
      </c>
      <c r="BX318" t="s">
        <v>119</v>
      </c>
      <c r="BY318" t="s">
        <v>120</v>
      </c>
      <c r="CJ318">
        <v>0</v>
      </c>
      <c r="CK318">
        <v>0</v>
      </c>
      <c r="CL318">
        <v>0</v>
      </c>
      <c r="CM318">
        <v>2</v>
      </c>
      <c r="CN318">
        <v>0</v>
      </c>
      <c r="CO318">
        <v>7</v>
      </c>
      <c r="CP318" t="s">
        <v>121</v>
      </c>
      <c r="CQ318">
        <v>582</v>
      </c>
      <c r="CR318">
        <v>0</v>
      </c>
      <c r="CW318">
        <v>5721350</v>
      </c>
      <c r="CY318">
        <v>0</v>
      </c>
      <c r="CZ318">
        <v>0</v>
      </c>
      <c r="DA318">
        <v>0</v>
      </c>
      <c r="DB318">
        <v>1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</row>
    <row r="319" spans="1:113" x14ac:dyDescent="0.3">
      <c r="A319" t="str">
        <f>"06/16/2022 19:07:17.281"</f>
        <v>06/16/2022 19:07:17.281</v>
      </c>
      <c r="C319" t="str">
        <f t="shared" si="12"/>
        <v>FFBF5BC0</v>
      </c>
      <c r="D319" t="s">
        <v>113</v>
      </c>
      <c r="E319">
        <v>8</v>
      </c>
      <c r="H319">
        <v>206</v>
      </c>
      <c r="I319" t="s">
        <v>114</v>
      </c>
      <c r="J319" t="s">
        <v>115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>"19:07:17.008"</f>
        <v>19:07:17.008</v>
      </c>
      <c r="T319" t="str">
        <f>"19:07:17.008"</f>
        <v>19:07:17.008</v>
      </c>
      <c r="U319" t="str">
        <f t="shared" si="13"/>
        <v>AB63B2</v>
      </c>
      <c r="V319">
        <v>0</v>
      </c>
      <c r="W319">
        <v>0</v>
      </c>
      <c r="X319">
        <v>6</v>
      </c>
      <c r="Z319">
        <v>0</v>
      </c>
      <c r="AA319">
        <v>9</v>
      </c>
      <c r="AB319">
        <v>3</v>
      </c>
      <c r="AC319">
        <v>0</v>
      </c>
      <c r="AD319">
        <v>10</v>
      </c>
      <c r="AE319">
        <v>0</v>
      </c>
      <c r="AF319">
        <v>0</v>
      </c>
      <c r="AG319">
        <v>2</v>
      </c>
      <c r="AH319">
        <v>0</v>
      </c>
      <c r="AI319" t="s">
        <v>286</v>
      </c>
      <c r="AJ319">
        <v>41.981549000000001</v>
      </c>
      <c r="AK319" t="s">
        <v>287</v>
      </c>
      <c r="AL319">
        <v>-87.893951000000001</v>
      </c>
      <c r="AS319">
        <v>1</v>
      </c>
      <c r="AT319" t="s">
        <v>118</v>
      </c>
      <c r="AU319" t="b">
        <v>1</v>
      </c>
      <c r="AV319">
        <v>135</v>
      </c>
      <c r="AW319">
        <v>16.125</v>
      </c>
      <c r="AX319">
        <v>1</v>
      </c>
      <c r="AZ319">
        <v>7205</v>
      </c>
      <c r="BA319">
        <v>1</v>
      </c>
      <c r="BB319" t="str">
        <f t="shared" si="14"/>
        <v xml:space="preserve">KAP400  </v>
      </c>
      <c r="BC319">
        <v>1</v>
      </c>
      <c r="BE319">
        <v>0</v>
      </c>
      <c r="BF319">
        <v>0</v>
      </c>
      <c r="BG319">
        <v>0</v>
      </c>
      <c r="BI319">
        <v>1</v>
      </c>
      <c r="BJ319">
        <v>1</v>
      </c>
      <c r="BK319">
        <v>1</v>
      </c>
      <c r="BL319">
        <v>0</v>
      </c>
      <c r="BO319">
        <v>0</v>
      </c>
      <c r="BP319">
        <v>0</v>
      </c>
      <c r="BW319" t="str">
        <f>"19:07:17.010"</f>
        <v>19:07:17.010</v>
      </c>
      <c r="BX319" t="s">
        <v>119</v>
      </c>
      <c r="BY319" t="s">
        <v>120</v>
      </c>
      <c r="CJ319">
        <v>0</v>
      </c>
      <c r="CK319">
        <v>0</v>
      </c>
      <c r="CL319">
        <v>0</v>
      </c>
      <c r="CM319">
        <v>2</v>
      </c>
      <c r="CN319">
        <v>0</v>
      </c>
      <c r="CO319">
        <v>7</v>
      </c>
      <c r="CP319" t="s">
        <v>121</v>
      </c>
      <c r="CQ319">
        <v>582</v>
      </c>
      <c r="CR319">
        <v>0</v>
      </c>
      <c r="CW319">
        <v>5722863</v>
      </c>
      <c r="CY319">
        <v>0</v>
      </c>
      <c r="CZ319">
        <v>0</v>
      </c>
      <c r="DA319">
        <v>0</v>
      </c>
      <c r="DB319">
        <v>1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</row>
    <row r="320" spans="1:113" x14ac:dyDescent="0.3">
      <c r="A320" t="str">
        <f>"06/16/2022 19:07:18.281"</f>
        <v>06/16/2022 19:07:18.281</v>
      </c>
      <c r="C320" t="str">
        <f t="shared" si="12"/>
        <v>FFBF5BC0</v>
      </c>
      <c r="D320" t="s">
        <v>113</v>
      </c>
      <c r="E320">
        <v>8</v>
      </c>
      <c r="H320">
        <v>206</v>
      </c>
      <c r="I320" t="s">
        <v>114</v>
      </c>
      <c r="J320" t="s">
        <v>115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>"19:07:17.914"</f>
        <v>19:07:17.914</v>
      </c>
      <c r="T320" t="str">
        <f>"19:07:17.914"</f>
        <v>19:07:17.914</v>
      </c>
      <c r="U320" t="str">
        <f t="shared" si="13"/>
        <v>AB63B2</v>
      </c>
      <c r="V320">
        <v>0</v>
      </c>
      <c r="W320">
        <v>0</v>
      </c>
      <c r="X320">
        <v>6</v>
      </c>
      <c r="Z320">
        <v>0</v>
      </c>
      <c r="AA320">
        <v>9</v>
      </c>
      <c r="AB320">
        <v>3</v>
      </c>
      <c r="AC320">
        <v>0</v>
      </c>
      <c r="AD320">
        <v>10</v>
      </c>
      <c r="AE320">
        <v>0</v>
      </c>
      <c r="AF320">
        <v>0</v>
      </c>
      <c r="AG320">
        <v>2</v>
      </c>
      <c r="AH320">
        <v>0</v>
      </c>
      <c r="AI320" t="s">
        <v>288</v>
      </c>
      <c r="AJ320">
        <v>41.981506000000003</v>
      </c>
      <c r="AK320" t="s">
        <v>289</v>
      </c>
      <c r="AL320">
        <v>-87.893887000000007</v>
      </c>
      <c r="AS320">
        <v>1</v>
      </c>
      <c r="AT320" t="s">
        <v>118</v>
      </c>
      <c r="AU320" t="b">
        <v>1</v>
      </c>
      <c r="AV320">
        <v>135</v>
      </c>
      <c r="AW320">
        <v>16.125</v>
      </c>
      <c r="AX320">
        <v>1</v>
      </c>
      <c r="AZ320">
        <v>7205</v>
      </c>
      <c r="BA320">
        <v>1</v>
      </c>
      <c r="BB320" t="str">
        <f t="shared" si="14"/>
        <v xml:space="preserve">KAP400  </v>
      </c>
      <c r="BC320">
        <v>1</v>
      </c>
      <c r="BE320">
        <v>0</v>
      </c>
      <c r="BF320">
        <v>0</v>
      </c>
      <c r="BG320">
        <v>0</v>
      </c>
      <c r="BI320">
        <v>1</v>
      </c>
      <c r="BJ320">
        <v>1</v>
      </c>
      <c r="BK320">
        <v>1</v>
      </c>
      <c r="BL320">
        <v>0</v>
      </c>
      <c r="BO320">
        <v>0</v>
      </c>
      <c r="BP320">
        <v>0</v>
      </c>
      <c r="BW320" t="str">
        <f>"19:07:17.919"</f>
        <v>19:07:17.919</v>
      </c>
      <c r="BX320" t="s">
        <v>119</v>
      </c>
      <c r="BY320" t="s">
        <v>120</v>
      </c>
      <c r="CJ320">
        <v>0</v>
      </c>
      <c r="CK320">
        <v>0</v>
      </c>
      <c r="CL320">
        <v>0</v>
      </c>
      <c r="CM320">
        <v>2</v>
      </c>
      <c r="CN320">
        <v>0</v>
      </c>
      <c r="CO320">
        <v>7</v>
      </c>
      <c r="CP320" t="s">
        <v>121</v>
      </c>
      <c r="CQ320">
        <v>582</v>
      </c>
      <c r="CR320">
        <v>0</v>
      </c>
      <c r="CW320">
        <v>5724092</v>
      </c>
      <c r="CY320">
        <v>0</v>
      </c>
      <c r="CZ320">
        <v>0</v>
      </c>
      <c r="DA320">
        <v>0</v>
      </c>
      <c r="DB320">
        <v>1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</row>
    <row r="321" spans="1:113" x14ac:dyDescent="0.3">
      <c r="A321" t="str">
        <f>"06/16/2022 19:07:19.094"</f>
        <v>06/16/2022 19:07:19.094</v>
      </c>
      <c r="C321" t="str">
        <f t="shared" si="12"/>
        <v>FFBF5BC0</v>
      </c>
      <c r="D321" t="s">
        <v>113</v>
      </c>
      <c r="E321">
        <v>8</v>
      </c>
      <c r="H321">
        <v>206</v>
      </c>
      <c r="I321" t="s">
        <v>114</v>
      </c>
      <c r="J321" t="s">
        <v>115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>"19:07:18.820"</f>
        <v>19:07:18.820</v>
      </c>
      <c r="T321" t="str">
        <f>"19:07:18.820"</f>
        <v>19:07:18.820</v>
      </c>
      <c r="U321" t="str">
        <f t="shared" si="13"/>
        <v>AB63B2</v>
      </c>
      <c r="V321">
        <v>0</v>
      </c>
      <c r="W321">
        <v>0</v>
      </c>
      <c r="X321">
        <v>6</v>
      </c>
      <c r="Z321">
        <v>0</v>
      </c>
      <c r="AA321">
        <v>9</v>
      </c>
      <c r="AB321">
        <v>3</v>
      </c>
      <c r="AC321">
        <v>0</v>
      </c>
      <c r="AD321">
        <v>10</v>
      </c>
      <c r="AE321">
        <v>0</v>
      </c>
      <c r="AF321">
        <v>0</v>
      </c>
      <c r="AG321">
        <v>2</v>
      </c>
      <c r="AH321">
        <v>0</v>
      </c>
      <c r="AI321" t="s">
        <v>290</v>
      </c>
      <c r="AJ321">
        <v>41.981462999999998</v>
      </c>
      <c r="AK321" t="s">
        <v>291</v>
      </c>
      <c r="AL321">
        <v>-87.893844000000001</v>
      </c>
      <c r="AS321">
        <v>1</v>
      </c>
      <c r="AT321" t="s">
        <v>118</v>
      </c>
      <c r="AU321" t="b">
        <v>1</v>
      </c>
      <c r="AV321">
        <v>135</v>
      </c>
      <c r="AW321">
        <v>16.125</v>
      </c>
      <c r="AX321">
        <v>1</v>
      </c>
      <c r="AZ321">
        <v>7205</v>
      </c>
      <c r="BA321">
        <v>1</v>
      </c>
      <c r="BB321" t="str">
        <f t="shared" si="14"/>
        <v xml:space="preserve">KAP400  </v>
      </c>
      <c r="BC321">
        <v>1</v>
      </c>
      <c r="BE321">
        <v>0</v>
      </c>
      <c r="BF321">
        <v>0</v>
      </c>
      <c r="BG321">
        <v>0</v>
      </c>
      <c r="BI321">
        <v>1</v>
      </c>
      <c r="BJ321">
        <v>1</v>
      </c>
      <c r="BK321">
        <v>1</v>
      </c>
      <c r="BL321">
        <v>0</v>
      </c>
      <c r="BO321">
        <v>0</v>
      </c>
      <c r="BP321">
        <v>0</v>
      </c>
      <c r="BW321" t="str">
        <f>"19:07:18.823"</f>
        <v>19:07:18.823</v>
      </c>
      <c r="BX321" t="s">
        <v>119</v>
      </c>
      <c r="BY321" t="s">
        <v>120</v>
      </c>
      <c r="CJ321">
        <v>0</v>
      </c>
      <c r="CK321">
        <v>0</v>
      </c>
      <c r="CL321">
        <v>0</v>
      </c>
      <c r="CM321">
        <v>2</v>
      </c>
      <c r="CN321">
        <v>0</v>
      </c>
      <c r="CO321">
        <v>7</v>
      </c>
      <c r="CP321" t="s">
        <v>121</v>
      </c>
      <c r="CQ321">
        <v>582</v>
      </c>
      <c r="CR321">
        <v>0</v>
      </c>
      <c r="CW321">
        <v>5725330</v>
      </c>
      <c r="CY321">
        <v>0</v>
      </c>
      <c r="CZ321">
        <v>0</v>
      </c>
      <c r="DA321">
        <v>0</v>
      </c>
      <c r="DB321">
        <v>1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</row>
    <row r="322" spans="1:113" x14ac:dyDescent="0.3">
      <c r="A322" t="str">
        <f>"06/16/2022 19:07:20.219"</f>
        <v>06/16/2022 19:07:20.219</v>
      </c>
      <c r="C322" t="str">
        <f t="shared" ref="C322:C385" si="15">"FFBF5BC0"</f>
        <v>FFBF5BC0</v>
      </c>
      <c r="D322" t="s">
        <v>113</v>
      </c>
      <c r="E322">
        <v>8</v>
      </c>
      <c r="H322">
        <v>206</v>
      </c>
      <c r="I322" t="s">
        <v>114</v>
      </c>
      <c r="J322" t="s">
        <v>115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>"19:07:19.703"</f>
        <v>19:07:19.703</v>
      </c>
      <c r="T322" t="str">
        <f>"19:07:19.703"</f>
        <v>19:07:19.703</v>
      </c>
      <c r="U322" t="str">
        <f t="shared" ref="U322:U385" si="16">"AB63B2"</f>
        <v>AB63B2</v>
      </c>
      <c r="V322">
        <v>0</v>
      </c>
      <c r="W322">
        <v>0</v>
      </c>
      <c r="X322">
        <v>6</v>
      </c>
      <c r="Z322">
        <v>0</v>
      </c>
      <c r="AA322">
        <v>9</v>
      </c>
      <c r="AB322">
        <v>3</v>
      </c>
      <c r="AC322">
        <v>0</v>
      </c>
      <c r="AD322">
        <v>10</v>
      </c>
      <c r="AE322">
        <v>0</v>
      </c>
      <c r="AF322">
        <v>0</v>
      </c>
      <c r="AG322">
        <v>2</v>
      </c>
      <c r="AH322">
        <v>0</v>
      </c>
      <c r="AI322" t="s">
        <v>292</v>
      </c>
      <c r="AJ322">
        <v>41.981420999999997</v>
      </c>
      <c r="AK322" t="s">
        <v>293</v>
      </c>
      <c r="AL322">
        <v>-87.893778999999995</v>
      </c>
      <c r="AS322">
        <v>1</v>
      </c>
      <c r="AT322" t="s">
        <v>118</v>
      </c>
      <c r="AU322" t="b">
        <v>1</v>
      </c>
      <c r="AV322">
        <v>135</v>
      </c>
      <c r="AW322">
        <v>15.125</v>
      </c>
      <c r="AX322">
        <v>1</v>
      </c>
      <c r="AZ322">
        <v>7205</v>
      </c>
      <c r="BA322">
        <v>1</v>
      </c>
      <c r="BB322" t="str">
        <f t="shared" ref="BB322:BB385" si="17">"KAP400  "</f>
        <v xml:space="preserve">KAP400  </v>
      </c>
      <c r="BC322">
        <v>1</v>
      </c>
      <c r="BE322">
        <v>0</v>
      </c>
      <c r="BF322">
        <v>0</v>
      </c>
      <c r="BG322">
        <v>0</v>
      </c>
      <c r="BI322">
        <v>1</v>
      </c>
      <c r="BJ322">
        <v>1</v>
      </c>
      <c r="BK322">
        <v>1</v>
      </c>
      <c r="BL322">
        <v>0</v>
      </c>
      <c r="BO322">
        <v>0</v>
      </c>
      <c r="BP322">
        <v>0</v>
      </c>
      <c r="BW322" t="str">
        <f>"19:07:19.705"</f>
        <v>19:07:19.705</v>
      </c>
      <c r="BX322" t="s">
        <v>119</v>
      </c>
      <c r="BY322" t="s">
        <v>120</v>
      </c>
      <c r="CJ322">
        <v>0</v>
      </c>
      <c r="CK322">
        <v>0</v>
      </c>
      <c r="CL322">
        <v>0</v>
      </c>
      <c r="CM322">
        <v>2</v>
      </c>
      <c r="CN322">
        <v>0</v>
      </c>
      <c r="CO322">
        <v>5</v>
      </c>
      <c r="CP322" t="s">
        <v>121</v>
      </c>
      <c r="CQ322">
        <v>581</v>
      </c>
      <c r="CR322">
        <v>0</v>
      </c>
      <c r="CW322">
        <v>14768563</v>
      </c>
      <c r="CY322">
        <v>0</v>
      </c>
      <c r="CZ322">
        <v>0</v>
      </c>
      <c r="DA322">
        <v>0</v>
      </c>
      <c r="DB322">
        <v>1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</row>
    <row r="323" spans="1:113" x14ac:dyDescent="0.3">
      <c r="A323" t="str">
        <f>"06/16/2022 19:07:21.517"</f>
        <v>06/16/2022 19:07:21.517</v>
      </c>
      <c r="C323" t="str">
        <f t="shared" si="15"/>
        <v>FFBF5BC0</v>
      </c>
      <c r="D323" t="s">
        <v>113</v>
      </c>
      <c r="E323">
        <v>8</v>
      </c>
      <c r="H323">
        <v>206</v>
      </c>
      <c r="I323" t="s">
        <v>114</v>
      </c>
      <c r="J323" t="s">
        <v>115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>"19:07:21.320"</f>
        <v>19:07:21.320</v>
      </c>
      <c r="T323" t="str">
        <f>"19:07:21.320"</f>
        <v>19:07:21.320</v>
      </c>
      <c r="U323" t="str">
        <f t="shared" si="16"/>
        <v>AB63B2</v>
      </c>
      <c r="V323">
        <v>0</v>
      </c>
      <c r="W323">
        <v>0</v>
      </c>
      <c r="X323">
        <v>6</v>
      </c>
      <c r="Z323">
        <v>0</v>
      </c>
      <c r="AA323">
        <v>9</v>
      </c>
      <c r="AB323">
        <v>3</v>
      </c>
      <c r="AC323">
        <v>0</v>
      </c>
      <c r="AD323">
        <v>10</v>
      </c>
      <c r="AE323">
        <v>0</v>
      </c>
      <c r="AF323">
        <v>0</v>
      </c>
      <c r="AG323">
        <v>2</v>
      </c>
      <c r="AH323">
        <v>0</v>
      </c>
      <c r="AI323" t="s">
        <v>294</v>
      </c>
      <c r="AJ323">
        <v>41.981335000000001</v>
      </c>
      <c r="AK323" t="s">
        <v>295</v>
      </c>
      <c r="AL323">
        <v>-87.893671999999995</v>
      </c>
      <c r="AS323">
        <v>1</v>
      </c>
      <c r="AT323" t="s">
        <v>118</v>
      </c>
      <c r="AU323" t="b">
        <v>1</v>
      </c>
      <c r="AV323">
        <v>132.19</v>
      </c>
      <c r="AW323">
        <v>15.125</v>
      </c>
      <c r="AX323">
        <v>1</v>
      </c>
      <c r="AZ323">
        <v>7205</v>
      </c>
      <c r="BA323">
        <v>1</v>
      </c>
      <c r="BB323" t="str">
        <f t="shared" si="17"/>
        <v xml:space="preserve">KAP400  </v>
      </c>
      <c r="BC323">
        <v>1</v>
      </c>
      <c r="BE323">
        <v>0</v>
      </c>
      <c r="BF323">
        <v>0</v>
      </c>
      <c r="BG323">
        <v>0</v>
      </c>
      <c r="BI323">
        <v>1</v>
      </c>
      <c r="BJ323">
        <v>1</v>
      </c>
      <c r="BK323">
        <v>1</v>
      </c>
      <c r="BL323">
        <v>0</v>
      </c>
      <c r="BO323">
        <v>0</v>
      </c>
      <c r="BP323">
        <v>0</v>
      </c>
      <c r="BW323" t="str">
        <f>"19:07:21.325"</f>
        <v>19:07:21.325</v>
      </c>
      <c r="BX323" t="s">
        <v>119</v>
      </c>
      <c r="BY323" t="s">
        <v>120</v>
      </c>
      <c r="CJ323">
        <v>0</v>
      </c>
      <c r="CK323">
        <v>0</v>
      </c>
      <c r="CL323">
        <v>0</v>
      </c>
      <c r="CM323">
        <v>2</v>
      </c>
      <c r="CN323">
        <v>0</v>
      </c>
      <c r="CO323">
        <v>7</v>
      </c>
      <c r="CP323" t="s">
        <v>121</v>
      </c>
      <c r="CQ323">
        <v>582</v>
      </c>
      <c r="CR323">
        <v>0</v>
      </c>
      <c r="CW323">
        <v>5728993</v>
      </c>
      <c r="CY323">
        <v>0</v>
      </c>
      <c r="CZ323">
        <v>0</v>
      </c>
      <c r="DA323">
        <v>0</v>
      </c>
      <c r="DB323">
        <v>1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</row>
    <row r="324" spans="1:113" x14ac:dyDescent="0.3">
      <c r="A324" t="str">
        <f>"06/16/2022 19:07:22.672"</f>
        <v>06/16/2022 19:07:22.672</v>
      </c>
      <c r="C324" t="str">
        <f t="shared" si="15"/>
        <v>FFBF5BC0</v>
      </c>
      <c r="D324" t="s">
        <v>113</v>
      </c>
      <c r="E324">
        <v>8</v>
      </c>
      <c r="H324">
        <v>206</v>
      </c>
      <c r="I324" t="s">
        <v>114</v>
      </c>
      <c r="J324" t="s">
        <v>115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>"19:07:22.297"</f>
        <v>19:07:22.297</v>
      </c>
      <c r="T324" t="str">
        <f>"19:07:22.297"</f>
        <v>19:07:22.297</v>
      </c>
      <c r="U324" t="str">
        <f t="shared" si="16"/>
        <v>AB63B2</v>
      </c>
      <c r="V324">
        <v>0</v>
      </c>
      <c r="W324">
        <v>0</v>
      </c>
      <c r="X324">
        <v>6</v>
      </c>
      <c r="Z324">
        <v>0</v>
      </c>
      <c r="AA324">
        <v>9</v>
      </c>
      <c r="AB324">
        <v>3</v>
      </c>
      <c r="AC324">
        <v>0</v>
      </c>
      <c r="AD324">
        <v>10</v>
      </c>
      <c r="AE324">
        <v>0</v>
      </c>
      <c r="AF324">
        <v>0</v>
      </c>
      <c r="AG324">
        <v>2</v>
      </c>
      <c r="AH324">
        <v>0</v>
      </c>
      <c r="AI324" t="s">
        <v>296</v>
      </c>
      <c r="AJ324">
        <v>41.981292000000003</v>
      </c>
      <c r="AK324" t="s">
        <v>297</v>
      </c>
      <c r="AL324">
        <v>-87.893608</v>
      </c>
      <c r="AS324">
        <v>1</v>
      </c>
      <c r="AT324" t="s">
        <v>118</v>
      </c>
      <c r="AU324" t="b">
        <v>1</v>
      </c>
      <c r="AV324">
        <v>135</v>
      </c>
      <c r="AW324">
        <v>15.125</v>
      </c>
      <c r="AX324">
        <v>1</v>
      </c>
      <c r="AZ324">
        <v>7205</v>
      </c>
      <c r="BA324">
        <v>1</v>
      </c>
      <c r="BB324" t="str">
        <f t="shared" si="17"/>
        <v xml:space="preserve">KAP400  </v>
      </c>
      <c r="BC324">
        <v>1</v>
      </c>
      <c r="BE324">
        <v>0</v>
      </c>
      <c r="BF324">
        <v>0</v>
      </c>
      <c r="BG324">
        <v>0</v>
      </c>
      <c r="BI324">
        <v>1</v>
      </c>
      <c r="BJ324">
        <v>1</v>
      </c>
      <c r="BK324">
        <v>1</v>
      </c>
      <c r="BL324">
        <v>0</v>
      </c>
      <c r="BO324">
        <v>0</v>
      </c>
      <c r="BP324">
        <v>0</v>
      </c>
      <c r="BW324" t="str">
        <f>"19:07:22.302"</f>
        <v>19:07:22.302</v>
      </c>
      <c r="BX324" t="s">
        <v>119</v>
      </c>
      <c r="BY324" t="s">
        <v>120</v>
      </c>
      <c r="CJ324">
        <v>0</v>
      </c>
      <c r="CK324">
        <v>0</v>
      </c>
      <c r="CL324">
        <v>0</v>
      </c>
      <c r="CM324">
        <v>2</v>
      </c>
      <c r="CN324">
        <v>0</v>
      </c>
      <c r="CO324">
        <v>7</v>
      </c>
      <c r="CP324" t="s">
        <v>121</v>
      </c>
      <c r="CQ324">
        <v>582</v>
      </c>
      <c r="CR324">
        <v>0</v>
      </c>
      <c r="CW324">
        <v>5730341</v>
      </c>
      <c r="CY324">
        <v>0</v>
      </c>
      <c r="CZ324">
        <v>0</v>
      </c>
      <c r="DA324">
        <v>0</v>
      </c>
      <c r="DB324">
        <v>1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</row>
    <row r="325" spans="1:113" x14ac:dyDescent="0.3">
      <c r="A325" t="str">
        <f>"06/16/2022 19:07:23.782"</f>
        <v>06/16/2022 19:07:23.782</v>
      </c>
      <c r="C325" t="str">
        <f t="shared" si="15"/>
        <v>FFBF5BC0</v>
      </c>
      <c r="D325" t="s">
        <v>113</v>
      </c>
      <c r="E325">
        <v>8</v>
      </c>
      <c r="H325">
        <v>206</v>
      </c>
      <c r="I325" t="s">
        <v>114</v>
      </c>
      <c r="J325" t="s">
        <v>115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>"19:07:23.445"</f>
        <v>19:07:23.445</v>
      </c>
      <c r="T325" t="str">
        <f>"19:07:23.445"</f>
        <v>19:07:23.445</v>
      </c>
      <c r="U325" t="str">
        <f t="shared" si="16"/>
        <v>AB63B2</v>
      </c>
      <c r="V325">
        <v>0</v>
      </c>
      <c r="W325">
        <v>0</v>
      </c>
      <c r="X325">
        <v>6</v>
      </c>
      <c r="Z325">
        <v>0</v>
      </c>
      <c r="AA325">
        <v>9</v>
      </c>
      <c r="AB325">
        <v>3</v>
      </c>
      <c r="AC325">
        <v>0</v>
      </c>
      <c r="AD325">
        <v>10</v>
      </c>
      <c r="AE325">
        <v>0</v>
      </c>
      <c r="AF325">
        <v>0</v>
      </c>
      <c r="AG325">
        <v>2</v>
      </c>
      <c r="AH325">
        <v>0</v>
      </c>
      <c r="AI325" t="s">
        <v>298</v>
      </c>
      <c r="AJ325">
        <v>41.981248999999998</v>
      </c>
      <c r="AK325" t="s">
        <v>299</v>
      </c>
      <c r="AL325">
        <v>-87.893522000000004</v>
      </c>
      <c r="AS325">
        <v>1</v>
      </c>
      <c r="AT325" t="s">
        <v>118</v>
      </c>
      <c r="AU325" t="b">
        <v>1</v>
      </c>
      <c r="AV325">
        <v>135</v>
      </c>
      <c r="AW325">
        <v>14.625</v>
      </c>
      <c r="AX325">
        <v>1</v>
      </c>
      <c r="AZ325">
        <v>7205</v>
      </c>
      <c r="BA325">
        <v>1</v>
      </c>
      <c r="BB325" t="str">
        <f t="shared" si="17"/>
        <v xml:space="preserve">KAP400  </v>
      </c>
      <c r="BC325">
        <v>1</v>
      </c>
      <c r="BE325">
        <v>0</v>
      </c>
      <c r="BF325">
        <v>0</v>
      </c>
      <c r="BG325">
        <v>0</v>
      </c>
      <c r="BI325">
        <v>1</v>
      </c>
      <c r="BJ325">
        <v>1</v>
      </c>
      <c r="BK325">
        <v>1</v>
      </c>
      <c r="BL325">
        <v>0</v>
      </c>
      <c r="BO325">
        <v>0</v>
      </c>
      <c r="BP325">
        <v>0</v>
      </c>
      <c r="BW325" t="str">
        <f>"19:07:23.449"</f>
        <v>19:07:23.449</v>
      </c>
      <c r="BX325" t="s">
        <v>119</v>
      </c>
      <c r="BY325" t="s">
        <v>120</v>
      </c>
      <c r="CJ325">
        <v>0</v>
      </c>
      <c r="CK325">
        <v>0</v>
      </c>
      <c r="CL325">
        <v>0</v>
      </c>
      <c r="CM325">
        <v>2</v>
      </c>
      <c r="CN325">
        <v>0</v>
      </c>
      <c r="CO325">
        <v>7</v>
      </c>
      <c r="CP325" t="s">
        <v>121</v>
      </c>
      <c r="CQ325">
        <v>582</v>
      </c>
      <c r="CR325">
        <v>0</v>
      </c>
      <c r="CW325">
        <v>5731931</v>
      </c>
      <c r="CY325">
        <v>0</v>
      </c>
      <c r="CZ325">
        <v>0</v>
      </c>
      <c r="DA325">
        <v>0</v>
      </c>
      <c r="DB325">
        <v>1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</row>
    <row r="326" spans="1:113" x14ac:dyDescent="0.3">
      <c r="A326" t="str">
        <f>"06/16/2022 19:07:24.673"</f>
        <v>06/16/2022 19:07:24.673</v>
      </c>
      <c r="C326" t="str">
        <f t="shared" si="15"/>
        <v>FFBF5BC0</v>
      </c>
      <c r="D326" t="s">
        <v>113</v>
      </c>
      <c r="E326">
        <v>8</v>
      </c>
      <c r="H326">
        <v>206</v>
      </c>
      <c r="I326" t="s">
        <v>114</v>
      </c>
      <c r="J326" t="s">
        <v>115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>"19:07:24.359"</f>
        <v>19:07:24.359</v>
      </c>
      <c r="T326" t="str">
        <f>"19:07:24.359"</f>
        <v>19:07:24.359</v>
      </c>
      <c r="U326" t="str">
        <f t="shared" si="16"/>
        <v>AB63B2</v>
      </c>
      <c r="V326">
        <v>0</v>
      </c>
      <c r="W326">
        <v>0</v>
      </c>
      <c r="X326">
        <v>6</v>
      </c>
      <c r="Z326">
        <v>0</v>
      </c>
      <c r="AA326">
        <v>9</v>
      </c>
      <c r="AB326">
        <v>3</v>
      </c>
      <c r="AC326">
        <v>0</v>
      </c>
      <c r="AD326">
        <v>10</v>
      </c>
      <c r="AE326">
        <v>0</v>
      </c>
      <c r="AF326">
        <v>0</v>
      </c>
      <c r="AG326">
        <v>2</v>
      </c>
      <c r="AH326">
        <v>0</v>
      </c>
      <c r="AI326" t="s">
        <v>300</v>
      </c>
      <c r="AJ326">
        <v>41.981183999999999</v>
      </c>
      <c r="AK326" t="s">
        <v>301</v>
      </c>
      <c r="AL326">
        <v>-87.893456999999998</v>
      </c>
      <c r="AS326">
        <v>1</v>
      </c>
      <c r="AT326" t="s">
        <v>118</v>
      </c>
      <c r="AU326" t="b">
        <v>1</v>
      </c>
      <c r="AV326">
        <v>137.81</v>
      </c>
      <c r="AW326">
        <v>14.125</v>
      </c>
      <c r="AX326">
        <v>1</v>
      </c>
      <c r="AZ326">
        <v>7205</v>
      </c>
      <c r="BA326">
        <v>1</v>
      </c>
      <c r="BB326" t="str">
        <f t="shared" si="17"/>
        <v xml:space="preserve">KAP400  </v>
      </c>
      <c r="BC326">
        <v>1</v>
      </c>
      <c r="BE326">
        <v>0</v>
      </c>
      <c r="BF326">
        <v>0</v>
      </c>
      <c r="BG326">
        <v>0</v>
      </c>
      <c r="BI326">
        <v>1</v>
      </c>
      <c r="BJ326">
        <v>1</v>
      </c>
      <c r="BK326">
        <v>1</v>
      </c>
      <c r="BL326">
        <v>0</v>
      </c>
      <c r="BO326">
        <v>0</v>
      </c>
      <c r="BP326">
        <v>0</v>
      </c>
      <c r="BW326" t="str">
        <f>"19:07:24.365"</f>
        <v>19:07:24.365</v>
      </c>
      <c r="BX326" t="s">
        <v>119</v>
      </c>
      <c r="BY326" t="s">
        <v>120</v>
      </c>
      <c r="CJ326">
        <v>0</v>
      </c>
      <c r="CK326">
        <v>0</v>
      </c>
      <c r="CL326">
        <v>0</v>
      </c>
      <c r="CM326">
        <v>2</v>
      </c>
      <c r="CN326">
        <v>0</v>
      </c>
      <c r="CO326">
        <v>7</v>
      </c>
      <c r="CP326" t="s">
        <v>121</v>
      </c>
      <c r="CQ326">
        <v>582</v>
      </c>
      <c r="CR326">
        <v>0</v>
      </c>
      <c r="CW326">
        <v>5733165</v>
      </c>
      <c r="CY326">
        <v>0</v>
      </c>
      <c r="CZ326">
        <v>0</v>
      </c>
      <c r="DA326">
        <v>0</v>
      </c>
      <c r="DB326">
        <v>1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</row>
    <row r="327" spans="1:113" x14ac:dyDescent="0.3">
      <c r="A327" t="str">
        <f>"06/16/2022 19:07:25.736"</f>
        <v>06/16/2022 19:07:25.736</v>
      </c>
      <c r="C327" t="str">
        <f t="shared" si="15"/>
        <v>FFBF5BC0</v>
      </c>
      <c r="D327" t="s">
        <v>113</v>
      </c>
      <c r="E327">
        <v>8</v>
      </c>
      <c r="H327">
        <v>206</v>
      </c>
      <c r="I327" t="s">
        <v>114</v>
      </c>
      <c r="J327" t="s">
        <v>115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>"19:07:25.430"</f>
        <v>19:07:25.430</v>
      </c>
      <c r="T327" t="str">
        <f>"19:07:25.430"</f>
        <v>19:07:25.430</v>
      </c>
      <c r="U327" t="str">
        <f t="shared" si="16"/>
        <v>AB63B2</v>
      </c>
      <c r="V327">
        <v>0</v>
      </c>
      <c r="W327">
        <v>0</v>
      </c>
      <c r="X327">
        <v>6</v>
      </c>
      <c r="Z327">
        <v>0</v>
      </c>
      <c r="AA327">
        <v>9</v>
      </c>
      <c r="AB327">
        <v>3</v>
      </c>
      <c r="AC327">
        <v>0</v>
      </c>
      <c r="AD327">
        <v>10</v>
      </c>
      <c r="AE327">
        <v>0</v>
      </c>
      <c r="AF327">
        <v>0</v>
      </c>
      <c r="AG327">
        <v>2</v>
      </c>
      <c r="AH327">
        <v>0</v>
      </c>
      <c r="AI327" t="s">
        <v>302</v>
      </c>
      <c r="AJ327">
        <v>41.981141999999998</v>
      </c>
      <c r="AK327" t="s">
        <v>303</v>
      </c>
      <c r="AL327">
        <v>-87.893414000000007</v>
      </c>
      <c r="AS327">
        <v>1</v>
      </c>
      <c r="AT327" t="s">
        <v>118</v>
      </c>
      <c r="AU327" t="b">
        <v>1</v>
      </c>
      <c r="AV327">
        <v>140.63</v>
      </c>
      <c r="AW327">
        <v>14.125</v>
      </c>
      <c r="AX327">
        <v>1</v>
      </c>
      <c r="AZ327">
        <v>7205</v>
      </c>
      <c r="BA327">
        <v>1</v>
      </c>
      <c r="BB327" t="str">
        <f t="shared" si="17"/>
        <v xml:space="preserve">KAP400  </v>
      </c>
      <c r="BC327">
        <v>1</v>
      </c>
      <c r="BE327">
        <v>0</v>
      </c>
      <c r="BF327">
        <v>0</v>
      </c>
      <c r="BG327">
        <v>0</v>
      </c>
      <c r="BI327">
        <v>1</v>
      </c>
      <c r="BJ327">
        <v>1</v>
      </c>
      <c r="BK327">
        <v>1</v>
      </c>
      <c r="BL327">
        <v>0</v>
      </c>
      <c r="BO327">
        <v>0</v>
      </c>
      <c r="BP327">
        <v>0</v>
      </c>
      <c r="BW327" t="str">
        <f>"19:07:25.433"</f>
        <v>19:07:25.433</v>
      </c>
      <c r="BX327" t="s">
        <v>119</v>
      </c>
      <c r="BY327" t="s">
        <v>120</v>
      </c>
      <c r="CJ327">
        <v>0</v>
      </c>
      <c r="CK327">
        <v>0</v>
      </c>
      <c r="CL327">
        <v>0</v>
      </c>
      <c r="CM327">
        <v>2</v>
      </c>
      <c r="CN327">
        <v>0</v>
      </c>
      <c r="CO327">
        <v>7</v>
      </c>
      <c r="CP327" t="s">
        <v>121</v>
      </c>
      <c r="CQ327">
        <v>582</v>
      </c>
      <c r="CR327">
        <v>0</v>
      </c>
      <c r="CW327">
        <v>5734773</v>
      </c>
      <c r="CY327">
        <v>0</v>
      </c>
      <c r="CZ327">
        <v>0</v>
      </c>
      <c r="DA327">
        <v>0</v>
      </c>
      <c r="DB327">
        <v>1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</row>
    <row r="328" spans="1:113" x14ac:dyDescent="0.3">
      <c r="A328" t="str">
        <f>"06/16/2022 19:07:26.859"</f>
        <v>06/16/2022 19:07:26.859</v>
      </c>
      <c r="C328" t="str">
        <f t="shared" si="15"/>
        <v>FFBF5BC0</v>
      </c>
      <c r="D328" t="s">
        <v>113</v>
      </c>
      <c r="E328">
        <v>8</v>
      </c>
      <c r="H328">
        <v>206</v>
      </c>
      <c r="I328" t="s">
        <v>114</v>
      </c>
      <c r="J328" t="s">
        <v>115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>"19:07:26.531"</f>
        <v>19:07:26.531</v>
      </c>
      <c r="T328" t="str">
        <f>"19:07:26.531"</f>
        <v>19:07:26.531</v>
      </c>
      <c r="U328" t="str">
        <f t="shared" si="16"/>
        <v>AB63B2</v>
      </c>
      <c r="V328">
        <v>0</v>
      </c>
      <c r="W328">
        <v>0</v>
      </c>
      <c r="X328">
        <v>6</v>
      </c>
      <c r="Z328">
        <v>0</v>
      </c>
      <c r="AA328">
        <v>9</v>
      </c>
      <c r="AB328">
        <v>3</v>
      </c>
      <c r="AC328">
        <v>0</v>
      </c>
      <c r="AD328">
        <v>10</v>
      </c>
      <c r="AE328">
        <v>0</v>
      </c>
      <c r="AF328">
        <v>0</v>
      </c>
      <c r="AG328">
        <v>2</v>
      </c>
      <c r="AH328">
        <v>0</v>
      </c>
      <c r="AI328" t="s">
        <v>304</v>
      </c>
      <c r="AJ328">
        <v>41.981099</v>
      </c>
      <c r="AK328" t="s">
        <v>305</v>
      </c>
      <c r="AL328">
        <v>-87.893349999999998</v>
      </c>
      <c r="AS328">
        <v>1</v>
      </c>
      <c r="AT328" t="s">
        <v>118</v>
      </c>
      <c r="AU328" t="b">
        <v>1</v>
      </c>
      <c r="AV328">
        <v>146.25</v>
      </c>
      <c r="AW328">
        <v>14.125</v>
      </c>
      <c r="AX328">
        <v>1</v>
      </c>
      <c r="AZ328">
        <v>7205</v>
      </c>
      <c r="BA328">
        <v>1</v>
      </c>
      <c r="BB328" t="str">
        <f t="shared" si="17"/>
        <v xml:space="preserve">KAP400  </v>
      </c>
      <c r="BC328">
        <v>1</v>
      </c>
      <c r="BE328">
        <v>0</v>
      </c>
      <c r="BF328">
        <v>0</v>
      </c>
      <c r="BG328">
        <v>0</v>
      </c>
      <c r="BI328">
        <v>1</v>
      </c>
      <c r="BJ328">
        <v>1</v>
      </c>
      <c r="BK328">
        <v>1</v>
      </c>
      <c r="BL328">
        <v>0</v>
      </c>
      <c r="BO328">
        <v>0</v>
      </c>
      <c r="BP328">
        <v>0</v>
      </c>
      <c r="BW328" t="str">
        <f>"19:07:26.537"</f>
        <v>19:07:26.537</v>
      </c>
      <c r="BX328" t="s">
        <v>119</v>
      </c>
      <c r="BY328" t="s">
        <v>120</v>
      </c>
      <c r="CJ328">
        <v>0</v>
      </c>
      <c r="CK328">
        <v>0</v>
      </c>
      <c r="CL328">
        <v>0</v>
      </c>
      <c r="CM328">
        <v>2</v>
      </c>
      <c r="CN328">
        <v>0</v>
      </c>
      <c r="CO328">
        <v>7</v>
      </c>
      <c r="CP328" t="s">
        <v>121</v>
      </c>
      <c r="CQ328">
        <v>582</v>
      </c>
      <c r="CR328">
        <v>0</v>
      </c>
      <c r="CW328">
        <v>5736415</v>
      </c>
      <c r="CY328">
        <v>0</v>
      </c>
      <c r="CZ328">
        <v>0</v>
      </c>
      <c r="DA328">
        <v>0</v>
      </c>
      <c r="DB328">
        <v>1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</row>
    <row r="329" spans="1:113" x14ac:dyDescent="0.3">
      <c r="A329" t="str">
        <f>"06/16/2022 19:07:27.797"</f>
        <v>06/16/2022 19:07:27.797</v>
      </c>
      <c r="C329" t="str">
        <f t="shared" si="15"/>
        <v>FFBF5BC0</v>
      </c>
      <c r="D329" t="s">
        <v>113</v>
      </c>
      <c r="E329">
        <v>8</v>
      </c>
      <c r="H329">
        <v>206</v>
      </c>
      <c r="I329" t="s">
        <v>114</v>
      </c>
      <c r="J329" t="s">
        <v>115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>"19:07:27.594"</f>
        <v>19:07:27.594</v>
      </c>
      <c r="T329" t="str">
        <f>"19:07:27.594"</f>
        <v>19:07:27.594</v>
      </c>
      <c r="U329" t="str">
        <f t="shared" si="16"/>
        <v>AB63B2</v>
      </c>
      <c r="V329">
        <v>0</v>
      </c>
      <c r="W329">
        <v>0</v>
      </c>
      <c r="X329">
        <v>6</v>
      </c>
      <c r="Z329">
        <v>0</v>
      </c>
      <c r="AA329">
        <v>9</v>
      </c>
      <c r="AB329">
        <v>3</v>
      </c>
      <c r="AC329">
        <v>0</v>
      </c>
      <c r="AD329">
        <v>10</v>
      </c>
      <c r="AE329">
        <v>0</v>
      </c>
      <c r="AF329">
        <v>0</v>
      </c>
      <c r="AG329">
        <v>2</v>
      </c>
      <c r="AH329">
        <v>0</v>
      </c>
      <c r="AI329" t="s">
        <v>306</v>
      </c>
      <c r="AJ329">
        <v>41.981034000000001</v>
      </c>
      <c r="AK329" t="s">
        <v>307</v>
      </c>
      <c r="AL329">
        <v>-87.893306999999993</v>
      </c>
      <c r="AS329">
        <v>1</v>
      </c>
      <c r="AT329" t="s">
        <v>118</v>
      </c>
      <c r="AU329" t="b">
        <v>1</v>
      </c>
      <c r="AV329">
        <v>157.5</v>
      </c>
      <c r="AW329">
        <v>14.125</v>
      </c>
      <c r="AX329">
        <v>1</v>
      </c>
      <c r="AZ329">
        <v>7205</v>
      </c>
      <c r="BA329">
        <v>1</v>
      </c>
      <c r="BB329" t="str">
        <f t="shared" si="17"/>
        <v xml:space="preserve">KAP400  </v>
      </c>
      <c r="BC329">
        <v>1</v>
      </c>
      <c r="BE329">
        <v>0</v>
      </c>
      <c r="BF329">
        <v>0</v>
      </c>
      <c r="BG329">
        <v>0</v>
      </c>
      <c r="BI329">
        <v>1</v>
      </c>
      <c r="BJ329">
        <v>1</v>
      </c>
      <c r="BK329">
        <v>1</v>
      </c>
      <c r="BL329">
        <v>0</v>
      </c>
      <c r="BO329">
        <v>0</v>
      </c>
      <c r="BP329">
        <v>0</v>
      </c>
      <c r="BW329" t="str">
        <f>"19:07:27.596"</f>
        <v>19:07:27.596</v>
      </c>
      <c r="BX329" t="s">
        <v>119</v>
      </c>
      <c r="BY329" t="s">
        <v>120</v>
      </c>
      <c r="CJ329">
        <v>0</v>
      </c>
      <c r="CK329">
        <v>0</v>
      </c>
      <c r="CL329">
        <v>0</v>
      </c>
      <c r="CM329">
        <v>2</v>
      </c>
      <c r="CN329">
        <v>0</v>
      </c>
      <c r="CO329">
        <v>7</v>
      </c>
      <c r="CP329" t="s">
        <v>121</v>
      </c>
      <c r="CQ329">
        <v>582</v>
      </c>
      <c r="CR329">
        <v>0</v>
      </c>
      <c r="CW329">
        <v>5737824</v>
      </c>
      <c r="CY329">
        <v>0</v>
      </c>
      <c r="CZ329">
        <v>0</v>
      </c>
      <c r="DA329">
        <v>0</v>
      </c>
      <c r="DB329">
        <v>1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</row>
    <row r="330" spans="1:113" x14ac:dyDescent="0.3">
      <c r="A330" t="str">
        <f>"06/16/2022 19:07:28.875"</f>
        <v>06/16/2022 19:07:28.875</v>
      </c>
      <c r="C330" t="str">
        <f t="shared" si="15"/>
        <v>FFBF5BC0</v>
      </c>
      <c r="D330" t="s">
        <v>113</v>
      </c>
      <c r="E330">
        <v>8</v>
      </c>
      <c r="H330">
        <v>206</v>
      </c>
      <c r="I330" t="s">
        <v>114</v>
      </c>
      <c r="J330" t="s">
        <v>115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>"19:07:28.594"</f>
        <v>19:07:28.594</v>
      </c>
      <c r="T330" t="str">
        <f>"19:07:28.594"</f>
        <v>19:07:28.594</v>
      </c>
      <c r="U330" t="str">
        <f t="shared" si="16"/>
        <v>AB63B2</v>
      </c>
      <c r="V330">
        <v>0</v>
      </c>
      <c r="W330">
        <v>0</v>
      </c>
      <c r="X330">
        <v>6</v>
      </c>
      <c r="Z330">
        <v>0</v>
      </c>
      <c r="AA330">
        <v>9</v>
      </c>
      <c r="AB330">
        <v>3</v>
      </c>
      <c r="AC330">
        <v>0</v>
      </c>
      <c r="AD330">
        <v>10</v>
      </c>
      <c r="AE330">
        <v>0</v>
      </c>
      <c r="AF330">
        <v>0</v>
      </c>
      <c r="AG330">
        <v>2</v>
      </c>
      <c r="AH330">
        <v>0</v>
      </c>
      <c r="AI330" t="s">
        <v>308</v>
      </c>
      <c r="AJ330">
        <v>41.980969999999999</v>
      </c>
      <c r="AK330" t="s">
        <v>309</v>
      </c>
      <c r="AL330">
        <v>-87.893286000000003</v>
      </c>
      <c r="AS330">
        <v>1</v>
      </c>
      <c r="AT330" t="s">
        <v>118</v>
      </c>
      <c r="AU330" t="b">
        <v>1</v>
      </c>
      <c r="AV330">
        <v>165.94</v>
      </c>
      <c r="AW330">
        <v>14.125</v>
      </c>
      <c r="AX330">
        <v>1</v>
      </c>
      <c r="AZ330">
        <v>7205</v>
      </c>
      <c r="BA330">
        <v>1</v>
      </c>
      <c r="BB330" t="str">
        <f t="shared" si="17"/>
        <v xml:space="preserve">KAP400  </v>
      </c>
      <c r="BC330">
        <v>1</v>
      </c>
      <c r="BE330">
        <v>0</v>
      </c>
      <c r="BF330">
        <v>0</v>
      </c>
      <c r="BG330">
        <v>0</v>
      </c>
      <c r="BI330">
        <v>1</v>
      </c>
      <c r="BJ330">
        <v>1</v>
      </c>
      <c r="BK330">
        <v>1</v>
      </c>
      <c r="BL330">
        <v>0</v>
      </c>
      <c r="BO330">
        <v>0</v>
      </c>
      <c r="BP330">
        <v>0</v>
      </c>
      <c r="BW330" t="str">
        <f>"19:07:28.600"</f>
        <v>19:07:28.600</v>
      </c>
      <c r="BX330" t="s">
        <v>119</v>
      </c>
      <c r="BY330" t="s">
        <v>120</v>
      </c>
      <c r="CJ330">
        <v>0</v>
      </c>
      <c r="CK330">
        <v>0</v>
      </c>
      <c r="CL330">
        <v>0</v>
      </c>
      <c r="CM330">
        <v>2</v>
      </c>
      <c r="CN330">
        <v>0</v>
      </c>
      <c r="CO330">
        <v>6</v>
      </c>
      <c r="CP330" t="s">
        <v>121</v>
      </c>
      <c r="CQ330">
        <v>582</v>
      </c>
      <c r="CR330">
        <v>0</v>
      </c>
      <c r="CW330">
        <v>5739126</v>
      </c>
      <c r="CY330">
        <v>0</v>
      </c>
      <c r="CZ330">
        <v>0</v>
      </c>
      <c r="DA330">
        <v>0</v>
      </c>
      <c r="DB330">
        <v>1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</row>
    <row r="331" spans="1:113" x14ac:dyDescent="0.3">
      <c r="A331" t="str">
        <f>"06/16/2022 19:07:29.859"</f>
        <v>06/16/2022 19:07:29.859</v>
      </c>
      <c r="C331" t="str">
        <f t="shared" si="15"/>
        <v>FFBF5BC0</v>
      </c>
      <c r="D331" t="s">
        <v>113</v>
      </c>
      <c r="E331">
        <v>8</v>
      </c>
      <c r="H331">
        <v>206</v>
      </c>
      <c r="I331" t="s">
        <v>114</v>
      </c>
      <c r="J331" t="s">
        <v>115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>"19:07:29.547"</f>
        <v>19:07:29.547</v>
      </c>
      <c r="T331" t="str">
        <f>"19:07:29.547"</f>
        <v>19:07:29.547</v>
      </c>
      <c r="U331" t="str">
        <f t="shared" si="16"/>
        <v>AB63B2</v>
      </c>
      <c r="V331">
        <v>0</v>
      </c>
      <c r="W331">
        <v>0</v>
      </c>
      <c r="X331">
        <v>6</v>
      </c>
      <c r="Z331">
        <v>0</v>
      </c>
      <c r="AA331">
        <v>9</v>
      </c>
      <c r="AB331">
        <v>3</v>
      </c>
      <c r="AC331">
        <v>0</v>
      </c>
      <c r="AD331">
        <v>10</v>
      </c>
      <c r="AE331">
        <v>0</v>
      </c>
      <c r="AF331">
        <v>0</v>
      </c>
      <c r="AG331">
        <v>2</v>
      </c>
      <c r="AH331">
        <v>0</v>
      </c>
      <c r="AI331" t="s">
        <v>310</v>
      </c>
      <c r="AJ331">
        <v>41.980905999999997</v>
      </c>
      <c r="AK331" t="s">
        <v>311</v>
      </c>
      <c r="AL331">
        <v>-87.893264000000002</v>
      </c>
      <c r="AS331">
        <v>1</v>
      </c>
      <c r="AT331" t="s">
        <v>118</v>
      </c>
      <c r="AU331" t="b">
        <v>1</v>
      </c>
      <c r="AV331">
        <v>174.38</v>
      </c>
      <c r="AW331">
        <v>14.125</v>
      </c>
      <c r="AX331">
        <v>1</v>
      </c>
      <c r="AZ331">
        <v>7205</v>
      </c>
      <c r="BA331">
        <v>1</v>
      </c>
      <c r="BB331" t="str">
        <f t="shared" si="17"/>
        <v xml:space="preserve">KAP400  </v>
      </c>
      <c r="BC331">
        <v>1</v>
      </c>
      <c r="BE331">
        <v>0</v>
      </c>
      <c r="BF331">
        <v>0</v>
      </c>
      <c r="BG331">
        <v>0</v>
      </c>
      <c r="BI331">
        <v>1</v>
      </c>
      <c r="BJ331">
        <v>1</v>
      </c>
      <c r="BK331">
        <v>1</v>
      </c>
      <c r="BL331">
        <v>0</v>
      </c>
      <c r="BO331">
        <v>0</v>
      </c>
      <c r="BP331">
        <v>0</v>
      </c>
      <c r="BW331" t="str">
        <f>"19:07:29.550"</f>
        <v>19:07:29.550</v>
      </c>
      <c r="BX331" t="s">
        <v>119</v>
      </c>
      <c r="BY331" t="s">
        <v>120</v>
      </c>
      <c r="CJ331">
        <v>0</v>
      </c>
      <c r="CK331">
        <v>0</v>
      </c>
      <c r="CL331">
        <v>0</v>
      </c>
      <c r="CM331">
        <v>2</v>
      </c>
      <c r="CN331">
        <v>0</v>
      </c>
      <c r="CO331">
        <v>7</v>
      </c>
      <c r="CP331" t="s">
        <v>121</v>
      </c>
      <c r="CQ331">
        <v>582</v>
      </c>
      <c r="CR331">
        <v>0</v>
      </c>
      <c r="CW331">
        <v>5740399</v>
      </c>
      <c r="CY331">
        <v>0</v>
      </c>
      <c r="CZ331">
        <v>0</v>
      </c>
      <c r="DA331">
        <v>0</v>
      </c>
      <c r="DB331">
        <v>1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</row>
    <row r="332" spans="1:113" x14ac:dyDescent="0.3">
      <c r="A332" t="str">
        <f>"06/16/2022 19:07:30.719"</f>
        <v>06/16/2022 19:07:30.719</v>
      </c>
      <c r="C332" t="str">
        <f t="shared" si="15"/>
        <v>FFBF5BC0</v>
      </c>
      <c r="D332" t="s">
        <v>113</v>
      </c>
      <c r="E332">
        <v>8</v>
      </c>
      <c r="H332">
        <v>206</v>
      </c>
      <c r="I332" t="s">
        <v>114</v>
      </c>
      <c r="J332" t="s">
        <v>115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>"19:07:30.484"</f>
        <v>19:07:30.484</v>
      </c>
      <c r="T332" t="str">
        <f>"19:07:30.484"</f>
        <v>19:07:30.484</v>
      </c>
      <c r="U332" t="str">
        <f t="shared" si="16"/>
        <v>AB63B2</v>
      </c>
      <c r="V332">
        <v>0</v>
      </c>
      <c r="W332">
        <v>0</v>
      </c>
      <c r="X332">
        <v>6</v>
      </c>
      <c r="Z332">
        <v>0</v>
      </c>
      <c r="AA332">
        <v>9</v>
      </c>
      <c r="AB332">
        <v>3</v>
      </c>
      <c r="AC332">
        <v>0</v>
      </c>
      <c r="AD332">
        <v>10</v>
      </c>
      <c r="AE332">
        <v>0</v>
      </c>
      <c r="AF332">
        <v>0</v>
      </c>
      <c r="AG332">
        <v>2</v>
      </c>
      <c r="AH332">
        <v>0</v>
      </c>
      <c r="AI332" t="s">
        <v>312</v>
      </c>
      <c r="AJ332">
        <v>41.980862999999999</v>
      </c>
      <c r="AK332" t="s">
        <v>311</v>
      </c>
      <c r="AL332">
        <v>-87.893264000000002</v>
      </c>
      <c r="AS332">
        <v>1</v>
      </c>
      <c r="AT332" t="s">
        <v>118</v>
      </c>
      <c r="AU332" t="b">
        <v>1</v>
      </c>
      <c r="AV332">
        <v>182.81</v>
      </c>
      <c r="AW332">
        <v>14.125</v>
      </c>
      <c r="AX332">
        <v>1</v>
      </c>
      <c r="AZ332">
        <v>7205</v>
      </c>
      <c r="BA332">
        <v>1</v>
      </c>
      <c r="BB332" t="str">
        <f t="shared" si="17"/>
        <v xml:space="preserve">KAP400  </v>
      </c>
      <c r="BC332">
        <v>1</v>
      </c>
      <c r="BE332">
        <v>0</v>
      </c>
      <c r="BF332">
        <v>0</v>
      </c>
      <c r="BG332">
        <v>0</v>
      </c>
      <c r="BI332">
        <v>1</v>
      </c>
      <c r="BJ332">
        <v>1</v>
      </c>
      <c r="BK332">
        <v>1</v>
      </c>
      <c r="BL332">
        <v>0</v>
      </c>
      <c r="BO332">
        <v>0</v>
      </c>
      <c r="BP332">
        <v>0</v>
      </c>
      <c r="BW332" t="str">
        <f>"19:07:30.486"</f>
        <v>19:07:30.486</v>
      </c>
      <c r="BX332" t="s">
        <v>119</v>
      </c>
      <c r="BY332" t="s">
        <v>120</v>
      </c>
      <c r="CJ332">
        <v>0</v>
      </c>
      <c r="CK332">
        <v>0</v>
      </c>
      <c r="CL332">
        <v>0</v>
      </c>
      <c r="CM332">
        <v>2</v>
      </c>
      <c r="CN332">
        <v>0</v>
      </c>
      <c r="CO332">
        <v>6</v>
      </c>
      <c r="CP332" t="s">
        <v>121</v>
      </c>
      <c r="CQ332">
        <v>582</v>
      </c>
      <c r="CR332">
        <v>0</v>
      </c>
      <c r="CW332">
        <v>5741829</v>
      </c>
      <c r="CY332">
        <v>0</v>
      </c>
      <c r="CZ332">
        <v>0</v>
      </c>
      <c r="DA332">
        <v>0</v>
      </c>
      <c r="DB332">
        <v>1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</row>
    <row r="333" spans="1:113" x14ac:dyDescent="0.3">
      <c r="A333" t="str">
        <f>"06/16/2022 19:07:31.891"</f>
        <v>06/16/2022 19:07:31.891</v>
      </c>
      <c r="C333" t="str">
        <f t="shared" si="15"/>
        <v>FFBF5BC0</v>
      </c>
      <c r="D333" t="s">
        <v>113</v>
      </c>
      <c r="E333">
        <v>8</v>
      </c>
      <c r="H333">
        <v>206</v>
      </c>
      <c r="I333" t="s">
        <v>114</v>
      </c>
      <c r="J333" t="s">
        <v>115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>"19:07:31.609"</f>
        <v>19:07:31.609</v>
      </c>
      <c r="T333" t="str">
        <f>"19:07:31.609"</f>
        <v>19:07:31.609</v>
      </c>
      <c r="U333" t="str">
        <f t="shared" si="16"/>
        <v>AB63B2</v>
      </c>
      <c r="V333">
        <v>0</v>
      </c>
      <c r="W333">
        <v>0</v>
      </c>
      <c r="X333">
        <v>6</v>
      </c>
      <c r="Z333">
        <v>0</v>
      </c>
      <c r="AA333">
        <v>9</v>
      </c>
      <c r="AB333">
        <v>3</v>
      </c>
      <c r="AC333">
        <v>0</v>
      </c>
      <c r="AD333">
        <v>10</v>
      </c>
      <c r="AE333">
        <v>0</v>
      </c>
      <c r="AF333">
        <v>0</v>
      </c>
      <c r="AG333">
        <v>2</v>
      </c>
      <c r="AH333">
        <v>0</v>
      </c>
      <c r="AI333" t="s">
        <v>313</v>
      </c>
      <c r="AJ333">
        <v>41.980777000000003</v>
      </c>
      <c r="AK333" t="s">
        <v>311</v>
      </c>
      <c r="AL333">
        <v>-87.893264000000002</v>
      </c>
      <c r="AS333">
        <v>1</v>
      </c>
      <c r="AT333" t="s">
        <v>118</v>
      </c>
      <c r="AU333" t="b">
        <v>1</v>
      </c>
      <c r="AV333">
        <v>191.25</v>
      </c>
      <c r="AW333">
        <v>14.125</v>
      </c>
      <c r="AX333">
        <v>1</v>
      </c>
      <c r="AZ333">
        <v>7205</v>
      </c>
      <c r="BA333">
        <v>1</v>
      </c>
      <c r="BB333" t="str">
        <f t="shared" si="17"/>
        <v xml:space="preserve">KAP400  </v>
      </c>
      <c r="BC333">
        <v>1</v>
      </c>
      <c r="BE333">
        <v>0</v>
      </c>
      <c r="BF333">
        <v>0</v>
      </c>
      <c r="BG333">
        <v>0</v>
      </c>
      <c r="BI333">
        <v>1</v>
      </c>
      <c r="BJ333">
        <v>1</v>
      </c>
      <c r="BK333">
        <v>1</v>
      </c>
      <c r="BL333">
        <v>0</v>
      </c>
      <c r="BO333">
        <v>0</v>
      </c>
      <c r="BP333">
        <v>0</v>
      </c>
      <c r="BW333" t="str">
        <f>"19:07:31.610"</f>
        <v>19:07:31.610</v>
      </c>
      <c r="BX333" t="s">
        <v>119</v>
      </c>
      <c r="BY333" t="s">
        <v>120</v>
      </c>
      <c r="CJ333">
        <v>0</v>
      </c>
      <c r="CK333">
        <v>0</v>
      </c>
      <c r="CL333">
        <v>0</v>
      </c>
      <c r="CM333">
        <v>2</v>
      </c>
      <c r="CN333">
        <v>0</v>
      </c>
      <c r="CO333">
        <v>5</v>
      </c>
      <c r="CP333" t="s">
        <v>121</v>
      </c>
      <c r="CQ333">
        <v>582</v>
      </c>
      <c r="CR333">
        <v>0</v>
      </c>
      <c r="CW333">
        <v>5743459</v>
      </c>
      <c r="CY333">
        <v>0</v>
      </c>
      <c r="CZ333">
        <v>0</v>
      </c>
      <c r="DA333">
        <v>0</v>
      </c>
      <c r="DB333">
        <v>1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</row>
    <row r="334" spans="1:113" x14ac:dyDescent="0.3">
      <c r="A334" t="str">
        <f>"06/16/2022 19:07:32.735"</f>
        <v>06/16/2022 19:07:32.735</v>
      </c>
      <c r="C334" t="str">
        <f t="shared" si="15"/>
        <v>FFBF5BC0</v>
      </c>
      <c r="D334" t="s">
        <v>113</v>
      </c>
      <c r="E334">
        <v>8</v>
      </c>
      <c r="H334">
        <v>206</v>
      </c>
      <c r="I334" t="s">
        <v>114</v>
      </c>
      <c r="J334" t="s">
        <v>115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>"19:07:32.523"</f>
        <v>19:07:32.523</v>
      </c>
      <c r="T334" t="str">
        <f>"19:07:32.523"</f>
        <v>19:07:32.523</v>
      </c>
      <c r="U334" t="str">
        <f t="shared" si="16"/>
        <v>AB63B2</v>
      </c>
      <c r="V334">
        <v>0</v>
      </c>
      <c r="W334">
        <v>0</v>
      </c>
      <c r="X334">
        <v>6</v>
      </c>
      <c r="Z334">
        <v>0</v>
      </c>
      <c r="AA334">
        <v>9</v>
      </c>
      <c r="AB334">
        <v>3</v>
      </c>
      <c r="AC334">
        <v>0</v>
      </c>
      <c r="AD334">
        <v>10</v>
      </c>
      <c r="AE334">
        <v>0</v>
      </c>
      <c r="AF334">
        <v>0</v>
      </c>
      <c r="AG334">
        <v>2</v>
      </c>
      <c r="AH334">
        <v>0</v>
      </c>
      <c r="AI334" t="s">
        <v>314</v>
      </c>
      <c r="AJ334">
        <v>41.980733999999998</v>
      </c>
      <c r="AK334" t="s">
        <v>309</v>
      </c>
      <c r="AL334">
        <v>-87.893286000000003</v>
      </c>
      <c r="AS334">
        <v>1</v>
      </c>
      <c r="AT334" t="s">
        <v>118</v>
      </c>
      <c r="AU334" t="b">
        <v>1</v>
      </c>
      <c r="AV334">
        <v>199.69</v>
      </c>
      <c r="AW334">
        <v>14.125</v>
      </c>
      <c r="AX334">
        <v>1</v>
      </c>
      <c r="AZ334">
        <v>7205</v>
      </c>
      <c r="BA334">
        <v>1</v>
      </c>
      <c r="BB334" t="str">
        <f t="shared" si="17"/>
        <v xml:space="preserve">KAP400  </v>
      </c>
      <c r="BC334">
        <v>1</v>
      </c>
      <c r="BE334">
        <v>0</v>
      </c>
      <c r="BF334">
        <v>0</v>
      </c>
      <c r="BG334">
        <v>0</v>
      </c>
      <c r="BI334">
        <v>1</v>
      </c>
      <c r="BJ334">
        <v>1</v>
      </c>
      <c r="BK334">
        <v>1</v>
      </c>
      <c r="BL334">
        <v>0</v>
      </c>
      <c r="BO334">
        <v>0</v>
      </c>
      <c r="BP334">
        <v>0</v>
      </c>
      <c r="BW334" t="str">
        <f>"19:07:32.524"</f>
        <v>19:07:32.524</v>
      </c>
      <c r="BX334" t="s">
        <v>119</v>
      </c>
      <c r="BY334" t="s">
        <v>120</v>
      </c>
      <c r="CJ334">
        <v>0</v>
      </c>
      <c r="CK334">
        <v>0</v>
      </c>
      <c r="CL334">
        <v>0</v>
      </c>
      <c r="CM334">
        <v>2</v>
      </c>
      <c r="CN334">
        <v>0</v>
      </c>
      <c r="CO334">
        <v>6</v>
      </c>
      <c r="CP334" t="s">
        <v>121</v>
      </c>
      <c r="CQ334">
        <v>582</v>
      </c>
      <c r="CR334">
        <v>0</v>
      </c>
      <c r="CW334">
        <v>5744724</v>
      </c>
      <c r="CY334">
        <v>0</v>
      </c>
      <c r="CZ334">
        <v>0</v>
      </c>
      <c r="DA334">
        <v>0</v>
      </c>
      <c r="DB334">
        <v>1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</row>
    <row r="335" spans="1:113" x14ac:dyDescent="0.3">
      <c r="A335" t="str">
        <f>"06/16/2022 19:07:34.266"</f>
        <v>06/16/2022 19:07:34.266</v>
      </c>
      <c r="C335" t="str">
        <f t="shared" si="15"/>
        <v>FFBF5BC0</v>
      </c>
      <c r="D335" t="s">
        <v>113</v>
      </c>
      <c r="E335">
        <v>8</v>
      </c>
      <c r="H335">
        <v>206</v>
      </c>
      <c r="I335" t="s">
        <v>114</v>
      </c>
      <c r="J335" t="s">
        <v>115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>"19:07:33.891"</f>
        <v>19:07:33.891</v>
      </c>
      <c r="T335" t="str">
        <f>"19:07:33.891"</f>
        <v>19:07:33.891</v>
      </c>
      <c r="U335" t="str">
        <f t="shared" si="16"/>
        <v>AB63B2</v>
      </c>
      <c r="V335">
        <v>0</v>
      </c>
      <c r="W335">
        <v>0</v>
      </c>
      <c r="X335">
        <v>6</v>
      </c>
      <c r="Z335">
        <v>0</v>
      </c>
      <c r="AA335">
        <v>9</v>
      </c>
      <c r="AB335">
        <v>3</v>
      </c>
      <c r="AC335">
        <v>0</v>
      </c>
      <c r="AD335">
        <v>10</v>
      </c>
      <c r="AE335">
        <v>0</v>
      </c>
      <c r="AF335">
        <v>0</v>
      </c>
      <c r="AG335">
        <v>2</v>
      </c>
      <c r="AH335">
        <v>0</v>
      </c>
      <c r="AI335" t="s">
        <v>315</v>
      </c>
      <c r="AJ335">
        <v>41.980648000000002</v>
      </c>
      <c r="AK335" t="s">
        <v>305</v>
      </c>
      <c r="AL335">
        <v>-87.893349999999998</v>
      </c>
      <c r="AS335">
        <v>1</v>
      </c>
      <c r="AT335" t="s">
        <v>118</v>
      </c>
      <c r="AU335" t="b">
        <v>1</v>
      </c>
      <c r="AV335">
        <v>210.94</v>
      </c>
      <c r="AW335">
        <v>13.625</v>
      </c>
      <c r="AX335">
        <v>1</v>
      </c>
      <c r="AZ335">
        <v>7205</v>
      </c>
      <c r="BA335">
        <v>1</v>
      </c>
      <c r="BB335" t="str">
        <f t="shared" si="17"/>
        <v xml:space="preserve">KAP400  </v>
      </c>
      <c r="BC335">
        <v>1</v>
      </c>
      <c r="BE335">
        <v>0</v>
      </c>
      <c r="BF335">
        <v>0</v>
      </c>
      <c r="BG335">
        <v>0</v>
      </c>
      <c r="BI335">
        <v>1</v>
      </c>
      <c r="BJ335">
        <v>1</v>
      </c>
      <c r="BK335">
        <v>1</v>
      </c>
      <c r="BL335">
        <v>0</v>
      </c>
      <c r="BO335">
        <v>0</v>
      </c>
      <c r="BP335">
        <v>0</v>
      </c>
      <c r="BW335" t="str">
        <f>"19:07:33.895"</f>
        <v>19:07:33.895</v>
      </c>
      <c r="BX335" t="s">
        <v>119</v>
      </c>
      <c r="BY335" t="s">
        <v>120</v>
      </c>
      <c r="CJ335">
        <v>0</v>
      </c>
      <c r="CK335">
        <v>0</v>
      </c>
      <c r="CL335">
        <v>0</v>
      </c>
      <c r="CM335">
        <v>2</v>
      </c>
      <c r="CN335">
        <v>0</v>
      </c>
      <c r="CO335">
        <v>5</v>
      </c>
      <c r="CP335" t="s">
        <v>121</v>
      </c>
      <c r="CQ335">
        <v>580</v>
      </c>
      <c r="CR335">
        <v>0</v>
      </c>
      <c r="CW335">
        <v>16506902</v>
      </c>
      <c r="CY335">
        <v>0</v>
      </c>
      <c r="CZ335">
        <v>0</v>
      </c>
      <c r="DA335">
        <v>0</v>
      </c>
      <c r="DB335">
        <v>1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</row>
    <row r="336" spans="1:113" x14ac:dyDescent="0.3">
      <c r="A336" t="str">
        <f>"06/16/2022 19:07:35.047"</f>
        <v>06/16/2022 19:07:35.047</v>
      </c>
      <c r="C336" t="str">
        <f t="shared" si="15"/>
        <v>FFBF5BC0</v>
      </c>
      <c r="D336" t="s">
        <v>113</v>
      </c>
      <c r="E336">
        <v>8</v>
      </c>
      <c r="H336">
        <v>206</v>
      </c>
      <c r="I336" t="s">
        <v>114</v>
      </c>
      <c r="J336" t="s">
        <v>115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>"19:07:34.844"</f>
        <v>19:07:34.844</v>
      </c>
      <c r="T336" t="str">
        <f>"19:07:34.844"</f>
        <v>19:07:34.844</v>
      </c>
      <c r="U336" t="str">
        <f t="shared" si="16"/>
        <v>AB63B2</v>
      </c>
      <c r="V336">
        <v>0</v>
      </c>
      <c r="W336">
        <v>0</v>
      </c>
      <c r="X336">
        <v>6</v>
      </c>
      <c r="Z336">
        <v>0</v>
      </c>
      <c r="AA336">
        <v>9</v>
      </c>
      <c r="AB336">
        <v>3</v>
      </c>
      <c r="AC336">
        <v>0</v>
      </c>
      <c r="AD336">
        <v>10</v>
      </c>
      <c r="AE336">
        <v>0</v>
      </c>
      <c r="AF336">
        <v>0</v>
      </c>
      <c r="AG336">
        <v>2</v>
      </c>
      <c r="AH336">
        <v>0</v>
      </c>
      <c r="AI336" t="s">
        <v>316</v>
      </c>
      <c r="AJ336">
        <v>41.980604999999997</v>
      </c>
      <c r="AK336" t="s">
        <v>317</v>
      </c>
      <c r="AL336">
        <v>-87.893371999999999</v>
      </c>
      <c r="AS336">
        <v>1</v>
      </c>
      <c r="AT336" t="s">
        <v>118</v>
      </c>
      <c r="AU336" t="b">
        <v>1</v>
      </c>
      <c r="AV336">
        <v>219.38</v>
      </c>
      <c r="AW336">
        <v>13.625</v>
      </c>
      <c r="AX336">
        <v>1</v>
      </c>
      <c r="AZ336">
        <v>7205</v>
      </c>
      <c r="BA336">
        <v>1</v>
      </c>
      <c r="BB336" t="str">
        <f t="shared" si="17"/>
        <v xml:space="preserve">KAP400  </v>
      </c>
      <c r="BC336">
        <v>1</v>
      </c>
      <c r="BE336">
        <v>0</v>
      </c>
      <c r="BF336">
        <v>0</v>
      </c>
      <c r="BG336">
        <v>0</v>
      </c>
      <c r="BI336">
        <v>1</v>
      </c>
      <c r="BJ336">
        <v>1</v>
      </c>
      <c r="BK336">
        <v>1</v>
      </c>
      <c r="BL336">
        <v>0</v>
      </c>
      <c r="BO336">
        <v>0</v>
      </c>
      <c r="BP336">
        <v>0</v>
      </c>
      <c r="BW336" t="str">
        <f>"19:07:34.844"</f>
        <v>19:07:34.844</v>
      </c>
      <c r="BX336" t="s">
        <v>119</v>
      </c>
      <c r="BY336" t="s">
        <v>120</v>
      </c>
      <c r="CJ336">
        <v>0</v>
      </c>
      <c r="CK336">
        <v>0</v>
      </c>
      <c r="CL336">
        <v>0</v>
      </c>
      <c r="CM336">
        <v>2</v>
      </c>
      <c r="CN336">
        <v>0</v>
      </c>
      <c r="CO336">
        <v>6</v>
      </c>
      <c r="CP336" t="s">
        <v>121</v>
      </c>
      <c r="CQ336">
        <v>581</v>
      </c>
      <c r="CR336">
        <v>0</v>
      </c>
      <c r="CW336">
        <v>14791891</v>
      </c>
      <c r="CY336">
        <v>0</v>
      </c>
      <c r="CZ336">
        <v>0</v>
      </c>
      <c r="DA336">
        <v>0</v>
      </c>
      <c r="DB336">
        <v>1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</row>
    <row r="337" spans="1:113" x14ac:dyDescent="0.3">
      <c r="A337" t="str">
        <f>"06/16/2022 19:07:36.047"</f>
        <v>06/16/2022 19:07:36.047</v>
      </c>
      <c r="C337" t="str">
        <f t="shared" si="15"/>
        <v>FFBF5BC0</v>
      </c>
      <c r="D337" t="s">
        <v>113</v>
      </c>
      <c r="E337">
        <v>8</v>
      </c>
      <c r="H337">
        <v>206</v>
      </c>
      <c r="I337" t="s">
        <v>114</v>
      </c>
      <c r="J337" t="s">
        <v>115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>"19:07:35.797"</f>
        <v>19:07:35.797</v>
      </c>
      <c r="T337" t="str">
        <f>"19:07:35.797"</f>
        <v>19:07:35.797</v>
      </c>
      <c r="U337" t="str">
        <f t="shared" si="16"/>
        <v>AB63B2</v>
      </c>
      <c r="V337">
        <v>0</v>
      </c>
      <c r="W337">
        <v>0</v>
      </c>
      <c r="X337">
        <v>6</v>
      </c>
      <c r="Z337">
        <v>0</v>
      </c>
      <c r="AA337">
        <v>9</v>
      </c>
      <c r="AB337">
        <v>3</v>
      </c>
      <c r="AC337">
        <v>0</v>
      </c>
      <c r="AD337">
        <v>10</v>
      </c>
      <c r="AE337">
        <v>0</v>
      </c>
      <c r="AF337">
        <v>0</v>
      </c>
      <c r="AG337">
        <v>2</v>
      </c>
      <c r="AH337">
        <v>0</v>
      </c>
      <c r="AI337" t="s">
        <v>318</v>
      </c>
      <c r="AJ337">
        <v>41.980561999999999</v>
      </c>
      <c r="AK337" t="s">
        <v>303</v>
      </c>
      <c r="AL337">
        <v>-87.893414000000007</v>
      </c>
      <c r="AS337">
        <v>1</v>
      </c>
      <c r="AT337" t="s">
        <v>118</v>
      </c>
      <c r="AU337" t="b">
        <v>1</v>
      </c>
      <c r="AV337">
        <v>227.81</v>
      </c>
      <c r="AW337">
        <v>13.625</v>
      </c>
      <c r="AX337">
        <v>1</v>
      </c>
      <c r="AZ337">
        <v>7205</v>
      </c>
      <c r="BA337">
        <v>1</v>
      </c>
      <c r="BB337" t="str">
        <f t="shared" si="17"/>
        <v xml:space="preserve">KAP400  </v>
      </c>
      <c r="BC337">
        <v>1</v>
      </c>
      <c r="BE337">
        <v>0</v>
      </c>
      <c r="BF337">
        <v>0</v>
      </c>
      <c r="BG337">
        <v>0</v>
      </c>
      <c r="BI337">
        <v>1</v>
      </c>
      <c r="BJ337">
        <v>1</v>
      </c>
      <c r="BK337">
        <v>1</v>
      </c>
      <c r="BL337">
        <v>0</v>
      </c>
      <c r="BO337">
        <v>0</v>
      </c>
      <c r="BP337">
        <v>0</v>
      </c>
      <c r="BW337" t="str">
        <f>"19:07:35.802"</f>
        <v>19:07:35.802</v>
      </c>
      <c r="BX337" t="s">
        <v>119</v>
      </c>
      <c r="BY337" t="s">
        <v>120</v>
      </c>
      <c r="CJ337">
        <v>0</v>
      </c>
      <c r="CK337">
        <v>0</v>
      </c>
      <c r="CL337">
        <v>0</v>
      </c>
      <c r="CM337">
        <v>2</v>
      </c>
      <c r="CN337">
        <v>0</v>
      </c>
      <c r="CO337">
        <v>7</v>
      </c>
      <c r="CP337" t="s">
        <v>121</v>
      </c>
      <c r="CQ337">
        <v>582</v>
      </c>
      <c r="CR337">
        <v>0</v>
      </c>
      <c r="CW337">
        <v>5749488</v>
      </c>
      <c r="CY337">
        <v>0</v>
      </c>
      <c r="CZ337">
        <v>0</v>
      </c>
      <c r="DA337">
        <v>0</v>
      </c>
      <c r="DB337">
        <v>1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</row>
    <row r="338" spans="1:113" x14ac:dyDescent="0.3">
      <c r="A338" t="str">
        <f>"06/16/2022 19:07:37.172"</f>
        <v>06/16/2022 19:07:37.172</v>
      </c>
      <c r="C338" t="str">
        <f t="shared" si="15"/>
        <v>FFBF5BC0</v>
      </c>
      <c r="D338" t="s">
        <v>113</v>
      </c>
      <c r="E338">
        <v>8</v>
      </c>
      <c r="H338">
        <v>206</v>
      </c>
      <c r="I338" t="s">
        <v>114</v>
      </c>
      <c r="J338" t="s">
        <v>115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>"19:07:36.883"</f>
        <v>19:07:36.883</v>
      </c>
      <c r="T338" t="str">
        <f>"19:07:36.883"</f>
        <v>19:07:36.883</v>
      </c>
      <c r="U338" t="str">
        <f t="shared" si="16"/>
        <v>AB63B2</v>
      </c>
      <c r="V338">
        <v>0</v>
      </c>
      <c r="W338">
        <v>0</v>
      </c>
      <c r="X338">
        <v>6</v>
      </c>
      <c r="Z338">
        <v>0</v>
      </c>
      <c r="AA338">
        <v>9</v>
      </c>
      <c r="AB338">
        <v>3</v>
      </c>
      <c r="AC338">
        <v>0</v>
      </c>
      <c r="AD338">
        <v>10</v>
      </c>
      <c r="AE338">
        <v>0</v>
      </c>
      <c r="AF338">
        <v>0</v>
      </c>
      <c r="AG338">
        <v>2</v>
      </c>
      <c r="AH338">
        <v>0</v>
      </c>
      <c r="AI338" t="s">
        <v>319</v>
      </c>
      <c r="AJ338">
        <v>41.980519000000001</v>
      </c>
      <c r="AK338" t="s">
        <v>320</v>
      </c>
      <c r="AL338">
        <v>-87.893500000000003</v>
      </c>
      <c r="AS338">
        <v>1</v>
      </c>
      <c r="AT338" t="s">
        <v>118</v>
      </c>
      <c r="AU338" t="b">
        <v>1</v>
      </c>
      <c r="AV338">
        <v>230.63</v>
      </c>
      <c r="AW338">
        <v>13.625</v>
      </c>
      <c r="AX338">
        <v>1</v>
      </c>
      <c r="AZ338">
        <v>7205</v>
      </c>
      <c r="BA338">
        <v>1</v>
      </c>
      <c r="BB338" t="str">
        <f t="shared" si="17"/>
        <v xml:space="preserve">KAP400  </v>
      </c>
      <c r="BC338">
        <v>1</v>
      </c>
      <c r="BE338">
        <v>0</v>
      </c>
      <c r="BF338">
        <v>0</v>
      </c>
      <c r="BG338">
        <v>0</v>
      </c>
      <c r="BI338">
        <v>1</v>
      </c>
      <c r="BJ338">
        <v>1</v>
      </c>
      <c r="BK338">
        <v>1</v>
      </c>
      <c r="BL338">
        <v>0</v>
      </c>
      <c r="BO338">
        <v>0</v>
      </c>
      <c r="BP338">
        <v>0</v>
      </c>
      <c r="BW338" t="str">
        <f>"19:07:36.884"</f>
        <v>19:07:36.884</v>
      </c>
      <c r="BX338" t="s">
        <v>119</v>
      </c>
      <c r="BY338" t="s">
        <v>120</v>
      </c>
      <c r="CJ338">
        <v>0</v>
      </c>
      <c r="CK338">
        <v>0</v>
      </c>
      <c r="CL338">
        <v>0</v>
      </c>
      <c r="CM338">
        <v>2</v>
      </c>
      <c r="CN338">
        <v>0</v>
      </c>
      <c r="CO338">
        <v>7</v>
      </c>
      <c r="CP338" t="s">
        <v>121</v>
      </c>
      <c r="CQ338">
        <v>582</v>
      </c>
      <c r="CR338">
        <v>0</v>
      </c>
      <c r="CW338">
        <v>5751060</v>
      </c>
      <c r="CY338">
        <v>0</v>
      </c>
      <c r="CZ338">
        <v>0</v>
      </c>
      <c r="DA338">
        <v>0</v>
      </c>
      <c r="DB338">
        <v>1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</row>
    <row r="339" spans="1:113" x14ac:dyDescent="0.3">
      <c r="A339" t="str">
        <f>"06/16/2022 19:07:38.094"</f>
        <v>06/16/2022 19:07:38.094</v>
      </c>
      <c r="C339" t="str">
        <f t="shared" si="15"/>
        <v>FFBF5BC0</v>
      </c>
      <c r="D339" t="s">
        <v>113</v>
      </c>
      <c r="E339">
        <v>8</v>
      </c>
      <c r="H339">
        <v>206</v>
      </c>
      <c r="I339" t="s">
        <v>114</v>
      </c>
      <c r="J339" t="s">
        <v>115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>"19:07:37.813"</f>
        <v>19:07:37.813</v>
      </c>
      <c r="T339" t="str">
        <f>"19:07:37.813"</f>
        <v>19:07:37.813</v>
      </c>
      <c r="U339" t="str">
        <f t="shared" si="16"/>
        <v>AB63B2</v>
      </c>
      <c r="V339">
        <v>0</v>
      </c>
      <c r="W339">
        <v>0</v>
      </c>
      <c r="X339">
        <v>6</v>
      </c>
      <c r="Z339">
        <v>0</v>
      </c>
      <c r="AA339">
        <v>9</v>
      </c>
      <c r="AB339">
        <v>3</v>
      </c>
      <c r="AC339">
        <v>0</v>
      </c>
      <c r="AD339">
        <v>10</v>
      </c>
      <c r="AE339">
        <v>0</v>
      </c>
      <c r="AF339">
        <v>0</v>
      </c>
      <c r="AG339">
        <v>2</v>
      </c>
      <c r="AH339">
        <v>0</v>
      </c>
      <c r="AI339" t="s">
        <v>321</v>
      </c>
      <c r="AJ339">
        <v>41.980476000000003</v>
      </c>
      <c r="AK339" t="s">
        <v>322</v>
      </c>
      <c r="AL339">
        <v>-87.893542999999994</v>
      </c>
      <c r="AS339">
        <v>1</v>
      </c>
      <c r="AT339" t="s">
        <v>118</v>
      </c>
      <c r="AU339" t="b">
        <v>1</v>
      </c>
      <c r="AV339">
        <v>230.63</v>
      </c>
      <c r="AW339">
        <v>13.625</v>
      </c>
      <c r="AX339">
        <v>1</v>
      </c>
      <c r="AZ339">
        <v>7205</v>
      </c>
      <c r="BA339">
        <v>1</v>
      </c>
      <c r="BB339" t="str">
        <f t="shared" si="17"/>
        <v xml:space="preserve">KAP400  </v>
      </c>
      <c r="BC339">
        <v>1</v>
      </c>
      <c r="BE339">
        <v>0</v>
      </c>
      <c r="BF339">
        <v>0</v>
      </c>
      <c r="BG339">
        <v>0</v>
      </c>
      <c r="BI339">
        <v>1</v>
      </c>
      <c r="BJ339">
        <v>1</v>
      </c>
      <c r="BK339">
        <v>1</v>
      </c>
      <c r="BL339">
        <v>0</v>
      </c>
      <c r="BO339">
        <v>0</v>
      </c>
      <c r="BP339">
        <v>0</v>
      </c>
      <c r="BW339" t="str">
        <f>"19:07:37.814"</f>
        <v>19:07:37.814</v>
      </c>
      <c r="BX339" t="s">
        <v>119</v>
      </c>
      <c r="BY339" t="s">
        <v>120</v>
      </c>
      <c r="CJ339">
        <v>0</v>
      </c>
      <c r="CK339">
        <v>0</v>
      </c>
      <c r="CL339">
        <v>0</v>
      </c>
      <c r="CM339">
        <v>2</v>
      </c>
      <c r="CN339">
        <v>0</v>
      </c>
      <c r="CO339">
        <v>7</v>
      </c>
      <c r="CP339" t="s">
        <v>121</v>
      </c>
      <c r="CQ339">
        <v>581</v>
      </c>
      <c r="CR339">
        <v>0</v>
      </c>
      <c r="CW339">
        <v>14796429</v>
      </c>
      <c r="CY339">
        <v>0</v>
      </c>
      <c r="CZ339">
        <v>0</v>
      </c>
      <c r="DA339">
        <v>0</v>
      </c>
      <c r="DB339">
        <v>1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</row>
    <row r="340" spans="1:113" x14ac:dyDescent="0.3">
      <c r="A340" t="str">
        <f>"06/16/2022 19:07:39.157"</f>
        <v>06/16/2022 19:07:39.157</v>
      </c>
      <c r="C340" t="str">
        <f t="shared" si="15"/>
        <v>FFBF5BC0</v>
      </c>
      <c r="D340" t="s">
        <v>113</v>
      </c>
      <c r="E340">
        <v>8</v>
      </c>
      <c r="H340">
        <v>206</v>
      </c>
      <c r="I340" t="s">
        <v>114</v>
      </c>
      <c r="J340" t="s">
        <v>115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>"19:07:38.922"</f>
        <v>19:07:38.922</v>
      </c>
      <c r="T340" t="str">
        <f>"19:07:38.922"</f>
        <v>19:07:38.922</v>
      </c>
      <c r="U340" t="str">
        <f t="shared" si="16"/>
        <v>AB63B2</v>
      </c>
      <c r="V340">
        <v>0</v>
      </c>
      <c r="W340">
        <v>0</v>
      </c>
      <c r="X340">
        <v>6</v>
      </c>
      <c r="Z340">
        <v>0</v>
      </c>
      <c r="AA340">
        <v>9</v>
      </c>
      <c r="AB340">
        <v>3</v>
      </c>
      <c r="AC340">
        <v>0</v>
      </c>
      <c r="AD340">
        <v>10</v>
      </c>
      <c r="AE340">
        <v>0</v>
      </c>
      <c r="AF340">
        <v>0</v>
      </c>
      <c r="AG340">
        <v>2</v>
      </c>
      <c r="AH340">
        <v>0</v>
      </c>
      <c r="AI340" t="s">
        <v>323</v>
      </c>
      <c r="AJ340">
        <v>41.980432999999998</v>
      </c>
      <c r="AK340" t="s">
        <v>324</v>
      </c>
      <c r="AL340">
        <v>-87.893629000000004</v>
      </c>
      <c r="AS340">
        <v>1</v>
      </c>
      <c r="AT340" t="s">
        <v>118</v>
      </c>
      <c r="AU340" t="b">
        <v>1</v>
      </c>
      <c r="AV340">
        <v>230.63</v>
      </c>
      <c r="AW340">
        <v>13.625</v>
      </c>
      <c r="AX340">
        <v>1</v>
      </c>
      <c r="AZ340">
        <v>7205</v>
      </c>
      <c r="BA340">
        <v>1</v>
      </c>
      <c r="BB340" t="str">
        <f t="shared" si="17"/>
        <v xml:space="preserve">KAP400  </v>
      </c>
      <c r="BC340">
        <v>1</v>
      </c>
      <c r="BE340">
        <v>0</v>
      </c>
      <c r="BF340">
        <v>0</v>
      </c>
      <c r="BG340">
        <v>0</v>
      </c>
      <c r="BI340">
        <v>1</v>
      </c>
      <c r="BJ340">
        <v>1</v>
      </c>
      <c r="BK340">
        <v>1</v>
      </c>
      <c r="BL340">
        <v>0</v>
      </c>
      <c r="BO340">
        <v>0</v>
      </c>
      <c r="BP340">
        <v>0</v>
      </c>
      <c r="BW340" t="str">
        <f>"19:07:38.924"</f>
        <v>19:07:38.924</v>
      </c>
      <c r="BX340" t="s">
        <v>119</v>
      </c>
      <c r="BY340" t="s">
        <v>120</v>
      </c>
      <c r="CJ340">
        <v>0</v>
      </c>
      <c r="CK340">
        <v>0</v>
      </c>
      <c r="CL340">
        <v>0</v>
      </c>
      <c r="CM340">
        <v>2</v>
      </c>
      <c r="CN340">
        <v>0</v>
      </c>
      <c r="CO340">
        <v>7</v>
      </c>
      <c r="CP340" t="s">
        <v>121</v>
      </c>
      <c r="CQ340">
        <v>582</v>
      </c>
      <c r="CR340">
        <v>0</v>
      </c>
      <c r="CW340">
        <v>5753870</v>
      </c>
      <c r="CY340">
        <v>0</v>
      </c>
      <c r="CZ340">
        <v>0</v>
      </c>
      <c r="DA340">
        <v>0</v>
      </c>
      <c r="DB340">
        <v>1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</row>
    <row r="341" spans="1:113" x14ac:dyDescent="0.3">
      <c r="A341" t="str">
        <f>"06/16/2022 19:07:40.360"</f>
        <v>06/16/2022 19:07:40.360</v>
      </c>
      <c r="C341" t="str">
        <f t="shared" si="15"/>
        <v>FFBF5BC0</v>
      </c>
      <c r="D341" t="s">
        <v>113</v>
      </c>
      <c r="E341">
        <v>8</v>
      </c>
      <c r="H341">
        <v>206</v>
      </c>
      <c r="I341" t="s">
        <v>114</v>
      </c>
      <c r="J341" t="s">
        <v>115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>"19:07:39.938"</f>
        <v>19:07:39.938</v>
      </c>
      <c r="T341" t="str">
        <f>"19:07:39.938"</f>
        <v>19:07:39.938</v>
      </c>
      <c r="U341" t="str">
        <f t="shared" si="16"/>
        <v>AB63B2</v>
      </c>
      <c r="V341">
        <v>0</v>
      </c>
      <c r="W341">
        <v>0</v>
      </c>
      <c r="X341">
        <v>6</v>
      </c>
      <c r="Z341">
        <v>0</v>
      </c>
      <c r="AA341">
        <v>9</v>
      </c>
      <c r="AB341">
        <v>3</v>
      </c>
      <c r="AC341">
        <v>0</v>
      </c>
      <c r="AD341">
        <v>10</v>
      </c>
      <c r="AE341">
        <v>0</v>
      </c>
      <c r="AF341">
        <v>0</v>
      </c>
      <c r="AG341">
        <v>2</v>
      </c>
      <c r="AH341">
        <v>0</v>
      </c>
      <c r="AI341" t="s">
        <v>325</v>
      </c>
      <c r="AJ341">
        <v>41.980390999999997</v>
      </c>
      <c r="AK341" t="s">
        <v>326</v>
      </c>
      <c r="AL341">
        <v>-87.893692999999999</v>
      </c>
      <c r="AS341">
        <v>1</v>
      </c>
      <c r="AT341" t="s">
        <v>118</v>
      </c>
      <c r="AU341" t="b">
        <v>1</v>
      </c>
      <c r="AV341">
        <v>230.63</v>
      </c>
      <c r="AW341">
        <v>13.625</v>
      </c>
      <c r="AX341">
        <v>1</v>
      </c>
      <c r="AZ341">
        <v>7205</v>
      </c>
      <c r="BA341">
        <v>1</v>
      </c>
      <c r="BB341" t="str">
        <f t="shared" si="17"/>
        <v xml:space="preserve">KAP400  </v>
      </c>
      <c r="BC341">
        <v>1</v>
      </c>
      <c r="BE341">
        <v>0</v>
      </c>
      <c r="BF341">
        <v>0</v>
      </c>
      <c r="BG341">
        <v>0</v>
      </c>
      <c r="BI341">
        <v>1</v>
      </c>
      <c r="BJ341">
        <v>1</v>
      </c>
      <c r="BK341">
        <v>1</v>
      </c>
      <c r="BL341">
        <v>0</v>
      </c>
      <c r="BO341">
        <v>0</v>
      </c>
      <c r="BP341">
        <v>0</v>
      </c>
      <c r="BW341" t="str">
        <f>"19:07:39.943"</f>
        <v>19:07:39.943</v>
      </c>
      <c r="BX341" t="s">
        <v>119</v>
      </c>
      <c r="BY341" t="s">
        <v>120</v>
      </c>
      <c r="CJ341">
        <v>0</v>
      </c>
      <c r="CK341">
        <v>0</v>
      </c>
      <c r="CL341">
        <v>0</v>
      </c>
      <c r="CM341">
        <v>2</v>
      </c>
      <c r="CN341">
        <v>0</v>
      </c>
      <c r="CO341">
        <v>7</v>
      </c>
      <c r="CP341" t="s">
        <v>121</v>
      </c>
      <c r="CQ341">
        <v>582</v>
      </c>
      <c r="CR341">
        <v>0</v>
      </c>
      <c r="CW341">
        <v>5755401</v>
      </c>
      <c r="CY341">
        <v>0</v>
      </c>
      <c r="CZ341">
        <v>0</v>
      </c>
      <c r="DA341">
        <v>0</v>
      </c>
      <c r="DB341">
        <v>1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</row>
    <row r="342" spans="1:113" x14ac:dyDescent="0.3">
      <c r="A342" t="str">
        <f>"06/16/2022 19:07:41.235"</f>
        <v>06/16/2022 19:07:41.235</v>
      </c>
      <c r="C342" t="str">
        <f t="shared" si="15"/>
        <v>FFBF5BC0</v>
      </c>
      <c r="D342" t="s">
        <v>113</v>
      </c>
      <c r="E342">
        <v>8</v>
      </c>
      <c r="H342">
        <v>206</v>
      </c>
      <c r="I342" t="s">
        <v>114</v>
      </c>
      <c r="J342" t="s">
        <v>115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>"19:07:40.938"</f>
        <v>19:07:40.938</v>
      </c>
      <c r="T342" t="str">
        <f>"19:07:40.938"</f>
        <v>19:07:40.938</v>
      </c>
      <c r="U342" t="str">
        <f t="shared" si="16"/>
        <v>AB63B2</v>
      </c>
      <c r="V342">
        <v>0</v>
      </c>
      <c r="W342">
        <v>0</v>
      </c>
      <c r="X342">
        <v>6</v>
      </c>
      <c r="Z342">
        <v>0</v>
      </c>
      <c r="AA342">
        <v>9</v>
      </c>
      <c r="AB342">
        <v>3</v>
      </c>
      <c r="AC342">
        <v>0</v>
      </c>
      <c r="AD342">
        <v>10</v>
      </c>
      <c r="AE342">
        <v>0</v>
      </c>
      <c r="AF342">
        <v>0</v>
      </c>
      <c r="AG342">
        <v>2</v>
      </c>
      <c r="AH342">
        <v>0</v>
      </c>
      <c r="AI342" t="s">
        <v>327</v>
      </c>
      <c r="AJ342">
        <v>41.980347999999999</v>
      </c>
      <c r="AK342" t="s">
        <v>328</v>
      </c>
      <c r="AL342">
        <v>-87.893736000000004</v>
      </c>
      <c r="AS342">
        <v>1</v>
      </c>
      <c r="AT342" t="s">
        <v>118</v>
      </c>
      <c r="AU342" t="b">
        <v>1</v>
      </c>
      <c r="AV342">
        <v>230.63</v>
      </c>
      <c r="AW342">
        <v>14.125</v>
      </c>
      <c r="AX342">
        <v>1</v>
      </c>
      <c r="AZ342">
        <v>7205</v>
      </c>
      <c r="BA342">
        <v>1</v>
      </c>
      <c r="BB342" t="str">
        <f t="shared" si="17"/>
        <v xml:space="preserve">KAP400  </v>
      </c>
      <c r="BC342">
        <v>1</v>
      </c>
      <c r="BE342">
        <v>0</v>
      </c>
      <c r="BF342">
        <v>0</v>
      </c>
      <c r="BG342">
        <v>0</v>
      </c>
      <c r="BI342">
        <v>1</v>
      </c>
      <c r="BJ342">
        <v>1</v>
      </c>
      <c r="BK342">
        <v>1</v>
      </c>
      <c r="BL342">
        <v>0</v>
      </c>
      <c r="BO342">
        <v>0</v>
      </c>
      <c r="BP342">
        <v>0</v>
      </c>
      <c r="BW342" t="str">
        <f>"19:07:40.942"</f>
        <v>19:07:40.942</v>
      </c>
      <c r="BX342" t="s">
        <v>119</v>
      </c>
      <c r="BY342" t="s">
        <v>120</v>
      </c>
      <c r="CJ342">
        <v>0</v>
      </c>
      <c r="CK342">
        <v>0</v>
      </c>
      <c r="CL342">
        <v>0</v>
      </c>
      <c r="CM342">
        <v>2</v>
      </c>
      <c r="CN342">
        <v>0</v>
      </c>
      <c r="CO342">
        <v>7</v>
      </c>
      <c r="CP342" t="s">
        <v>121</v>
      </c>
      <c r="CQ342">
        <v>582</v>
      </c>
      <c r="CR342">
        <v>0</v>
      </c>
      <c r="CW342">
        <v>5756805</v>
      </c>
      <c r="CY342">
        <v>0</v>
      </c>
      <c r="CZ342">
        <v>0</v>
      </c>
      <c r="DA342">
        <v>0</v>
      </c>
      <c r="DB342">
        <v>1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</row>
    <row r="343" spans="1:113" x14ac:dyDescent="0.3">
      <c r="A343" t="str">
        <f>"06/16/2022 19:07:42.094"</f>
        <v>06/16/2022 19:07:42.094</v>
      </c>
      <c r="C343" t="str">
        <f t="shared" si="15"/>
        <v>FFBF5BC0</v>
      </c>
      <c r="D343" t="s">
        <v>113</v>
      </c>
      <c r="E343">
        <v>8</v>
      </c>
      <c r="H343">
        <v>206</v>
      </c>
      <c r="I343" t="s">
        <v>114</v>
      </c>
      <c r="J343" t="s">
        <v>115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>"19:07:41.875"</f>
        <v>19:07:41.875</v>
      </c>
      <c r="T343" t="str">
        <f>"19:07:41.875"</f>
        <v>19:07:41.875</v>
      </c>
      <c r="U343" t="str">
        <f t="shared" si="16"/>
        <v>AB63B2</v>
      </c>
      <c r="V343">
        <v>0</v>
      </c>
      <c r="W343">
        <v>0</v>
      </c>
      <c r="X343">
        <v>6</v>
      </c>
      <c r="Z343">
        <v>0</v>
      </c>
      <c r="AA343">
        <v>9</v>
      </c>
      <c r="AB343">
        <v>3</v>
      </c>
      <c r="AC343">
        <v>0</v>
      </c>
      <c r="AD343">
        <v>10</v>
      </c>
      <c r="AE343">
        <v>0</v>
      </c>
      <c r="AF343">
        <v>0</v>
      </c>
      <c r="AG343">
        <v>2</v>
      </c>
      <c r="AH343">
        <v>0</v>
      </c>
      <c r="AI343" t="s">
        <v>329</v>
      </c>
      <c r="AJ343">
        <v>41.980325999999998</v>
      </c>
      <c r="AK343" t="s">
        <v>330</v>
      </c>
      <c r="AL343">
        <v>-87.893800999999996</v>
      </c>
      <c r="AS343">
        <v>1</v>
      </c>
      <c r="AT343" t="s">
        <v>118</v>
      </c>
      <c r="AU343" t="b">
        <v>1</v>
      </c>
      <c r="AV343">
        <v>230.63</v>
      </c>
      <c r="AW343">
        <v>14.125</v>
      </c>
      <c r="AX343">
        <v>1</v>
      </c>
      <c r="AZ343">
        <v>7205</v>
      </c>
      <c r="BA343">
        <v>1</v>
      </c>
      <c r="BB343" t="str">
        <f t="shared" si="17"/>
        <v xml:space="preserve">KAP400  </v>
      </c>
      <c r="BC343">
        <v>1</v>
      </c>
      <c r="BE343">
        <v>0</v>
      </c>
      <c r="BF343">
        <v>0</v>
      </c>
      <c r="BG343">
        <v>0</v>
      </c>
      <c r="BI343">
        <v>1</v>
      </c>
      <c r="BJ343">
        <v>1</v>
      </c>
      <c r="BK343">
        <v>1</v>
      </c>
      <c r="BL343">
        <v>0</v>
      </c>
      <c r="BO343">
        <v>0</v>
      </c>
      <c r="BP343">
        <v>0</v>
      </c>
      <c r="BW343" t="str">
        <f>"19:07:41.881"</f>
        <v>19:07:41.881</v>
      </c>
      <c r="BX343" t="s">
        <v>119</v>
      </c>
      <c r="BY343" t="s">
        <v>120</v>
      </c>
      <c r="CJ343">
        <v>0</v>
      </c>
      <c r="CK343">
        <v>0</v>
      </c>
      <c r="CL343">
        <v>0</v>
      </c>
      <c r="CM343">
        <v>2</v>
      </c>
      <c r="CN343">
        <v>0</v>
      </c>
      <c r="CO343">
        <v>7</v>
      </c>
      <c r="CP343" t="s">
        <v>121</v>
      </c>
      <c r="CQ343">
        <v>582</v>
      </c>
      <c r="CR343">
        <v>0</v>
      </c>
      <c r="CW343">
        <v>5758067</v>
      </c>
      <c r="CY343">
        <v>0</v>
      </c>
      <c r="CZ343">
        <v>0</v>
      </c>
      <c r="DA343">
        <v>0</v>
      </c>
      <c r="DB343">
        <v>1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</row>
    <row r="344" spans="1:113" x14ac:dyDescent="0.3">
      <c r="A344" t="str">
        <f>"06/16/2022 19:07:43.238"</f>
        <v>06/16/2022 19:07:43.238</v>
      </c>
      <c r="C344" t="str">
        <f t="shared" si="15"/>
        <v>FFBF5BC0</v>
      </c>
      <c r="D344" t="s">
        <v>113</v>
      </c>
      <c r="E344">
        <v>8</v>
      </c>
      <c r="H344">
        <v>206</v>
      </c>
      <c r="I344" t="s">
        <v>114</v>
      </c>
      <c r="J344" t="s">
        <v>115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>"19:07:42.930"</f>
        <v>19:07:42.930</v>
      </c>
      <c r="T344" t="str">
        <f>"19:07:42.930"</f>
        <v>19:07:42.930</v>
      </c>
      <c r="U344" t="str">
        <f t="shared" si="16"/>
        <v>AB63B2</v>
      </c>
      <c r="V344">
        <v>0</v>
      </c>
      <c r="W344">
        <v>0</v>
      </c>
      <c r="X344">
        <v>6</v>
      </c>
      <c r="Z344">
        <v>0</v>
      </c>
      <c r="AA344">
        <v>9</v>
      </c>
      <c r="AB344">
        <v>3</v>
      </c>
      <c r="AC344">
        <v>0</v>
      </c>
      <c r="AD344">
        <v>10</v>
      </c>
      <c r="AE344">
        <v>0</v>
      </c>
      <c r="AF344">
        <v>0</v>
      </c>
      <c r="AG344">
        <v>2</v>
      </c>
      <c r="AH344">
        <v>0</v>
      </c>
      <c r="AI344" t="s">
        <v>331</v>
      </c>
      <c r="AJ344">
        <v>41.980262000000003</v>
      </c>
      <c r="AK344" t="s">
        <v>332</v>
      </c>
      <c r="AL344">
        <v>-87.893865000000005</v>
      </c>
      <c r="AS344">
        <v>1</v>
      </c>
      <c r="AT344" t="s">
        <v>118</v>
      </c>
      <c r="AU344" t="b">
        <v>1</v>
      </c>
      <c r="AV344">
        <v>230.63</v>
      </c>
      <c r="AW344">
        <v>14.125</v>
      </c>
      <c r="AX344">
        <v>1</v>
      </c>
      <c r="AZ344">
        <v>7205</v>
      </c>
      <c r="BA344">
        <v>1</v>
      </c>
      <c r="BB344" t="str">
        <f t="shared" si="17"/>
        <v xml:space="preserve">KAP400  </v>
      </c>
      <c r="BC344">
        <v>1</v>
      </c>
      <c r="BE344">
        <v>0</v>
      </c>
      <c r="BF344">
        <v>0</v>
      </c>
      <c r="BG344">
        <v>0</v>
      </c>
      <c r="BI344">
        <v>1</v>
      </c>
      <c r="BJ344">
        <v>1</v>
      </c>
      <c r="BK344">
        <v>1</v>
      </c>
      <c r="BL344">
        <v>0</v>
      </c>
      <c r="BO344">
        <v>0</v>
      </c>
      <c r="BP344">
        <v>0</v>
      </c>
      <c r="BW344" t="str">
        <f>"19:07:42.935"</f>
        <v>19:07:42.935</v>
      </c>
      <c r="BX344" t="s">
        <v>119</v>
      </c>
      <c r="BY344" t="s">
        <v>120</v>
      </c>
      <c r="CJ344">
        <v>0</v>
      </c>
      <c r="CK344">
        <v>0</v>
      </c>
      <c r="CL344">
        <v>0</v>
      </c>
      <c r="CM344">
        <v>2</v>
      </c>
      <c r="CN344">
        <v>0</v>
      </c>
      <c r="CO344">
        <v>7</v>
      </c>
      <c r="CP344" t="s">
        <v>121</v>
      </c>
      <c r="CQ344">
        <v>581</v>
      </c>
      <c r="CR344">
        <v>0</v>
      </c>
      <c r="CW344">
        <v>14803989</v>
      </c>
      <c r="CY344">
        <v>0</v>
      </c>
      <c r="CZ344">
        <v>0</v>
      </c>
      <c r="DA344">
        <v>0</v>
      </c>
      <c r="DB344">
        <v>1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</row>
    <row r="345" spans="1:113" x14ac:dyDescent="0.3">
      <c r="A345" t="str">
        <f>"06/16/2022 19:07:44.160"</f>
        <v>06/16/2022 19:07:44.160</v>
      </c>
      <c r="C345" t="str">
        <f t="shared" si="15"/>
        <v>FFBF5BC0</v>
      </c>
      <c r="D345" t="s">
        <v>113</v>
      </c>
      <c r="E345">
        <v>8</v>
      </c>
      <c r="H345">
        <v>206</v>
      </c>
      <c r="I345" t="s">
        <v>114</v>
      </c>
      <c r="J345" t="s">
        <v>115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>"19:07:43.922"</f>
        <v>19:07:43.922</v>
      </c>
      <c r="T345" t="str">
        <f>"19:07:43.922"</f>
        <v>19:07:43.922</v>
      </c>
      <c r="U345" t="str">
        <f t="shared" si="16"/>
        <v>AB63B2</v>
      </c>
      <c r="V345">
        <v>0</v>
      </c>
      <c r="W345">
        <v>0</v>
      </c>
      <c r="X345">
        <v>6</v>
      </c>
      <c r="Z345">
        <v>0</v>
      </c>
      <c r="AA345">
        <v>9</v>
      </c>
      <c r="AB345">
        <v>3</v>
      </c>
      <c r="AC345">
        <v>0</v>
      </c>
      <c r="AD345">
        <v>10</v>
      </c>
      <c r="AE345">
        <v>0</v>
      </c>
      <c r="AF345">
        <v>0</v>
      </c>
      <c r="AG345">
        <v>2</v>
      </c>
      <c r="AH345">
        <v>0</v>
      </c>
      <c r="AI345" t="s">
        <v>333</v>
      </c>
      <c r="AJ345">
        <v>41.980218999999998</v>
      </c>
      <c r="AK345" t="s">
        <v>287</v>
      </c>
      <c r="AL345">
        <v>-87.893951000000001</v>
      </c>
      <c r="AS345">
        <v>1</v>
      </c>
      <c r="AT345" t="s">
        <v>118</v>
      </c>
      <c r="AU345" t="b">
        <v>1</v>
      </c>
      <c r="AV345">
        <v>227.81</v>
      </c>
      <c r="AW345">
        <v>14.125</v>
      </c>
      <c r="AX345">
        <v>1</v>
      </c>
      <c r="AZ345">
        <v>7205</v>
      </c>
      <c r="BA345">
        <v>1</v>
      </c>
      <c r="BB345" t="str">
        <f t="shared" si="17"/>
        <v xml:space="preserve">KAP400  </v>
      </c>
      <c r="BC345">
        <v>1</v>
      </c>
      <c r="BE345">
        <v>0</v>
      </c>
      <c r="BF345">
        <v>0</v>
      </c>
      <c r="BG345">
        <v>0</v>
      </c>
      <c r="BI345">
        <v>1</v>
      </c>
      <c r="BJ345">
        <v>1</v>
      </c>
      <c r="BK345">
        <v>1</v>
      </c>
      <c r="BL345">
        <v>0</v>
      </c>
      <c r="BO345">
        <v>0</v>
      </c>
      <c r="BP345">
        <v>0</v>
      </c>
      <c r="BW345" t="str">
        <f>"19:07:43.926"</f>
        <v>19:07:43.926</v>
      </c>
      <c r="BX345" t="s">
        <v>119</v>
      </c>
      <c r="BY345" t="s">
        <v>120</v>
      </c>
      <c r="CJ345">
        <v>0</v>
      </c>
      <c r="CK345">
        <v>0</v>
      </c>
      <c r="CL345">
        <v>0</v>
      </c>
      <c r="CM345">
        <v>2</v>
      </c>
      <c r="CN345">
        <v>0</v>
      </c>
      <c r="CO345">
        <v>7</v>
      </c>
      <c r="CP345" t="s">
        <v>121</v>
      </c>
      <c r="CQ345">
        <v>581</v>
      </c>
      <c r="CR345">
        <v>0</v>
      </c>
      <c r="CW345">
        <v>14805467</v>
      </c>
      <c r="CY345">
        <v>0</v>
      </c>
      <c r="CZ345">
        <v>0</v>
      </c>
      <c r="DA345">
        <v>0</v>
      </c>
      <c r="DB345">
        <v>1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</row>
    <row r="346" spans="1:113" x14ac:dyDescent="0.3">
      <c r="A346" t="str">
        <f>"06/16/2022 19:07:45.363"</f>
        <v>06/16/2022 19:07:45.363</v>
      </c>
      <c r="C346" t="str">
        <f t="shared" si="15"/>
        <v>FFBF5BC0</v>
      </c>
      <c r="D346" t="s">
        <v>113</v>
      </c>
      <c r="E346">
        <v>8</v>
      </c>
      <c r="H346">
        <v>206</v>
      </c>
      <c r="I346" t="s">
        <v>114</v>
      </c>
      <c r="J346" t="s">
        <v>115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>"19:07:45.031"</f>
        <v>19:07:45.031</v>
      </c>
      <c r="T346" t="str">
        <f>"19:07:45.031"</f>
        <v>19:07:45.031</v>
      </c>
      <c r="U346" t="str">
        <f t="shared" si="16"/>
        <v>AB63B2</v>
      </c>
      <c r="V346">
        <v>0</v>
      </c>
      <c r="W346">
        <v>0</v>
      </c>
      <c r="X346">
        <v>6</v>
      </c>
      <c r="Z346">
        <v>0</v>
      </c>
      <c r="AA346">
        <v>9</v>
      </c>
      <c r="AB346">
        <v>3</v>
      </c>
      <c r="AC346">
        <v>0</v>
      </c>
      <c r="AD346">
        <v>10</v>
      </c>
      <c r="AE346">
        <v>0</v>
      </c>
      <c r="AF346">
        <v>0</v>
      </c>
      <c r="AG346">
        <v>2</v>
      </c>
      <c r="AH346">
        <v>0</v>
      </c>
      <c r="AI346" t="s">
        <v>334</v>
      </c>
      <c r="AJ346">
        <v>41.980176</v>
      </c>
      <c r="AK346" t="s">
        <v>335</v>
      </c>
      <c r="AL346">
        <v>-87.894014999999996</v>
      </c>
      <c r="AS346">
        <v>1</v>
      </c>
      <c r="AT346" t="s">
        <v>118</v>
      </c>
      <c r="AU346" t="b">
        <v>1</v>
      </c>
      <c r="AV346">
        <v>230.63</v>
      </c>
      <c r="AW346">
        <v>14.625</v>
      </c>
      <c r="AX346">
        <v>1</v>
      </c>
      <c r="AZ346">
        <v>7205</v>
      </c>
      <c r="BA346">
        <v>1</v>
      </c>
      <c r="BB346" t="str">
        <f t="shared" si="17"/>
        <v xml:space="preserve">KAP400  </v>
      </c>
      <c r="BC346">
        <v>1</v>
      </c>
      <c r="BE346">
        <v>0</v>
      </c>
      <c r="BF346">
        <v>0</v>
      </c>
      <c r="BG346">
        <v>0</v>
      </c>
      <c r="BI346">
        <v>1</v>
      </c>
      <c r="BJ346">
        <v>1</v>
      </c>
      <c r="BK346">
        <v>1</v>
      </c>
      <c r="BL346">
        <v>0</v>
      </c>
      <c r="BO346">
        <v>0</v>
      </c>
      <c r="BP346">
        <v>0</v>
      </c>
      <c r="BW346" t="str">
        <f>"19:07:45.037"</f>
        <v>19:07:45.037</v>
      </c>
      <c r="BX346" t="s">
        <v>119</v>
      </c>
      <c r="BY346" t="s">
        <v>120</v>
      </c>
      <c r="CJ346">
        <v>0</v>
      </c>
      <c r="CK346">
        <v>0</v>
      </c>
      <c r="CL346">
        <v>0</v>
      </c>
      <c r="CM346">
        <v>2</v>
      </c>
      <c r="CN346">
        <v>0</v>
      </c>
      <c r="CO346">
        <v>7</v>
      </c>
      <c r="CP346" t="s">
        <v>121</v>
      </c>
      <c r="CQ346">
        <v>582</v>
      </c>
      <c r="CR346">
        <v>0</v>
      </c>
      <c r="CW346">
        <v>5762465</v>
      </c>
      <c r="CY346">
        <v>0</v>
      </c>
      <c r="CZ346">
        <v>0</v>
      </c>
      <c r="DA346">
        <v>0</v>
      </c>
      <c r="DB346">
        <v>1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</row>
    <row r="347" spans="1:113" x14ac:dyDescent="0.3">
      <c r="A347" t="str">
        <f>"06/16/2022 19:07:46.598"</f>
        <v>06/16/2022 19:07:46.598</v>
      </c>
      <c r="C347" t="str">
        <f t="shared" si="15"/>
        <v>FFBF5BC0</v>
      </c>
      <c r="D347" t="s">
        <v>113</v>
      </c>
      <c r="E347">
        <v>8</v>
      </c>
      <c r="H347">
        <v>206</v>
      </c>
      <c r="I347" t="s">
        <v>114</v>
      </c>
      <c r="J347" t="s">
        <v>115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>"19:07:46.391"</f>
        <v>19:07:46.391</v>
      </c>
      <c r="T347" t="str">
        <f>"19:07:46.391"</f>
        <v>19:07:46.391</v>
      </c>
      <c r="U347" t="str">
        <f t="shared" si="16"/>
        <v>AB63B2</v>
      </c>
      <c r="V347">
        <v>0</v>
      </c>
      <c r="W347">
        <v>0</v>
      </c>
      <c r="X347">
        <v>6</v>
      </c>
      <c r="Z347">
        <v>0</v>
      </c>
      <c r="AA347">
        <v>9</v>
      </c>
      <c r="AB347">
        <v>3</v>
      </c>
      <c r="AC347">
        <v>0</v>
      </c>
      <c r="AD347">
        <v>10</v>
      </c>
      <c r="AE347">
        <v>0</v>
      </c>
      <c r="AF347">
        <v>0</v>
      </c>
      <c r="AG347">
        <v>2</v>
      </c>
      <c r="AH347">
        <v>0</v>
      </c>
      <c r="AI347" t="s">
        <v>336</v>
      </c>
      <c r="AJ347">
        <v>41.980111999999998</v>
      </c>
      <c r="AK347" t="s">
        <v>283</v>
      </c>
      <c r="AL347">
        <v>-87.894101000000006</v>
      </c>
      <c r="AS347">
        <v>1</v>
      </c>
      <c r="AT347" t="s">
        <v>118</v>
      </c>
      <c r="AU347" t="b">
        <v>1</v>
      </c>
      <c r="AV347">
        <v>230.63</v>
      </c>
      <c r="AW347">
        <v>14.625</v>
      </c>
      <c r="AX347">
        <v>1</v>
      </c>
      <c r="AZ347">
        <v>7205</v>
      </c>
      <c r="BA347">
        <v>1</v>
      </c>
      <c r="BB347" t="str">
        <f t="shared" si="17"/>
        <v xml:space="preserve">KAP400  </v>
      </c>
      <c r="BC347">
        <v>1</v>
      </c>
      <c r="BE347">
        <v>0</v>
      </c>
      <c r="BF347">
        <v>0</v>
      </c>
      <c r="BG347">
        <v>0</v>
      </c>
      <c r="BI347">
        <v>1</v>
      </c>
      <c r="BJ347">
        <v>1</v>
      </c>
      <c r="BK347">
        <v>1</v>
      </c>
      <c r="BL347">
        <v>0</v>
      </c>
      <c r="BO347">
        <v>0</v>
      </c>
      <c r="BP347">
        <v>0</v>
      </c>
      <c r="BW347" t="str">
        <f>"19:07:46.395"</f>
        <v>19:07:46.395</v>
      </c>
      <c r="BX347" t="s">
        <v>119</v>
      </c>
      <c r="BY347" t="s">
        <v>120</v>
      </c>
      <c r="CJ347">
        <v>0</v>
      </c>
      <c r="CK347">
        <v>0</v>
      </c>
      <c r="CL347">
        <v>0</v>
      </c>
      <c r="CM347">
        <v>2</v>
      </c>
      <c r="CN347">
        <v>0</v>
      </c>
      <c r="CO347">
        <v>6</v>
      </c>
      <c r="CP347" t="s">
        <v>121</v>
      </c>
      <c r="CQ347">
        <v>582</v>
      </c>
      <c r="CR347">
        <v>0</v>
      </c>
      <c r="CW347">
        <v>5764244</v>
      </c>
      <c r="CY347">
        <v>0</v>
      </c>
      <c r="CZ347">
        <v>0</v>
      </c>
      <c r="DA347">
        <v>0</v>
      </c>
      <c r="DB347">
        <v>1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</row>
    <row r="348" spans="1:113" x14ac:dyDescent="0.3">
      <c r="A348" t="str">
        <f>"06/16/2022 19:07:48.251"</f>
        <v>06/16/2022 19:07:48.251</v>
      </c>
      <c r="C348" t="str">
        <f t="shared" si="15"/>
        <v>FFBF5BC0</v>
      </c>
      <c r="D348" t="s">
        <v>113</v>
      </c>
      <c r="E348">
        <v>8</v>
      </c>
      <c r="H348">
        <v>206</v>
      </c>
      <c r="I348" t="s">
        <v>114</v>
      </c>
      <c r="J348" t="s">
        <v>115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>"19:07:47.836"</f>
        <v>19:07:47.836</v>
      </c>
      <c r="T348" t="str">
        <f>"19:07:47.836"</f>
        <v>19:07:47.836</v>
      </c>
      <c r="U348" t="str">
        <f t="shared" si="16"/>
        <v>AB63B2</v>
      </c>
      <c r="V348">
        <v>0</v>
      </c>
      <c r="W348">
        <v>0</v>
      </c>
      <c r="X348">
        <v>6</v>
      </c>
      <c r="Z348">
        <v>0</v>
      </c>
      <c r="AA348">
        <v>9</v>
      </c>
      <c r="AB348">
        <v>3</v>
      </c>
      <c r="AC348">
        <v>0</v>
      </c>
      <c r="AD348">
        <v>10</v>
      </c>
      <c r="AE348">
        <v>0</v>
      </c>
      <c r="AF348">
        <v>0</v>
      </c>
      <c r="AG348">
        <v>2</v>
      </c>
      <c r="AH348">
        <v>0</v>
      </c>
      <c r="AI348" t="s">
        <v>337</v>
      </c>
      <c r="AJ348">
        <v>41.980069</v>
      </c>
      <c r="AK348" t="s">
        <v>338</v>
      </c>
      <c r="AL348">
        <v>-87.894208000000006</v>
      </c>
      <c r="AS348">
        <v>1</v>
      </c>
      <c r="AT348" t="s">
        <v>118</v>
      </c>
      <c r="AU348" t="b">
        <v>1</v>
      </c>
      <c r="AV348">
        <v>230.63</v>
      </c>
      <c r="AW348">
        <v>14.625</v>
      </c>
      <c r="AX348">
        <v>1</v>
      </c>
      <c r="AZ348">
        <v>7205</v>
      </c>
      <c r="BA348">
        <v>1</v>
      </c>
      <c r="BB348" t="str">
        <f t="shared" si="17"/>
        <v xml:space="preserve">KAP400  </v>
      </c>
      <c r="BC348">
        <v>1</v>
      </c>
      <c r="BE348">
        <v>0</v>
      </c>
      <c r="BF348">
        <v>0</v>
      </c>
      <c r="BG348">
        <v>0</v>
      </c>
      <c r="BI348">
        <v>1</v>
      </c>
      <c r="BJ348">
        <v>1</v>
      </c>
      <c r="BK348">
        <v>1</v>
      </c>
      <c r="BL348">
        <v>0</v>
      </c>
      <c r="BO348">
        <v>0</v>
      </c>
      <c r="BP348">
        <v>0</v>
      </c>
      <c r="BW348" t="str">
        <f>"19:07:47.843"</f>
        <v>19:07:47.843</v>
      </c>
      <c r="BX348" t="s">
        <v>119</v>
      </c>
      <c r="BY348" t="s">
        <v>120</v>
      </c>
      <c r="CJ348">
        <v>0</v>
      </c>
      <c r="CK348">
        <v>0</v>
      </c>
      <c r="CL348">
        <v>0</v>
      </c>
      <c r="CM348">
        <v>2</v>
      </c>
      <c r="CN348">
        <v>0</v>
      </c>
      <c r="CO348">
        <v>6</v>
      </c>
      <c r="CP348" t="s">
        <v>121</v>
      </c>
      <c r="CQ348">
        <v>581</v>
      </c>
      <c r="CR348">
        <v>0</v>
      </c>
      <c r="CW348">
        <v>14811311</v>
      </c>
      <c r="CY348">
        <v>0</v>
      </c>
      <c r="CZ348">
        <v>0</v>
      </c>
      <c r="DA348">
        <v>0</v>
      </c>
      <c r="DB348">
        <v>1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</row>
    <row r="349" spans="1:113" x14ac:dyDescent="0.3">
      <c r="A349" t="str">
        <f>"06/16/2022 19:07:49.173"</f>
        <v>06/16/2022 19:07:49.173</v>
      </c>
      <c r="C349" t="str">
        <f t="shared" si="15"/>
        <v>FFBF5BC0</v>
      </c>
      <c r="D349" t="s">
        <v>113</v>
      </c>
      <c r="E349">
        <v>8</v>
      </c>
      <c r="H349">
        <v>206</v>
      </c>
      <c r="I349" t="s">
        <v>114</v>
      </c>
      <c r="J349" t="s">
        <v>115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>"19:07:48.867"</f>
        <v>19:07:48.867</v>
      </c>
      <c r="T349" t="str">
        <f>"19:07:48.867"</f>
        <v>19:07:48.867</v>
      </c>
      <c r="U349" t="str">
        <f t="shared" si="16"/>
        <v>AB63B2</v>
      </c>
      <c r="V349">
        <v>0</v>
      </c>
      <c r="W349">
        <v>0</v>
      </c>
      <c r="X349">
        <v>6</v>
      </c>
      <c r="Z349">
        <v>0</v>
      </c>
      <c r="AA349">
        <v>9</v>
      </c>
      <c r="AB349">
        <v>3</v>
      </c>
      <c r="AC349">
        <v>0</v>
      </c>
      <c r="AD349">
        <v>10</v>
      </c>
      <c r="AE349">
        <v>0</v>
      </c>
      <c r="AF349">
        <v>0</v>
      </c>
      <c r="AG349">
        <v>2</v>
      </c>
      <c r="AH349">
        <v>0</v>
      </c>
      <c r="AI349" t="s">
        <v>339</v>
      </c>
      <c r="AJ349">
        <v>41.980026000000002</v>
      </c>
      <c r="AK349" t="s">
        <v>340</v>
      </c>
      <c r="AL349">
        <v>-87.894272999999998</v>
      </c>
      <c r="AS349">
        <v>1</v>
      </c>
      <c r="AT349" t="s">
        <v>118</v>
      </c>
      <c r="AU349" t="b">
        <v>1</v>
      </c>
      <c r="AV349">
        <v>230.63</v>
      </c>
      <c r="AW349">
        <v>14.625</v>
      </c>
      <c r="AX349">
        <v>1</v>
      </c>
      <c r="AZ349">
        <v>7205</v>
      </c>
      <c r="BA349">
        <v>1</v>
      </c>
      <c r="BB349" t="str">
        <f t="shared" si="17"/>
        <v xml:space="preserve">KAP400  </v>
      </c>
      <c r="BC349">
        <v>1</v>
      </c>
      <c r="BE349">
        <v>0</v>
      </c>
      <c r="BF349">
        <v>0</v>
      </c>
      <c r="BG349">
        <v>0</v>
      </c>
      <c r="BI349">
        <v>1</v>
      </c>
      <c r="BJ349">
        <v>1</v>
      </c>
      <c r="BK349">
        <v>1</v>
      </c>
      <c r="BL349">
        <v>0</v>
      </c>
      <c r="BO349">
        <v>0</v>
      </c>
      <c r="BP349">
        <v>0</v>
      </c>
      <c r="BW349" t="str">
        <f>"19:07:48.871"</f>
        <v>19:07:48.871</v>
      </c>
      <c r="BX349" t="s">
        <v>119</v>
      </c>
      <c r="BY349" t="s">
        <v>120</v>
      </c>
      <c r="CJ349">
        <v>0</v>
      </c>
      <c r="CK349">
        <v>0</v>
      </c>
      <c r="CL349">
        <v>0</v>
      </c>
      <c r="CM349">
        <v>2</v>
      </c>
      <c r="CN349">
        <v>0</v>
      </c>
      <c r="CO349">
        <v>7</v>
      </c>
      <c r="CP349" t="s">
        <v>121</v>
      </c>
      <c r="CQ349">
        <v>582</v>
      </c>
      <c r="CR349">
        <v>0</v>
      </c>
      <c r="CW349">
        <v>5767618</v>
      </c>
      <c r="CY349">
        <v>0</v>
      </c>
      <c r="CZ349">
        <v>0</v>
      </c>
      <c r="DA349">
        <v>0</v>
      </c>
      <c r="DB349">
        <v>1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</row>
    <row r="350" spans="1:113" x14ac:dyDescent="0.3">
      <c r="A350" t="str">
        <f>"06/16/2022 19:07:50.595"</f>
        <v>06/16/2022 19:07:50.595</v>
      </c>
      <c r="C350" t="str">
        <f t="shared" si="15"/>
        <v>FFBF5BC0</v>
      </c>
      <c r="D350" t="s">
        <v>113</v>
      </c>
      <c r="E350">
        <v>8</v>
      </c>
      <c r="H350">
        <v>206</v>
      </c>
      <c r="I350" t="s">
        <v>114</v>
      </c>
      <c r="J350" t="s">
        <v>115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>"19:07:50.398"</f>
        <v>19:07:50.398</v>
      </c>
      <c r="T350" t="str">
        <f>"19:07:50.398"</f>
        <v>19:07:50.398</v>
      </c>
      <c r="U350" t="str">
        <f t="shared" si="16"/>
        <v>AB63B2</v>
      </c>
      <c r="V350">
        <v>0</v>
      </c>
      <c r="W350">
        <v>0</v>
      </c>
      <c r="X350">
        <v>6</v>
      </c>
      <c r="Z350">
        <v>0</v>
      </c>
      <c r="AA350">
        <v>9</v>
      </c>
      <c r="AB350">
        <v>3</v>
      </c>
      <c r="AC350">
        <v>0</v>
      </c>
      <c r="AD350">
        <v>10</v>
      </c>
      <c r="AE350">
        <v>0</v>
      </c>
      <c r="AF350">
        <v>0</v>
      </c>
      <c r="AG350">
        <v>2</v>
      </c>
      <c r="AH350">
        <v>0</v>
      </c>
      <c r="AI350" t="s">
        <v>341</v>
      </c>
      <c r="AJ350">
        <v>41.979961000000003</v>
      </c>
      <c r="AK350" t="s">
        <v>342</v>
      </c>
      <c r="AL350">
        <v>-87.894379999999998</v>
      </c>
      <c r="AS350">
        <v>1</v>
      </c>
      <c r="AT350" t="s">
        <v>118</v>
      </c>
      <c r="AU350" t="b">
        <v>1</v>
      </c>
      <c r="AV350">
        <v>230.63</v>
      </c>
      <c r="AW350">
        <v>14.625</v>
      </c>
      <c r="AX350">
        <v>1</v>
      </c>
      <c r="AZ350">
        <v>7205</v>
      </c>
      <c r="BA350">
        <v>1</v>
      </c>
      <c r="BB350" t="str">
        <f t="shared" si="17"/>
        <v xml:space="preserve">KAP400  </v>
      </c>
      <c r="BC350">
        <v>1</v>
      </c>
      <c r="BE350">
        <v>0</v>
      </c>
      <c r="BF350">
        <v>0</v>
      </c>
      <c r="BG350">
        <v>0</v>
      </c>
      <c r="BI350">
        <v>1</v>
      </c>
      <c r="BJ350">
        <v>1</v>
      </c>
      <c r="BK350">
        <v>1</v>
      </c>
      <c r="BL350">
        <v>0</v>
      </c>
      <c r="BO350">
        <v>0</v>
      </c>
      <c r="BP350">
        <v>0</v>
      </c>
      <c r="BW350" t="str">
        <f>"19:07:50.399"</f>
        <v>19:07:50.399</v>
      </c>
      <c r="BX350" t="s">
        <v>119</v>
      </c>
      <c r="BY350" t="s">
        <v>120</v>
      </c>
      <c r="CJ350">
        <v>0</v>
      </c>
      <c r="CK350">
        <v>0</v>
      </c>
      <c r="CL350">
        <v>0</v>
      </c>
      <c r="CM350">
        <v>2</v>
      </c>
      <c r="CN350">
        <v>0</v>
      </c>
      <c r="CO350">
        <v>6</v>
      </c>
      <c r="CP350" t="s">
        <v>121</v>
      </c>
      <c r="CQ350">
        <v>581</v>
      </c>
      <c r="CR350">
        <v>0</v>
      </c>
      <c r="CW350">
        <v>14815085</v>
      </c>
      <c r="CY350">
        <v>0</v>
      </c>
      <c r="CZ350">
        <v>0</v>
      </c>
      <c r="DA350">
        <v>0</v>
      </c>
      <c r="DB350">
        <v>1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</row>
    <row r="351" spans="1:113" x14ac:dyDescent="0.3">
      <c r="A351" t="str">
        <f>"06/16/2022 19:07:51.567"</f>
        <v>06/16/2022 19:07:51.567</v>
      </c>
      <c r="C351" t="str">
        <f t="shared" si="15"/>
        <v>FFBF5BC0</v>
      </c>
      <c r="D351" t="s">
        <v>113</v>
      </c>
      <c r="E351">
        <v>8</v>
      </c>
      <c r="H351">
        <v>206</v>
      </c>
      <c r="I351" t="s">
        <v>114</v>
      </c>
      <c r="J351" t="s">
        <v>115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>"19:07:51.336"</f>
        <v>19:07:51.336</v>
      </c>
      <c r="T351" t="str">
        <f>"19:07:51.336"</f>
        <v>19:07:51.336</v>
      </c>
      <c r="U351" t="str">
        <f t="shared" si="16"/>
        <v>AB63B2</v>
      </c>
      <c r="V351">
        <v>0</v>
      </c>
      <c r="W351">
        <v>0</v>
      </c>
      <c r="X351">
        <v>6</v>
      </c>
      <c r="Z351">
        <v>0</v>
      </c>
      <c r="AA351">
        <v>9</v>
      </c>
      <c r="AB351">
        <v>3</v>
      </c>
      <c r="AC351">
        <v>0</v>
      </c>
      <c r="AD351">
        <v>10</v>
      </c>
      <c r="AE351">
        <v>0</v>
      </c>
      <c r="AF351">
        <v>0</v>
      </c>
      <c r="AG351">
        <v>2</v>
      </c>
      <c r="AH351">
        <v>0</v>
      </c>
      <c r="AI351" t="s">
        <v>343</v>
      </c>
      <c r="AJ351">
        <v>41.979917999999998</v>
      </c>
      <c r="AK351" t="s">
        <v>344</v>
      </c>
      <c r="AL351">
        <v>-87.894443999999993</v>
      </c>
      <c r="AS351">
        <v>1</v>
      </c>
      <c r="AT351" t="s">
        <v>118</v>
      </c>
      <c r="AU351" t="b">
        <v>1</v>
      </c>
      <c r="AV351">
        <v>230.63</v>
      </c>
      <c r="AW351">
        <v>15.125</v>
      </c>
      <c r="AX351">
        <v>1</v>
      </c>
      <c r="AZ351">
        <v>7205</v>
      </c>
      <c r="BA351">
        <v>1</v>
      </c>
      <c r="BB351" t="str">
        <f t="shared" si="17"/>
        <v xml:space="preserve">KAP400  </v>
      </c>
      <c r="BC351">
        <v>1</v>
      </c>
      <c r="BE351">
        <v>0</v>
      </c>
      <c r="BF351">
        <v>0</v>
      </c>
      <c r="BG351">
        <v>0</v>
      </c>
      <c r="BI351">
        <v>1</v>
      </c>
      <c r="BJ351">
        <v>1</v>
      </c>
      <c r="BK351">
        <v>1</v>
      </c>
      <c r="BL351">
        <v>0</v>
      </c>
      <c r="BO351">
        <v>0</v>
      </c>
      <c r="BP351">
        <v>0</v>
      </c>
      <c r="BW351" t="str">
        <f>"19:07:51.338"</f>
        <v>19:07:51.338</v>
      </c>
      <c r="BX351" t="s">
        <v>119</v>
      </c>
      <c r="BY351" t="s">
        <v>120</v>
      </c>
      <c r="CJ351">
        <v>0</v>
      </c>
      <c r="CK351">
        <v>0</v>
      </c>
      <c r="CL351">
        <v>0</v>
      </c>
      <c r="CM351">
        <v>2</v>
      </c>
      <c r="CN351">
        <v>0</v>
      </c>
      <c r="CO351">
        <v>7</v>
      </c>
      <c r="CP351" t="s">
        <v>121</v>
      </c>
      <c r="CQ351">
        <v>582</v>
      </c>
      <c r="CR351">
        <v>0</v>
      </c>
      <c r="CW351">
        <v>5771092</v>
      </c>
      <c r="CY351">
        <v>0</v>
      </c>
      <c r="CZ351">
        <v>0</v>
      </c>
      <c r="DA351">
        <v>0</v>
      </c>
      <c r="DB351">
        <v>1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</row>
    <row r="352" spans="1:113" x14ac:dyDescent="0.3">
      <c r="A352" t="str">
        <f>"06/16/2022 19:07:52.563"</f>
        <v>06/16/2022 19:07:52.563</v>
      </c>
      <c r="C352" t="str">
        <f t="shared" si="15"/>
        <v>FFBF5BC0</v>
      </c>
      <c r="D352" t="s">
        <v>113</v>
      </c>
      <c r="E352">
        <v>8</v>
      </c>
      <c r="H352">
        <v>206</v>
      </c>
      <c r="I352" t="s">
        <v>114</v>
      </c>
      <c r="J352" t="s">
        <v>115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>"19:07:52.352"</f>
        <v>19:07:52.352</v>
      </c>
      <c r="T352" t="str">
        <f>"19:07:52.352"</f>
        <v>19:07:52.352</v>
      </c>
      <c r="U352" t="str">
        <f t="shared" si="16"/>
        <v>AB63B2</v>
      </c>
      <c r="V352">
        <v>0</v>
      </c>
      <c r="W352">
        <v>0</v>
      </c>
      <c r="X352">
        <v>6</v>
      </c>
      <c r="Z352">
        <v>0</v>
      </c>
      <c r="AA352">
        <v>9</v>
      </c>
      <c r="AB352">
        <v>3</v>
      </c>
      <c r="AC352">
        <v>0</v>
      </c>
      <c r="AD352">
        <v>10</v>
      </c>
      <c r="AE352">
        <v>0</v>
      </c>
      <c r="AF352">
        <v>0</v>
      </c>
      <c r="AG352">
        <v>2</v>
      </c>
      <c r="AH352">
        <v>0</v>
      </c>
      <c r="AI352" t="s">
        <v>345</v>
      </c>
      <c r="AJ352">
        <v>41.979875999999997</v>
      </c>
      <c r="AK352" t="s">
        <v>346</v>
      </c>
      <c r="AL352">
        <v>-87.894508999999999</v>
      </c>
      <c r="AS352">
        <v>1</v>
      </c>
      <c r="AT352" t="s">
        <v>118</v>
      </c>
      <c r="AU352" t="b">
        <v>1</v>
      </c>
      <c r="AV352">
        <v>230.63</v>
      </c>
      <c r="AW352">
        <v>15.125</v>
      </c>
      <c r="AX352">
        <v>1</v>
      </c>
      <c r="AZ352">
        <v>7205</v>
      </c>
      <c r="BA352">
        <v>1</v>
      </c>
      <c r="BB352" t="str">
        <f t="shared" si="17"/>
        <v xml:space="preserve">KAP400  </v>
      </c>
      <c r="BC352">
        <v>1</v>
      </c>
      <c r="BE352">
        <v>0</v>
      </c>
      <c r="BF352">
        <v>0</v>
      </c>
      <c r="BG352">
        <v>0</v>
      </c>
      <c r="BI352">
        <v>1</v>
      </c>
      <c r="BJ352">
        <v>1</v>
      </c>
      <c r="BK352">
        <v>1</v>
      </c>
      <c r="BL352">
        <v>0</v>
      </c>
      <c r="BO352">
        <v>0</v>
      </c>
      <c r="BP352">
        <v>0</v>
      </c>
      <c r="BW352" t="str">
        <f>"19:07:52.354"</f>
        <v>19:07:52.354</v>
      </c>
      <c r="BX352" t="s">
        <v>119</v>
      </c>
      <c r="BY352" t="s">
        <v>120</v>
      </c>
      <c r="CJ352">
        <v>0</v>
      </c>
      <c r="CK352">
        <v>0</v>
      </c>
      <c r="CL352">
        <v>0</v>
      </c>
      <c r="CM352">
        <v>2</v>
      </c>
      <c r="CN352">
        <v>0</v>
      </c>
      <c r="CO352">
        <v>6</v>
      </c>
      <c r="CP352" t="s">
        <v>121</v>
      </c>
      <c r="CQ352">
        <v>580</v>
      </c>
      <c r="CR352">
        <v>0</v>
      </c>
      <c r="CW352">
        <v>16542581</v>
      </c>
      <c r="CY352">
        <v>0</v>
      </c>
      <c r="CZ352">
        <v>0</v>
      </c>
      <c r="DA352">
        <v>0</v>
      </c>
      <c r="DB352">
        <v>1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</row>
    <row r="353" spans="1:113" x14ac:dyDescent="0.3">
      <c r="A353" t="str">
        <f>"06/16/2022 19:07:53.579"</f>
        <v>06/16/2022 19:07:53.579</v>
      </c>
      <c r="C353" t="str">
        <f t="shared" si="15"/>
        <v>FFBF5BC0</v>
      </c>
      <c r="D353" t="s">
        <v>113</v>
      </c>
      <c r="E353">
        <v>8</v>
      </c>
      <c r="H353">
        <v>206</v>
      </c>
      <c r="I353" t="s">
        <v>114</v>
      </c>
      <c r="J353" t="s">
        <v>115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>"19:07:53.258"</f>
        <v>19:07:53.258</v>
      </c>
      <c r="T353" t="str">
        <f>"19:07:53.258"</f>
        <v>19:07:53.258</v>
      </c>
      <c r="U353" t="str">
        <f t="shared" si="16"/>
        <v>AB63B2</v>
      </c>
      <c r="V353">
        <v>0</v>
      </c>
      <c r="W353">
        <v>0</v>
      </c>
      <c r="X353">
        <v>6</v>
      </c>
      <c r="Z353">
        <v>0</v>
      </c>
      <c r="AA353">
        <v>9</v>
      </c>
      <c r="AB353">
        <v>3</v>
      </c>
      <c r="AC353">
        <v>0</v>
      </c>
      <c r="AD353">
        <v>10</v>
      </c>
      <c r="AE353">
        <v>0</v>
      </c>
      <c r="AF353">
        <v>0</v>
      </c>
      <c r="AG353">
        <v>2</v>
      </c>
      <c r="AH353">
        <v>0</v>
      </c>
      <c r="AI353" t="s">
        <v>347</v>
      </c>
      <c r="AJ353">
        <v>41.979832999999999</v>
      </c>
      <c r="AK353" t="s">
        <v>348</v>
      </c>
      <c r="AL353">
        <v>-87.894572999999994</v>
      </c>
      <c r="AS353">
        <v>1</v>
      </c>
      <c r="AT353" t="s">
        <v>118</v>
      </c>
      <c r="AU353" t="b">
        <v>1</v>
      </c>
      <c r="AV353">
        <v>230.63</v>
      </c>
      <c r="AW353">
        <v>15.125</v>
      </c>
      <c r="AX353">
        <v>1</v>
      </c>
      <c r="AZ353">
        <v>7205</v>
      </c>
      <c r="BA353">
        <v>1</v>
      </c>
      <c r="BB353" t="str">
        <f t="shared" si="17"/>
        <v xml:space="preserve">KAP400  </v>
      </c>
      <c r="BC353">
        <v>1</v>
      </c>
      <c r="BE353">
        <v>0</v>
      </c>
      <c r="BF353">
        <v>0</v>
      </c>
      <c r="BG353">
        <v>0</v>
      </c>
      <c r="BI353">
        <v>1</v>
      </c>
      <c r="BJ353">
        <v>1</v>
      </c>
      <c r="BK353">
        <v>1</v>
      </c>
      <c r="BL353">
        <v>0</v>
      </c>
      <c r="BO353">
        <v>0</v>
      </c>
      <c r="BP353">
        <v>0</v>
      </c>
      <c r="BW353" t="str">
        <f>"19:07:53.258"</f>
        <v>19:07:53.258</v>
      </c>
      <c r="BX353" t="s">
        <v>119</v>
      </c>
      <c r="BY353" t="s">
        <v>120</v>
      </c>
      <c r="CJ353">
        <v>0</v>
      </c>
      <c r="CK353">
        <v>0</v>
      </c>
      <c r="CL353">
        <v>0</v>
      </c>
      <c r="CM353">
        <v>2</v>
      </c>
      <c r="CN353">
        <v>0</v>
      </c>
      <c r="CO353">
        <v>6</v>
      </c>
      <c r="CP353" t="s">
        <v>121</v>
      </c>
      <c r="CQ353">
        <v>581</v>
      </c>
      <c r="CR353">
        <v>0</v>
      </c>
      <c r="CW353">
        <v>14819196</v>
      </c>
      <c r="CY353">
        <v>0</v>
      </c>
      <c r="CZ353">
        <v>0</v>
      </c>
      <c r="DA353">
        <v>0</v>
      </c>
      <c r="DB353">
        <v>1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</row>
    <row r="354" spans="1:113" x14ac:dyDescent="0.3">
      <c r="A354" t="str">
        <f>"06/16/2022 19:07:54.392"</f>
        <v>06/16/2022 19:07:54.392</v>
      </c>
      <c r="C354" t="str">
        <f t="shared" si="15"/>
        <v>FFBF5BC0</v>
      </c>
      <c r="D354" t="s">
        <v>113</v>
      </c>
      <c r="E354">
        <v>8</v>
      </c>
      <c r="H354">
        <v>206</v>
      </c>
      <c r="I354" t="s">
        <v>114</v>
      </c>
      <c r="J354" t="s">
        <v>115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>"19:07:54.102"</f>
        <v>19:07:54.102</v>
      </c>
      <c r="T354" t="str">
        <f>"19:07:54.102"</f>
        <v>19:07:54.102</v>
      </c>
      <c r="U354" t="str">
        <f t="shared" si="16"/>
        <v>AB63B2</v>
      </c>
      <c r="V354">
        <v>0</v>
      </c>
      <c r="W354">
        <v>0</v>
      </c>
      <c r="X354">
        <v>6</v>
      </c>
      <c r="Z354">
        <v>0</v>
      </c>
      <c r="AA354">
        <v>9</v>
      </c>
      <c r="AB354">
        <v>3</v>
      </c>
      <c r="AC354">
        <v>0</v>
      </c>
      <c r="AD354">
        <v>10</v>
      </c>
      <c r="AE354">
        <v>0</v>
      </c>
      <c r="AF354">
        <v>0</v>
      </c>
      <c r="AG354">
        <v>2</v>
      </c>
      <c r="AH354">
        <v>0</v>
      </c>
      <c r="AI354" t="s">
        <v>349</v>
      </c>
      <c r="AJ354">
        <v>41.979790000000001</v>
      </c>
      <c r="AK354" t="s">
        <v>350</v>
      </c>
      <c r="AL354">
        <v>-87.894638</v>
      </c>
      <c r="AS354">
        <v>1</v>
      </c>
      <c r="AT354" t="s">
        <v>118</v>
      </c>
      <c r="AU354" t="b">
        <v>1</v>
      </c>
      <c r="AV354">
        <v>230.63</v>
      </c>
      <c r="AW354">
        <v>15.125</v>
      </c>
      <c r="AX354">
        <v>1</v>
      </c>
      <c r="AZ354">
        <v>7205</v>
      </c>
      <c r="BA354">
        <v>1</v>
      </c>
      <c r="BB354" t="str">
        <f t="shared" si="17"/>
        <v xml:space="preserve">KAP400  </v>
      </c>
      <c r="BC354">
        <v>1</v>
      </c>
      <c r="BE354">
        <v>0</v>
      </c>
      <c r="BF354">
        <v>0</v>
      </c>
      <c r="BG354">
        <v>0</v>
      </c>
      <c r="BI354">
        <v>1</v>
      </c>
      <c r="BJ354">
        <v>1</v>
      </c>
      <c r="BK354">
        <v>1</v>
      </c>
      <c r="BL354">
        <v>0</v>
      </c>
      <c r="BO354">
        <v>0</v>
      </c>
      <c r="BP354">
        <v>0</v>
      </c>
      <c r="BW354" t="str">
        <f>"19:07:54.102"</f>
        <v>19:07:54.102</v>
      </c>
      <c r="BX354" t="s">
        <v>119</v>
      </c>
      <c r="BY354" t="s">
        <v>120</v>
      </c>
      <c r="CJ354">
        <v>0</v>
      </c>
      <c r="CK354">
        <v>0</v>
      </c>
      <c r="CL354">
        <v>0</v>
      </c>
      <c r="CM354">
        <v>2</v>
      </c>
      <c r="CN354">
        <v>0</v>
      </c>
      <c r="CO354">
        <v>6</v>
      </c>
      <c r="CP354" t="s">
        <v>121</v>
      </c>
      <c r="CQ354">
        <v>581</v>
      </c>
      <c r="CR354">
        <v>0</v>
      </c>
      <c r="CW354">
        <v>14820549</v>
      </c>
      <c r="CY354">
        <v>0</v>
      </c>
      <c r="CZ354">
        <v>0</v>
      </c>
      <c r="DA354">
        <v>0</v>
      </c>
      <c r="DB354">
        <v>1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</row>
    <row r="355" spans="1:113" x14ac:dyDescent="0.3">
      <c r="A355" t="str">
        <f>"06/16/2022 19:07:55.454"</f>
        <v>06/16/2022 19:07:55.454</v>
      </c>
      <c r="C355" t="str">
        <f t="shared" si="15"/>
        <v>FFBF5BC0</v>
      </c>
      <c r="D355" t="s">
        <v>113</v>
      </c>
      <c r="E355">
        <v>8</v>
      </c>
      <c r="H355">
        <v>206</v>
      </c>
      <c r="I355" t="s">
        <v>114</v>
      </c>
      <c r="J355" t="s">
        <v>115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>"19:07:55.172"</f>
        <v>19:07:55.172</v>
      </c>
      <c r="T355" t="str">
        <f>"19:07:55.172"</f>
        <v>19:07:55.172</v>
      </c>
      <c r="U355" t="str">
        <f t="shared" si="16"/>
        <v>AB63B2</v>
      </c>
      <c r="V355">
        <v>0</v>
      </c>
      <c r="W355">
        <v>0</v>
      </c>
      <c r="X355">
        <v>6</v>
      </c>
      <c r="Z355">
        <v>0</v>
      </c>
      <c r="AA355">
        <v>9</v>
      </c>
      <c r="AB355">
        <v>3</v>
      </c>
      <c r="AC355">
        <v>0</v>
      </c>
      <c r="AD355">
        <v>10</v>
      </c>
      <c r="AE355">
        <v>0</v>
      </c>
      <c r="AF355">
        <v>0</v>
      </c>
      <c r="AG355">
        <v>2</v>
      </c>
      <c r="AH355">
        <v>0</v>
      </c>
      <c r="AI355" t="s">
        <v>351</v>
      </c>
      <c r="AJ355">
        <v>41.979747000000003</v>
      </c>
      <c r="AK355" t="s">
        <v>265</v>
      </c>
      <c r="AL355">
        <v>-87.894722999999999</v>
      </c>
      <c r="AS355">
        <v>1</v>
      </c>
      <c r="AT355" t="s">
        <v>118</v>
      </c>
      <c r="AU355" t="b">
        <v>1</v>
      </c>
      <c r="AV355">
        <v>227.81</v>
      </c>
      <c r="AW355">
        <v>15.125</v>
      </c>
      <c r="AX355">
        <v>1</v>
      </c>
      <c r="AZ355">
        <v>7205</v>
      </c>
      <c r="BA355">
        <v>1</v>
      </c>
      <c r="BB355" t="str">
        <f t="shared" si="17"/>
        <v xml:space="preserve">KAP400  </v>
      </c>
      <c r="BC355">
        <v>1</v>
      </c>
      <c r="BE355">
        <v>0</v>
      </c>
      <c r="BF355">
        <v>0</v>
      </c>
      <c r="BG355">
        <v>0</v>
      </c>
      <c r="BI355">
        <v>1</v>
      </c>
      <c r="BJ355">
        <v>1</v>
      </c>
      <c r="BK355">
        <v>1</v>
      </c>
      <c r="BL355">
        <v>0</v>
      </c>
      <c r="BO355">
        <v>0</v>
      </c>
      <c r="BP355">
        <v>0</v>
      </c>
      <c r="BW355" t="str">
        <f>"19:07:55.178"</f>
        <v>19:07:55.178</v>
      </c>
      <c r="BX355" t="s">
        <v>119</v>
      </c>
      <c r="BY355" t="s">
        <v>120</v>
      </c>
      <c r="CJ355">
        <v>0</v>
      </c>
      <c r="CK355">
        <v>0</v>
      </c>
      <c r="CL355">
        <v>0</v>
      </c>
      <c r="CM355">
        <v>2</v>
      </c>
      <c r="CN355">
        <v>0</v>
      </c>
      <c r="CO355">
        <v>6</v>
      </c>
      <c r="CP355" t="s">
        <v>121</v>
      </c>
      <c r="CQ355">
        <v>582</v>
      </c>
      <c r="CR355">
        <v>0</v>
      </c>
      <c r="CW355">
        <v>5776685</v>
      </c>
      <c r="CY355">
        <v>0</v>
      </c>
      <c r="CZ355">
        <v>0</v>
      </c>
      <c r="DA355">
        <v>0</v>
      </c>
      <c r="DB355">
        <v>1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</row>
    <row r="356" spans="1:113" x14ac:dyDescent="0.3">
      <c r="A356" t="str">
        <f>"06/16/2022 19:07:56.394"</f>
        <v>06/16/2022 19:07:56.394</v>
      </c>
      <c r="C356" t="str">
        <f t="shared" si="15"/>
        <v>FFBF5BC0</v>
      </c>
      <c r="D356" t="s">
        <v>113</v>
      </c>
      <c r="E356">
        <v>8</v>
      </c>
      <c r="H356">
        <v>206</v>
      </c>
      <c r="I356" t="s">
        <v>114</v>
      </c>
      <c r="J356" t="s">
        <v>115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>"19:07:56.117"</f>
        <v>19:07:56.117</v>
      </c>
      <c r="T356" t="str">
        <f>"19:07:56.117"</f>
        <v>19:07:56.117</v>
      </c>
      <c r="U356" t="str">
        <f t="shared" si="16"/>
        <v>AB63B2</v>
      </c>
      <c r="V356">
        <v>0</v>
      </c>
      <c r="W356">
        <v>0</v>
      </c>
      <c r="X356">
        <v>6</v>
      </c>
      <c r="Z356">
        <v>0</v>
      </c>
      <c r="AA356">
        <v>9</v>
      </c>
      <c r="AB356">
        <v>3</v>
      </c>
      <c r="AC356">
        <v>0</v>
      </c>
      <c r="AD356">
        <v>10</v>
      </c>
      <c r="AE356">
        <v>0</v>
      </c>
      <c r="AF356">
        <v>0</v>
      </c>
      <c r="AG356">
        <v>2</v>
      </c>
      <c r="AH356">
        <v>0</v>
      </c>
      <c r="AI356" t="s">
        <v>352</v>
      </c>
      <c r="AJ356">
        <v>41.979703999999998</v>
      </c>
      <c r="AK356" t="s">
        <v>353</v>
      </c>
      <c r="AL356">
        <v>-87.894766000000004</v>
      </c>
      <c r="AS356">
        <v>1</v>
      </c>
      <c r="AT356" t="s">
        <v>118</v>
      </c>
      <c r="AU356" t="b">
        <v>1</v>
      </c>
      <c r="AV356">
        <v>227.81</v>
      </c>
      <c r="AW356">
        <v>16.125</v>
      </c>
      <c r="AX356">
        <v>1</v>
      </c>
      <c r="AZ356">
        <v>7205</v>
      </c>
      <c r="BA356">
        <v>1</v>
      </c>
      <c r="BB356" t="str">
        <f t="shared" si="17"/>
        <v xml:space="preserve">KAP400  </v>
      </c>
      <c r="BC356">
        <v>1</v>
      </c>
      <c r="BE356">
        <v>0</v>
      </c>
      <c r="BF356">
        <v>0</v>
      </c>
      <c r="BG356">
        <v>0</v>
      </c>
      <c r="BI356">
        <v>1</v>
      </c>
      <c r="BJ356">
        <v>1</v>
      </c>
      <c r="BK356">
        <v>1</v>
      </c>
      <c r="BL356">
        <v>0</v>
      </c>
      <c r="BO356">
        <v>0</v>
      </c>
      <c r="BP356">
        <v>0</v>
      </c>
      <c r="BW356" t="str">
        <f>"19:07:56.124"</f>
        <v>19:07:56.124</v>
      </c>
      <c r="BX356" t="s">
        <v>119</v>
      </c>
      <c r="BY356" t="s">
        <v>120</v>
      </c>
      <c r="CJ356">
        <v>0</v>
      </c>
      <c r="CK356">
        <v>0</v>
      </c>
      <c r="CL356">
        <v>0</v>
      </c>
      <c r="CM356">
        <v>2</v>
      </c>
      <c r="CN356">
        <v>0</v>
      </c>
      <c r="CO356">
        <v>6</v>
      </c>
      <c r="CP356" t="s">
        <v>121</v>
      </c>
      <c r="CQ356">
        <v>582</v>
      </c>
      <c r="CR356">
        <v>0</v>
      </c>
      <c r="CW356">
        <v>5778031</v>
      </c>
      <c r="CY356">
        <v>0</v>
      </c>
      <c r="CZ356">
        <v>0</v>
      </c>
      <c r="DA356">
        <v>0</v>
      </c>
      <c r="DB356">
        <v>1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</row>
    <row r="357" spans="1:113" x14ac:dyDescent="0.3">
      <c r="A357" t="str">
        <f>"06/16/2022 19:07:57.672"</f>
        <v>06/16/2022 19:07:57.672</v>
      </c>
      <c r="C357" t="str">
        <f t="shared" si="15"/>
        <v>FFBF5BC0</v>
      </c>
      <c r="D357" t="s">
        <v>113</v>
      </c>
      <c r="E357">
        <v>8</v>
      </c>
      <c r="H357">
        <v>206</v>
      </c>
      <c r="I357" t="s">
        <v>114</v>
      </c>
      <c r="J357" t="s">
        <v>115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>"19:07:57.461"</f>
        <v>19:07:57.461</v>
      </c>
      <c r="T357" t="str">
        <f>"19:07:57.461"</f>
        <v>19:07:57.461</v>
      </c>
      <c r="U357" t="str">
        <f t="shared" si="16"/>
        <v>AB63B2</v>
      </c>
      <c r="V357">
        <v>0</v>
      </c>
      <c r="W357">
        <v>0</v>
      </c>
      <c r="X357">
        <v>6</v>
      </c>
      <c r="Z357">
        <v>0</v>
      </c>
      <c r="AA357">
        <v>9</v>
      </c>
      <c r="AB357">
        <v>3</v>
      </c>
      <c r="AC357">
        <v>0</v>
      </c>
      <c r="AD357">
        <v>10</v>
      </c>
      <c r="AE357">
        <v>0</v>
      </c>
      <c r="AF357">
        <v>0</v>
      </c>
      <c r="AG357">
        <v>2</v>
      </c>
      <c r="AH357">
        <v>0</v>
      </c>
      <c r="AI357" t="s">
        <v>354</v>
      </c>
      <c r="AJ357">
        <v>41.979640000000003</v>
      </c>
      <c r="AK357" t="s">
        <v>129</v>
      </c>
      <c r="AL357">
        <v>-87.894874000000002</v>
      </c>
      <c r="AS357">
        <v>1</v>
      </c>
      <c r="AT357" t="s">
        <v>118</v>
      </c>
      <c r="AU357" t="b">
        <v>1</v>
      </c>
      <c r="AV357">
        <v>222.19</v>
      </c>
      <c r="AW357">
        <v>16.125</v>
      </c>
      <c r="AX357">
        <v>1</v>
      </c>
      <c r="AZ357">
        <v>7205</v>
      </c>
      <c r="BA357">
        <v>1</v>
      </c>
      <c r="BB357" t="str">
        <f t="shared" si="17"/>
        <v xml:space="preserve">KAP400  </v>
      </c>
      <c r="BC357">
        <v>1</v>
      </c>
      <c r="BE357">
        <v>0</v>
      </c>
      <c r="BF357">
        <v>0</v>
      </c>
      <c r="BG357">
        <v>0</v>
      </c>
      <c r="BI357">
        <v>1</v>
      </c>
      <c r="BJ357">
        <v>1</v>
      </c>
      <c r="BK357">
        <v>1</v>
      </c>
      <c r="BL357">
        <v>0</v>
      </c>
      <c r="BO357">
        <v>0</v>
      </c>
      <c r="BP357">
        <v>0</v>
      </c>
      <c r="BW357" t="str">
        <f>"19:07:57.464"</f>
        <v>19:07:57.464</v>
      </c>
      <c r="BX357" t="s">
        <v>119</v>
      </c>
      <c r="BY357" t="s">
        <v>120</v>
      </c>
      <c r="CJ357">
        <v>0</v>
      </c>
      <c r="CK357">
        <v>0</v>
      </c>
      <c r="CL357">
        <v>0</v>
      </c>
      <c r="CM357">
        <v>2</v>
      </c>
      <c r="CN357">
        <v>0</v>
      </c>
      <c r="CO357">
        <v>6</v>
      </c>
      <c r="CP357" t="s">
        <v>121</v>
      </c>
      <c r="CQ357">
        <v>582</v>
      </c>
      <c r="CR357">
        <v>0</v>
      </c>
      <c r="CW357">
        <v>5779958</v>
      </c>
      <c r="CY357">
        <v>0</v>
      </c>
      <c r="CZ357">
        <v>0</v>
      </c>
      <c r="DA357">
        <v>0</v>
      </c>
      <c r="DB357">
        <v>1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</row>
    <row r="358" spans="1:113" x14ac:dyDescent="0.3">
      <c r="A358" t="str">
        <f>"06/16/2022 19:07:58.969"</f>
        <v>06/16/2022 19:07:58.969</v>
      </c>
      <c r="C358" t="str">
        <f t="shared" si="15"/>
        <v>FFBF5BC0</v>
      </c>
      <c r="D358" t="s">
        <v>113</v>
      </c>
      <c r="E358">
        <v>8</v>
      </c>
      <c r="H358">
        <v>206</v>
      </c>
      <c r="I358" t="s">
        <v>114</v>
      </c>
      <c r="J358" t="s">
        <v>115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>"19:07:58.758"</f>
        <v>19:07:58.758</v>
      </c>
      <c r="T358" t="str">
        <f>"19:07:58.758"</f>
        <v>19:07:58.758</v>
      </c>
      <c r="U358" t="str">
        <f t="shared" si="16"/>
        <v>AB63B2</v>
      </c>
      <c r="V358">
        <v>0</v>
      </c>
      <c r="W358">
        <v>0</v>
      </c>
      <c r="X358">
        <v>6</v>
      </c>
      <c r="Z358">
        <v>0</v>
      </c>
      <c r="AA358">
        <v>9</v>
      </c>
      <c r="AB358">
        <v>3</v>
      </c>
      <c r="AC358">
        <v>0</v>
      </c>
      <c r="AD358">
        <v>10</v>
      </c>
      <c r="AE358">
        <v>0</v>
      </c>
      <c r="AF358">
        <v>0</v>
      </c>
      <c r="AG358">
        <v>2</v>
      </c>
      <c r="AH358">
        <v>0</v>
      </c>
      <c r="AI358" t="s">
        <v>355</v>
      </c>
      <c r="AJ358">
        <v>41.979554</v>
      </c>
      <c r="AK358" t="s">
        <v>356</v>
      </c>
      <c r="AL358">
        <v>-87.894959</v>
      </c>
      <c r="AS358">
        <v>1</v>
      </c>
      <c r="AT358" t="s">
        <v>118</v>
      </c>
      <c r="AU358" t="b">
        <v>1</v>
      </c>
      <c r="AV358">
        <v>219.38</v>
      </c>
      <c r="AW358">
        <v>16.125</v>
      </c>
      <c r="AX358">
        <v>1</v>
      </c>
      <c r="AZ358">
        <v>7205</v>
      </c>
      <c r="BA358">
        <v>1</v>
      </c>
      <c r="BB358" t="str">
        <f t="shared" si="17"/>
        <v xml:space="preserve">KAP400  </v>
      </c>
      <c r="BC358">
        <v>1</v>
      </c>
      <c r="BE358">
        <v>0</v>
      </c>
      <c r="BF358">
        <v>0</v>
      </c>
      <c r="BG358">
        <v>0</v>
      </c>
      <c r="BI358">
        <v>1</v>
      </c>
      <c r="BJ358">
        <v>1</v>
      </c>
      <c r="BK358">
        <v>1</v>
      </c>
      <c r="BL358">
        <v>0</v>
      </c>
      <c r="BO358">
        <v>0</v>
      </c>
      <c r="BP358">
        <v>0</v>
      </c>
      <c r="BW358" t="str">
        <f>"19:07:58.762"</f>
        <v>19:07:58.762</v>
      </c>
      <c r="BX358" t="s">
        <v>119</v>
      </c>
      <c r="BY358" t="s">
        <v>120</v>
      </c>
      <c r="CJ358">
        <v>0</v>
      </c>
      <c r="CK358">
        <v>0</v>
      </c>
      <c r="CL358">
        <v>0</v>
      </c>
      <c r="CM358">
        <v>2</v>
      </c>
      <c r="CN358">
        <v>0</v>
      </c>
      <c r="CO358">
        <v>5</v>
      </c>
      <c r="CP358" t="s">
        <v>121</v>
      </c>
      <c r="CQ358">
        <v>581</v>
      </c>
      <c r="CR358">
        <v>0</v>
      </c>
      <c r="CW358">
        <v>14827858</v>
      </c>
      <c r="CY358">
        <v>0</v>
      </c>
      <c r="CZ358">
        <v>0</v>
      </c>
      <c r="DA358">
        <v>0</v>
      </c>
      <c r="DB358">
        <v>1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</row>
    <row r="359" spans="1:113" x14ac:dyDescent="0.3">
      <c r="A359" t="str">
        <f>"06/16/2022 19:08:00.063"</f>
        <v>06/16/2022 19:08:00.063</v>
      </c>
      <c r="C359" t="str">
        <f t="shared" si="15"/>
        <v>FFBF5BC0</v>
      </c>
      <c r="D359" t="s">
        <v>113</v>
      </c>
      <c r="E359">
        <v>8</v>
      </c>
      <c r="H359">
        <v>206</v>
      </c>
      <c r="I359" t="s">
        <v>114</v>
      </c>
      <c r="J359" t="s">
        <v>115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>"19:07:59.750"</f>
        <v>19:07:59.750</v>
      </c>
      <c r="T359" t="str">
        <f>"19:07:59.750"</f>
        <v>19:07:59.750</v>
      </c>
      <c r="U359" t="str">
        <f t="shared" si="16"/>
        <v>AB63B2</v>
      </c>
      <c r="V359">
        <v>0</v>
      </c>
      <c r="W359">
        <v>0</v>
      </c>
      <c r="X359">
        <v>6</v>
      </c>
      <c r="Z359">
        <v>0</v>
      </c>
      <c r="AA359">
        <v>9</v>
      </c>
      <c r="AB359">
        <v>3</v>
      </c>
      <c r="AC359">
        <v>0</v>
      </c>
      <c r="AD359">
        <v>10</v>
      </c>
      <c r="AE359">
        <v>0</v>
      </c>
      <c r="AF359">
        <v>0</v>
      </c>
      <c r="AG359">
        <v>2</v>
      </c>
      <c r="AH359">
        <v>0</v>
      </c>
      <c r="AI359" t="s">
        <v>357</v>
      </c>
      <c r="AJ359">
        <v>41.979511000000002</v>
      </c>
      <c r="AK359" t="s">
        <v>358</v>
      </c>
      <c r="AL359">
        <v>-87.895002000000005</v>
      </c>
      <c r="AS359">
        <v>1</v>
      </c>
      <c r="AT359" t="s">
        <v>118</v>
      </c>
      <c r="AU359" t="b">
        <v>1</v>
      </c>
      <c r="AV359">
        <v>210.94</v>
      </c>
      <c r="AW359">
        <v>16.125</v>
      </c>
      <c r="AX359">
        <v>1</v>
      </c>
      <c r="AZ359">
        <v>7205</v>
      </c>
      <c r="BA359">
        <v>1</v>
      </c>
      <c r="BB359" t="str">
        <f t="shared" si="17"/>
        <v xml:space="preserve">KAP400  </v>
      </c>
      <c r="BC359">
        <v>1</v>
      </c>
      <c r="BE359">
        <v>0</v>
      </c>
      <c r="BF359">
        <v>0</v>
      </c>
      <c r="BG359">
        <v>0</v>
      </c>
      <c r="BI359">
        <v>1</v>
      </c>
      <c r="BJ359">
        <v>1</v>
      </c>
      <c r="BK359">
        <v>1</v>
      </c>
      <c r="BL359">
        <v>0</v>
      </c>
      <c r="BO359">
        <v>0</v>
      </c>
      <c r="BP359">
        <v>0</v>
      </c>
      <c r="BW359" t="str">
        <f>"19:07:59.756"</f>
        <v>19:07:59.756</v>
      </c>
      <c r="BX359" t="s">
        <v>119</v>
      </c>
      <c r="BY359" t="s">
        <v>120</v>
      </c>
      <c r="CJ359">
        <v>0</v>
      </c>
      <c r="CK359">
        <v>0</v>
      </c>
      <c r="CL359">
        <v>0</v>
      </c>
      <c r="CM359">
        <v>2</v>
      </c>
      <c r="CN359">
        <v>0</v>
      </c>
      <c r="CO359">
        <v>6</v>
      </c>
      <c r="CP359" t="s">
        <v>121</v>
      </c>
      <c r="CQ359">
        <v>580</v>
      </c>
      <c r="CR359">
        <v>0</v>
      </c>
      <c r="CW359">
        <v>16557265</v>
      </c>
      <c r="CY359">
        <v>0</v>
      </c>
      <c r="CZ359">
        <v>0</v>
      </c>
      <c r="DA359">
        <v>0</v>
      </c>
      <c r="DB359">
        <v>1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</row>
    <row r="360" spans="1:113" x14ac:dyDescent="0.3">
      <c r="A360" t="str">
        <f>"06/16/2022 19:08:01.001"</f>
        <v>06/16/2022 19:08:01.001</v>
      </c>
      <c r="C360" t="str">
        <f t="shared" si="15"/>
        <v>FFBF5BC0</v>
      </c>
      <c r="D360" t="s">
        <v>113</v>
      </c>
      <c r="E360">
        <v>8</v>
      </c>
      <c r="H360">
        <v>206</v>
      </c>
      <c r="I360" t="s">
        <v>114</v>
      </c>
      <c r="J360" t="s">
        <v>115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>"19:08:00.781"</f>
        <v>19:08:00.781</v>
      </c>
      <c r="T360" t="str">
        <f>"19:08:00.781"</f>
        <v>19:08:00.781</v>
      </c>
      <c r="U360" t="str">
        <f t="shared" si="16"/>
        <v>AB63B2</v>
      </c>
      <c r="V360">
        <v>0</v>
      </c>
      <c r="W360">
        <v>0</v>
      </c>
      <c r="X360">
        <v>6</v>
      </c>
      <c r="Z360">
        <v>0</v>
      </c>
      <c r="AA360">
        <v>9</v>
      </c>
      <c r="AB360">
        <v>3</v>
      </c>
      <c r="AC360">
        <v>0</v>
      </c>
      <c r="AD360">
        <v>10</v>
      </c>
      <c r="AE360">
        <v>0</v>
      </c>
      <c r="AF360">
        <v>0</v>
      </c>
      <c r="AG360">
        <v>2</v>
      </c>
      <c r="AH360">
        <v>0</v>
      </c>
      <c r="AI360" t="s">
        <v>359</v>
      </c>
      <c r="AJ360">
        <v>41.979446000000003</v>
      </c>
      <c r="AK360" t="s">
        <v>360</v>
      </c>
      <c r="AL360">
        <v>-87.895066999999997</v>
      </c>
      <c r="AS360">
        <v>1</v>
      </c>
      <c r="AT360" t="s">
        <v>118</v>
      </c>
      <c r="AU360" t="b">
        <v>1</v>
      </c>
      <c r="AV360">
        <v>208.13</v>
      </c>
      <c r="AW360">
        <v>17.125</v>
      </c>
      <c r="AX360">
        <v>1</v>
      </c>
      <c r="AZ360">
        <v>7205</v>
      </c>
      <c r="BA360">
        <v>1</v>
      </c>
      <c r="BB360" t="str">
        <f t="shared" si="17"/>
        <v xml:space="preserve">KAP400  </v>
      </c>
      <c r="BC360">
        <v>1</v>
      </c>
      <c r="BE360">
        <v>0</v>
      </c>
      <c r="BF360">
        <v>0</v>
      </c>
      <c r="BG360">
        <v>0</v>
      </c>
      <c r="BI360">
        <v>1</v>
      </c>
      <c r="BJ360">
        <v>1</v>
      </c>
      <c r="BK360">
        <v>1</v>
      </c>
      <c r="BL360">
        <v>0</v>
      </c>
      <c r="BO360">
        <v>0</v>
      </c>
      <c r="BP360">
        <v>0</v>
      </c>
      <c r="BW360" t="str">
        <f>"19:08:00.784"</f>
        <v>19:08:00.784</v>
      </c>
      <c r="BX360" t="s">
        <v>119</v>
      </c>
      <c r="BY360" t="s">
        <v>120</v>
      </c>
      <c r="CJ360">
        <v>0</v>
      </c>
      <c r="CK360">
        <v>0</v>
      </c>
      <c r="CL360">
        <v>0</v>
      </c>
      <c r="CM360">
        <v>2</v>
      </c>
      <c r="CN360">
        <v>0</v>
      </c>
      <c r="CO360">
        <v>5</v>
      </c>
      <c r="CP360" t="s">
        <v>121</v>
      </c>
      <c r="CQ360">
        <v>581</v>
      </c>
      <c r="CR360">
        <v>0</v>
      </c>
      <c r="CW360">
        <v>14831037</v>
      </c>
      <c r="CY360">
        <v>0</v>
      </c>
      <c r="CZ360">
        <v>0</v>
      </c>
      <c r="DA360">
        <v>0</v>
      </c>
      <c r="DB360">
        <v>1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</row>
    <row r="361" spans="1:113" x14ac:dyDescent="0.3">
      <c r="A361" t="str">
        <f>"06/16/2022 19:08:03.532"</f>
        <v>06/16/2022 19:08:03.532</v>
      </c>
      <c r="C361" t="str">
        <f t="shared" si="15"/>
        <v>FFBF5BC0</v>
      </c>
      <c r="D361" t="s">
        <v>113</v>
      </c>
      <c r="E361">
        <v>8</v>
      </c>
      <c r="H361">
        <v>206</v>
      </c>
      <c r="I361" t="s">
        <v>114</v>
      </c>
      <c r="J361" t="s">
        <v>115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>"19:08:03.211"</f>
        <v>19:08:03.211</v>
      </c>
      <c r="T361" t="str">
        <f>"19:08:03.211"</f>
        <v>19:08:03.211</v>
      </c>
      <c r="U361" t="str">
        <f t="shared" si="16"/>
        <v>AB63B2</v>
      </c>
      <c r="V361">
        <v>0</v>
      </c>
      <c r="W361">
        <v>0</v>
      </c>
      <c r="X361">
        <v>6</v>
      </c>
      <c r="Z361">
        <v>0</v>
      </c>
      <c r="AA361">
        <v>9</v>
      </c>
      <c r="AB361">
        <v>3</v>
      </c>
      <c r="AC361">
        <v>0</v>
      </c>
      <c r="AD361">
        <v>10</v>
      </c>
      <c r="AE361">
        <v>0</v>
      </c>
      <c r="AF361">
        <v>0</v>
      </c>
      <c r="AG361">
        <v>2</v>
      </c>
      <c r="AH361">
        <v>0</v>
      </c>
      <c r="AI361" t="s">
        <v>361</v>
      </c>
      <c r="AJ361">
        <v>41.979275000000001</v>
      </c>
      <c r="AK361" t="s">
        <v>362</v>
      </c>
      <c r="AL361">
        <v>-87.895173999999997</v>
      </c>
      <c r="AS361">
        <v>1</v>
      </c>
      <c r="AT361" t="s">
        <v>118</v>
      </c>
      <c r="AU361" t="b">
        <v>1</v>
      </c>
      <c r="AV361">
        <v>196.88</v>
      </c>
      <c r="AW361">
        <v>17.125</v>
      </c>
      <c r="AX361">
        <v>1</v>
      </c>
      <c r="AZ361">
        <v>7205</v>
      </c>
      <c r="BA361">
        <v>1</v>
      </c>
      <c r="BB361" t="str">
        <f t="shared" si="17"/>
        <v xml:space="preserve">KAP400  </v>
      </c>
      <c r="BC361">
        <v>1</v>
      </c>
      <c r="BE361">
        <v>0</v>
      </c>
      <c r="BF361">
        <v>0</v>
      </c>
      <c r="BG361">
        <v>0</v>
      </c>
      <c r="BI361">
        <v>1</v>
      </c>
      <c r="BJ361">
        <v>1</v>
      </c>
      <c r="BK361">
        <v>1</v>
      </c>
      <c r="BL361">
        <v>0</v>
      </c>
      <c r="BO361">
        <v>0</v>
      </c>
      <c r="BP361">
        <v>0</v>
      </c>
      <c r="BW361" t="str">
        <f>"19:08:03.218"</f>
        <v>19:08:03.218</v>
      </c>
      <c r="BX361" t="s">
        <v>119</v>
      </c>
      <c r="BY361" t="s">
        <v>120</v>
      </c>
      <c r="CJ361">
        <v>0</v>
      </c>
      <c r="CK361">
        <v>0</v>
      </c>
      <c r="CL361">
        <v>0</v>
      </c>
      <c r="CM361">
        <v>2</v>
      </c>
      <c r="CN361">
        <v>0</v>
      </c>
      <c r="CO361">
        <v>5</v>
      </c>
      <c r="CP361" t="s">
        <v>121</v>
      </c>
      <c r="CQ361">
        <v>580</v>
      </c>
      <c r="CR361">
        <v>0</v>
      </c>
      <c r="CW361">
        <v>16564173</v>
      </c>
      <c r="CY361">
        <v>0</v>
      </c>
      <c r="CZ361">
        <v>0</v>
      </c>
      <c r="DA361">
        <v>0</v>
      </c>
      <c r="DB361">
        <v>1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</row>
    <row r="362" spans="1:113" x14ac:dyDescent="0.3">
      <c r="A362" t="str">
        <f>"06/16/2022 19:08:18.047"</f>
        <v>06/16/2022 19:08:18.047</v>
      </c>
      <c r="C362" t="str">
        <f t="shared" si="15"/>
        <v>FFBF5BC0</v>
      </c>
      <c r="D362" t="s">
        <v>113</v>
      </c>
      <c r="E362">
        <v>8</v>
      </c>
      <c r="H362">
        <v>206</v>
      </c>
      <c r="I362" t="s">
        <v>114</v>
      </c>
      <c r="J362" t="s">
        <v>115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>"19:08:17.813"</f>
        <v>19:08:17.813</v>
      </c>
      <c r="T362" t="str">
        <f>"19:08:17.813"</f>
        <v>19:08:17.813</v>
      </c>
      <c r="U362" t="str">
        <f t="shared" si="16"/>
        <v>AB63B2</v>
      </c>
      <c r="V362">
        <v>0</v>
      </c>
      <c r="W362">
        <v>0</v>
      </c>
      <c r="X362">
        <v>6</v>
      </c>
      <c r="Z362">
        <v>0</v>
      </c>
      <c r="AA362">
        <v>9</v>
      </c>
      <c r="AB362">
        <v>3</v>
      </c>
      <c r="AC362">
        <v>0</v>
      </c>
      <c r="AD362">
        <v>10</v>
      </c>
      <c r="AE362">
        <v>0</v>
      </c>
      <c r="AF362">
        <v>0</v>
      </c>
      <c r="AG362">
        <v>2</v>
      </c>
      <c r="AH362">
        <v>0</v>
      </c>
      <c r="AI362" t="s">
        <v>363</v>
      </c>
      <c r="AJ362">
        <v>41.978009</v>
      </c>
      <c r="AK362" t="s">
        <v>364</v>
      </c>
      <c r="AL362">
        <v>-87.895238000000006</v>
      </c>
      <c r="AS362">
        <v>1</v>
      </c>
      <c r="AT362" t="s">
        <v>118</v>
      </c>
      <c r="AU362" t="b">
        <v>1</v>
      </c>
      <c r="AV362">
        <v>180</v>
      </c>
      <c r="AW362">
        <v>21.125</v>
      </c>
      <c r="AX362">
        <v>1</v>
      </c>
      <c r="AZ362">
        <v>7205</v>
      </c>
      <c r="BA362">
        <v>1</v>
      </c>
      <c r="BB362" t="str">
        <f t="shared" si="17"/>
        <v xml:space="preserve">KAP400  </v>
      </c>
      <c r="BC362">
        <v>1</v>
      </c>
      <c r="BE362">
        <v>0</v>
      </c>
      <c r="BF362">
        <v>0</v>
      </c>
      <c r="BG362">
        <v>0</v>
      </c>
      <c r="BI362">
        <v>1</v>
      </c>
      <c r="BJ362">
        <v>1</v>
      </c>
      <c r="BK362">
        <v>1</v>
      </c>
      <c r="BL362">
        <v>0</v>
      </c>
      <c r="BO362">
        <v>0</v>
      </c>
      <c r="BP362">
        <v>0</v>
      </c>
      <c r="BW362" t="str">
        <f>"19:08:17.817"</f>
        <v>19:08:17.817</v>
      </c>
      <c r="BX362" t="s">
        <v>119</v>
      </c>
      <c r="BY362" t="s">
        <v>120</v>
      </c>
      <c r="CJ362">
        <v>0</v>
      </c>
      <c r="CK362">
        <v>0</v>
      </c>
      <c r="CL362">
        <v>0</v>
      </c>
      <c r="CM362">
        <v>2</v>
      </c>
      <c r="CN362">
        <v>0</v>
      </c>
      <c r="CO362">
        <v>7</v>
      </c>
      <c r="CP362" t="s">
        <v>121</v>
      </c>
      <c r="CQ362">
        <v>580</v>
      </c>
      <c r="CR362">
        <v>0</v>
      </c>
      <c r="CW362">
        <v>16592634</v>
      </c>
      <c r="CY362">
        <v>0</v>
      </c>
      <c r="CZ362">
        <v>0</v>
      </c>
      <c r="DA362">
        <v>0</v>
      </c>
      <c r="DB362">
        <v>1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</row>
    <row r="363" spans="1:113" x14ac:dyDescent="0.3">
      <c r="A363" t="str">
        <f>"06/16/2022 19:08:19.172"</f>
        <v>06/16/2022 19:08:19.172</v>
      </c>
      <c r="C363" t="str">
        <f t="shared" si="15"/>
        <v>FFBF5BC0</v>
      </c>
      <c r="D363" t="s">
        <v>113</v>
      </c>
      <c r="E363">
        <v>8</v>
      </c>
      <c r="H363">
        <v>206</v>
      </c>
      <c r="I363" t="s">
        <v>114</v>
      </c>
      <c r="J363" t="s">
        <v>115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>"19:08:18.852"</f>
        <v>19:08:18.852</v>
      </c>
      <c r="T363" t="str">
        <f>"19:08:18.852"</f>
        <v>19:08:18.852</v>
      </c>
      <c r="U363" t="str">
        <f t="shared" si="16"/>
        <v>AB63B2</v>
      </c>
      <c r="V363">
        <v>0</v>
      </c>
      <c r="W363">
        <v>0</v>
      </c>
      <c r="X363">
        <v>6</v>
      </c>
      <c r="Z363">
        <v>0</v>
      </c>
      <c r="AA363">
        <v>9</v>
      </c>
      <c r="AB363">
        <v>3</v>
      </c>
      <c r="AC363">
        <v>0</v>
      </c>
      <c r="AD363">
        <v>10</v>
      </c>
      <c r="AE363">
        <v>0</v>
      </c>
      <c r="AF363">
        <v>0</v>
      </c>
      <c r="AG363">
        <v>2</v>
      </c>
      <c r="AH363">
        <v>0</v>
      </c>
      <c r="AI363" t="s">
        <v>365</v>
      </c>
      <c r="AJ363">
        <v>41.977901000000003</v>
      </c>
      <c r="AK363" t="s">
        <v>364</v>
      </c>
      <c r="AL363">
        <v>-87.895238000000006</v>
      </c>
      <c r="AS363">
        <v>1</v>
      </c>
      <c r="AT363" t="s">
        <v>118</v>
      </c>
      <c r="AU363" t="b">
        <v>1</v>
      </c>
      <c r="AV363">
        <v>180</v>
      </c>
      <c r="AW363">
        <v>21.125</v>
      </c>
      <c r="AX363">
        <v>1</v>
      </c>
      <c r="AZ363">
        <v>7205</v>
      </c>
      <c r="BA363">
        <v>1</v>
      </c>
      <c r="BB363" t="str">
        <f t="shared" si="17"/>
        <v xml:space="preserve">KAP400  </v>
      </c>
      <c r="BC363">
        <v>1</v>
      </c>
      <c r="BE363">
        <v>0</v>
      </c>
      <c r="BF363">
        <v>0</v>
      </c>
      <c r="BG363">
        <v>0</v>
      </c>
      <c r="BI363">
        <v>1</v>
      </c>
      <c r="BJ363">
        <v>1</v>
      </c>
      <c r="BK363">
        <v>1</v>
      </c>
      <c r="BL363">
        <v>0</v>
      </c>
      <c r="BO363">
        <v>0</v>
      </c>
      <c r="BP363">
        <v>0</v>
      </c>
      <c r="BW363" t="str">
        <f>"19:08:18.859"</f>
        <v>19:08:18.859</v>
      </c>
      <c r="BX363" t="s">
        <v>119</v>
      </c>
      <c r="BY363" t="s">
        <v>120</v>
      </c>
      <c r="CJ363">
        <v>0</v>
      </c>
      <c r="CK363">
        <v>0</v>
      </c>
      <c r="CL363">
        <v>0</v>
      </c>
      <c r="CM363">
        <v>2</v>
      </c>
      <c r="CN363">
        <v>0</v>
      </c>
      <c r="CO363">
        <v>7</v>
      </c>
      <c r="CP363" t="s">
        <v>121</v>
      </c>
      <c r="CQ363">
        <v>580</v>
      </c>
      <c r="CR363">
        <v>0</v>
      </c>
      <c r="CW363">
        <v>16594626</v>
      </c>
      <c r="CY363">
        <v>0</v>
      </c>
      <c r="CZ363">
        <v>0</v>
      </c>
      <c r="DA363">
        <v>0</v>
      </c>
      <c r="DB363">
        <v>1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</row>
    <row r="364" spans="1:113" x14ac:dyDescent="0.3">
      <c r="A364" t="str">
        <f>"06/16/2022 19:08:20.297"</f>
        <v>06/16/2022 19:08:20.297</v>
      </c>
      <c r="C364" t="str">
        <f t="shared" si="15"/>
        <v>FFBF5BC0</v>
      </c>
      <c r="D364" t="s">
        <v>113</v>
      </c>
      <c r="E364">
        <v>8</v>
      </c>
      <c r="H364">
        <v>206</v>
      </c>
      <c r="I364" t="s">
        <v>114</v>
      </c>
      <c r="J364" t="s">
        <v>115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>"19:08:19.984"</f>
        <v>19:08:19.984</v>
      </c>
      <c r="T364" t="str">
        <f>"19:08:19.984"</f>
        <v>19:08:19.984</v>
      </c>
      <c r="U364" t="str">
        <f t="shared" si="16"/>
        <v>AB63B2</v>
      </c>
      <c r="V364">
        <v>0</v>
      </c>
      <c r="W364">
        <v>0</v>
      </c>
      <c r="X364">
        <v>6</v>
      </c>
      <c r="Z364">
        <v>0</v>
      </c>
      <c r="AA364">
        <v>9</v>
      </c>
      <c r="AB364">
        <v>3</v>
      </c>
      <c r="AC364">
        <v>0</v>
      </c>
      <c r="AD364">
        <v>10</v>
      </c>
      <c r="AE364">
        <v>0</v>
      </c>
      <c r="AF364">
        <v>0</v>
      </c>
      <c r="AG364">
        <v>2</v>
      </c>
      <c r="AH364">
        <v>0</v>
      </c>
      <c r="AI364" t="s">
        <v>366</v>
      </c>
      <c r="AJ364">
        <v>41.977794000000003</v>
      </c>
      <c r="AK364" t="s">
        <v>364</v>
      </c>
      <c r="AL364">
        <v>-87.895238000000006</v>
      </c>
      <c r="AS364">
        <v>1</v>
      </c>
      <c r="AT364" t="s">
        <v>118</v>
      </c>
      <c r="AU364" t="b">
        <v>1</v>
      </c>
      <c r="AV364">
        <v>180</v>
      </c>
      <c r="AW364">
        <v>21.125</v>
      </c>
      <c r="AX364">
        <v>1</v>
      </c>
      <c r="AZ364">
        <v>7205</v>
      </c>
      <c r="BA364">
        <v>1</v>
      </c>
      <c r="BB364" t="str">
        <f t="shared" si="17"/>
        <v xml:space="preserve">KAP400  </v>
      </c>
      <c r="BC364">
        <v>1</v>
      </c>
      <c r="BE364">
        <v>0</v>
      </c>
      <c r="BF364">
        <v>0</v>
      </c>
      <c r="BG364">
        <v>0</v>
      </c>
      <c r="BI364">
        <v>1</v>
      </c>
      <c r="BJ364">
        <v>1</v>
      </c>
      <c r="BK364">
        <v>1</v>
      </c>
      <c r="BL364">
        <v>0</v>
      </c>
      <c r="BO364">
        <v>0</v>
      </c>
      <c r="BP364">
        <v>0</v>
      </c>
      <c r="BW364" t="str">
        <f>"19:08:19.991"</f>
        <v>19:08:19.991</v>
      </c>
      <c r="BX364" t="s">
        <v>119</v>
      </c>
      <c r="BY364" t="s">
        <v>120</v>
      </c>
      <c r="CJ364">
        <v>0</v>
      </c>
      <c r="CK364">
        <v>0</v>
      </c>
      <c r="CL364">
        <v>0</v>
      </c>
      <c r="CM364">
        <v>2</v>
      </c>
      <c r="CN364">
        <v>0</v>
      </c>
      <c r="CO364">
        <v>7</v>
      </c>
      <c r="CP364" t="s">
        <v>121</v>
      </c>
      <c r="CQ364">
        <v>580</v>
      </c>
      <c r="CR364">
        <v>0</v>
      </c>
      <c r="CW364">
        <v>16596804</v>
      </c>
      <c r="CY364">
        <v>0</v>
      </c>
      <c r="CZ364">
        <v>0</v>
      </c>
      <c r="DA364">
        <v>0</v>
      </c>
      <c r="DB364">
        <v>1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</row>
    <row r="365" spans="1:113" x14ac:dyDescent="0.3">
      <c r="A365" t="str">
        <f>"06/16/2022 19:08:21.392"</f>
        <v>06/16/2022 19:08:21.392</v>
      </c>
      <c r="C365" t="str">
        <f t="shared" si="15"/>
        <v>FFBF5BC0</v>
      </c>
      <c r="D365" t="s">
        <v>113</v>
      </c>
      <c r="E365">
        <v>8</v>
      </c>
      <c r="H365">
        <v>206</v>
      </c>
      <c r="I365" t="s">
        <v>114</v>
      </c>
      <c r="J365" t="s">
        <v>115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>"19:08:21.102"</f>
        <v>19:08:21.102</v>
      </c>
      <c r="T365" t="str">
        <f>"19:08:21.102"</f>
        <v>19:08:21.102</v>
      </c>
      <c r="U365" t="str">
        <f t="shared" si="16"/>
        <v>AB63B2</v>
      </c>
      <c r="V365">
        <v>0</v>
      </c>
      <c r="W365">
        <v>0</v>
      </c>
      <c r="X365">
        <v>6</v>
      </c>
      <c r="Z365">
        <v>0</v>
      </c>
      <c r="AA365">
        <v>9</v>
      </c>
      <c r="AB365">
        <v>3</v>
      </c>
      <c r="AC365">
        <v>0</v>
      </c>
      <c r="AD365">
        <v>10</v>
      </c>
      <c r="AE365">
        <v>0</v>
      </c>
      <c r="AF365">
        <v>0</v>
      </c>
      <c r="AG365">
        <v>2</v>
      </c>
      <c r="AH365">
        <v>0</v>
      </c>
      <c r="AI365" t="s">
        <v>367</v>
      </c>
      <c r="AJ365">
        <v>41.977687000000003</v>
      </c>
      <c r="AK365" t="s">
        <v>364</v>
      </c>
      <c r="AL365">
        <v>-87.895238000000006</v>
      </c>
      <c r="AS365">
        <v>1</v>
      </c>
      <c r="AT365" t="s">
        <v>118</v>
      </c>
      <c r="AU365" t="b">
        <v>1</v>
      </c>
      <c r="AV365">
        <v>180</v>
      </c>
      <c r="AW365">
        <v>21.125</v>
      </c>
      <c r="AX365">
        <v>1</v>
      </c>
      <c r="AZ365">
        <v>7205</v>
      </c>
      <c r="BA365">
        <v>1</v>
      </c>
      <c r="BB365" t="str">
        <f t="shared" si="17"/>
        <v xml:space="preserve">KAP400  </v>
      </c>
      <c r="BC365">
        <v>1</v>
      </c>
      <c r="BE365">
        <v>0</v>
      </c>
      <c r="BF365">
        <v>0</v>
      </c>
      <c r="BG365">
        <v>0</v>
      </c>
      <c r="BI365">
        <v>1</v>
      </c>
      <c r="BJ365">
        <v>1</v>
      </c>
      <c r="BK365">
        <v>1</v>
      </c>
      <c r="BL365">
        <v>0</v>
      </c>
      <c r="BO365">
        <v>0</v>
      </c>
      <c r="BP365">
        <v>0</v>
      </c>
      <c r="BW365" t="str">
        <f>"19:08:21.107"</f>
        <v>19:08:21.107</v>
      </c>
      <c r="BX365" t="s">
        <v>119</v>
      </c>
      <c r="BY365" t="s">
        <v>120</v>
      </c>
      <c r="CJ365">
        <v>0</v>
      </c>
      <c r="CK365">
        <v>0</v>
      </c>
      <c r="CL365">
        <v>0</v>
      </c>
      <c r="CM365">
        <v>2</v>
      </c>
      <c r="CN365">
        <v>0</v>
      </c>
      <c r="CO365">
        <v>7</v>
      </c>
      <c r="CP365" t="s">
        <v>121</v>
      </c>
      <c r="CQ365">
        <v>580</v>
      </c>
      <c r="CR365">
        <v>0</v>
      </c>
      <c r="CW365">
        <v>16599050</v>
      </c>
      <c r="CY365">
        <v>0</v>
      </c>
      <c r="CZ365">
        <v>0</v>
      </c>
      <c r="DA365">
        <v>0</v>
      </c>
      <c r="DB365">
        <v>1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</row>
    <row r="366" spans="1:113" x14ac:dyDescent="0.3">
      <c r="A366" t="str">
        <f>"06/16/2022 19:08:22.391"</f>
        <v>06/16/2022 19:08:22.391</v>
      </c>
      <c r="C366" t="str">
        <f t="shared" si="15"/>
        <v>FFBF5BC0</v>
      </c>
      <c r="D366" t="s">
        <v>113</v>
      </c>
      <c r="E366">
        <v>8</v>
      </c>
      <c r="H366">
        <v>206</v>
      </c>
      <c r="I366" t="s">
        <v>114</v>
      </c>
      <c r="J366" t="s">
        <v>115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>"19:08:22.133"</f>
        <v>19:08:22.133</v>
      </c>
      <c r="T366" t="str">
        <f>"19:08:22.133"</f>
        <v>19:08:22.133</v>
      </c>
      <c r="U366" t="str">
        <f t="shared" si="16"/>
        <v>AB63B2</v>
      </c>
      <c r="V366">
        <v>0</v>
      </c>
      <c r="W366">
        <v>0</v>
      </c>
      <c r="X366">
        <v>6</v>
      </c>
      <c r="Z366">
        <v>0</v>
      </c>
      <c r="AA366">
        <v>9</v>
      </c>
      <c r="AB366">
        <v>3</v>
      </c>
      <c r="AC366">
        <v>0</v>
      </c>
      <c r="AD366">
        <v>10</v>
      </c>
      <c r="AE366">
        <v>0</v>
      </c>
      <c r="AF366">
        <v>0</v>
      </c>
      <c r="AG366">
        <v>2</v>
      </c>
      <c r="AH366">
        <v>0</v>
      </c>
      <c r="AI366" t="s">
        <v>368</v>
      </c>
      <c r="AJ366">
        <v>41.977601</v>
      </c>
      <c r="AK366" t="s">
        <v>364</v>
      </c>
      <c r="AL366">
        <v>-87.895238000000006</v>
      </c>
      <c r="AS366">
        <v>1</v>
      </c>
      <c r="AT366" t="s">
        <v>118</v>
      </c>
      <c r="AU366" t="b">
        <v>1</v>
      </c>
      <c r="AV366">
        <v>180</v>
      </c>
      <c r="AW366">
        <v>21.125</v>
      </c>
      <c r="AX366">
        <v>1</v>
      </c>
      <c r="AZ366">
        <v>7205</v>
      </c>
      <c r="BA366">
        <v>1</v>
      </c>
      <c r="BB366" t="str">
        <f t="shared" si="17"/>
        <v xml:space="preserve">KAP400  </v>
      </c>
      <c r="BC366">
        <v>1</v>
      </c>
      <c r="BE366">
        <v>0</v>
      </c>
      <c r="BF366">
        <v>0</v>
      </c>
      <c r="BG366">
        <v>0</v>
      </c>
      <c r="BI366">
        <v>1</v>
      </c>
      <c r="BJ366">
        <v>1</v>
      </c>
      <c r="BK366">
        <v>1</v>
      </c>
      <c r="BL366">
        <v>0</v>
      </c>
      <c r="BO366">
        <v>0</v>
      </c>
      <c r="BP366">
        <v>0</v>
      </c>
      <c r="BW366" t="str">
        <f>"19:08:22.137"</f>
        <v>19:08:22.137</v>
      </c>
      <c r="BX366" t="s">
        <v>119</v>
      </c>
      <c r="BY366" t="s">
        <v>120</v>
      </c>
      <c r="CJ366">
        <v>0</v>
      </c>
      <c r="CK366">
        <v>0</v>
      </c>
      <c r="CL366">
        <v>0</v>
      </c>
      <c r="CM366">
        <v>2</v>
      </c>
      <c r="CN366">
        <v>0</v>
      </c>
      <c r="CO366">
        <v>7</v>
      </c>
      <c r="CP366" t="s">
        <v>121</v>
      </c>
      <c r="CQ366">
        <v>580</v>
      </c>
      <c r="CR366">
        <v>0</v>
      </c>
      <c r="CW366">
        <v>16601068</v>
      </c>
      <c r="CY366">
        <v>0</v>
      </c>
      <c r="CZ366">
        <v>0</v>
      </c>
      <c r="DA366">
        <v>0</v>
      </c>
      <c r="DB366">
        <v>1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</row>
    <row r="367" spans="1:113" x14ac:dyDescent="0.3">
      <c r="A367" t="str">
        <f>"06/16/2022 19:08:23.344"</f>
        <v>06/16/2022 19:08:23.344</v>
      </c>
      <c r="C367" t="str">
        <f t="shared" si="15"/>
        <v>FFBF5BC0</v>
      </c>
      <c r="D367" t="s">
        <v>113</v>
      </c>
      <c r="E367">
        <v>8</v>
      </c>
      <c r="H367">
        <v>206</v>
      </c>
      <c r="I367" t="s">
        <v>114</v>
      </c>
      <c r="J367" t="s">
        <v>115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>"19:08:23.055"</f>
        <v>19:08:23.055</v>
      </c>
      <c r="T367" t="str">
        <f>"19:08:23.055"</f>
        <v>19:08:23.055</v>
      </c>
      <c r="U367" t="str">
        <f t="shared" si="16"/>
        <v>AB63B2</v>
      </c>
      <c r="V367">
        <v>0</v>
      </c>
      <c r="W367">
        <v>0</v>
      </c>
      <c r="X367">
        <v>6</v>
      </c>
      <c r="Z367">
        <v>0</v>
      </c>
      <c r="AA367">
        <v>9</v>
      </c>
      <c r="AB367">
        <v>3</v>
      </c>
      <c r="AC367">
        <v>0</v>
      </c>
      <c r="AD367">
        <v>10</v>
      </c>
      <c r="AE367">
        <v>0</v>
      </c>
      <c r="AF367">
        <v>0</v>
      </c>
      <c r="AG367">
        <v>2</v>
      </c>
      <c r="AH367">
        <v>0</v>
      </c>
      <c r="AI367" t="s">
        <v>369</v>
      </c>
      <c r="AJ367">
        <v>41.977494</v>
      </c>
      <c r="AK367" t="s">
        <v>364</v>
      </c>
      <c r="AL367">
        <v>-87.895238000000006</v>
      </c>
      <c r="AS367">
        <v>1</v>
      </c>
      <c r="AT367" t="s">
        <v>118</v>
      </c>
      <c r="AU367" t="b">
        <v>1</v>
      </c>
      <c r="AV367">
        <v>180</v>
      </c>
      <c r="AW367">
        <v>21.125</v>
      </c>
      <c r="AX367">
        <v>1</v>
      </c>
      <c r="AZ367">
        <v>7205</v>
      </c>
      <c r="BA367">
        <v>1</v>
      </c>
      <c r="BB367" t="str">
        <f t="shared" si="17"/>
        <v xml:space="preserve">KAP400  </v>
      </c>
      <c r="BC367">
        <v>1</v>
      </c>
      <c r="BE367">
        <v>0</v>
      </c>
      <c r="BF367">
        <v>0</v>
      </c>
      <c r="BG367">
        <v>0</v>
      </c>
      <c r="BI367">
        <v>1</v>
      </c>
      <c r="BJ367">
        <v>1</v>
      </c>
      <c r="BK367">
        <v>1</v>
      </c>
      <c r="BL367">
        <v>0</v>
      </c>
      <c r="BO367">
        <v>0</v>
      </c>
      <c r="BP367">
        <v>0</v>
      </c>
      <c r="BW367" t="str">
        <f>"19:08:23.061"</f>
        <v>19:08:23.061</v>
      </c>
      <c r="BX367" t="s">
        <v>119</v>
      </c>
      <c r="BY367" t="s">
        <v>120</v>
      </c>
      <c r="CJ367">
        <v>0</v>
      </c>
      <c r="CK367">
        <v>0</v>
      </c>
      <c r="CL367">
        <v>0</v>
      </c>
      <c r="CM367">
        <v>2</v>
      </c>
      <c r="CN367">
        <v>0</v>
      </c>
      <c r="CO367">
        <v>7</v>
      </c>
      <c r="CP367" t="s">
        <v>121</v>
      </c>
      <c r="CQ367">
        <v>580</v>
      </c>
      <c r="CR367">
        <v>0</v>
      </c>
      <c r="CW367">
        <v>16602805</v>
      </c>
      <c r="CY367">
        <v>0</v>
      </c>
      <c r="CZ367">
        <v>0</v>
      </c>
      <c r="DA367">
        <v>0</v>
      </c>
      <c r="DB367">
        <v>1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</row>
    <row r="368" spans="1:113" x14ac:dyDescent="0.3">
      <c r="A368" t="str">
        <f>"06/16/2022 19:08:24.313"</f>
        <v>06/16/2022 19:08:24.313</v>
      </c>
      <c r="C368" t="str">
        <f t="shared" si="15"/>
        <v>FFBF5BC0</v>
      </c>
      <c r="D368" t="s">
        <v>113</v>
      </c>
      <c r="E368">
        <v>8</v>
      </c>
      <c r="H368">
        <v>206</v>
      </c>
      <c r="I368" t="s">
        <v>114</v>
      </c>
      <c r="J368" t="s">
        <v>115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>"19:08:24.008"</f>
        <v>19:08:24.008</v>
      </c>
      <c r="T368" t="str">
        <f>"19:08:24.008"</f>
        <v>19:08:24.008</v>
      </c>
      <c r="U368" t="str">
        <f t="shared" si="16"/>
        <v>AB63B2</v>
      </c>
      <c r="V368">
        <v>0</v>
      </c>
      <c r="W368">
        <v>0</v>
      </c>
      <c r="X368">
        <v>6</v>
      </c>
      <c r="Z368">
        <v>0</v>
      </c>
      <c r="AA368">
        <v>9</v>
      </c>
      <c r="AB368">
        <v>3</v>
      </c>
      <c r="AC368">
        <v>0</v>
      </c>
      <c r="AD368">
        <v>10</v>
      </c>
      <c r="AE368">
        <v>0</v>
      </c>
      <c r="AF368">
        <v>0</v>
      </c>
      <c r="AG368">
        <v>2</v>
      </c>
      <c r="AH368">
        <v>0</v>
      </c>
      <c r="AI368" t="s">
        <v>370</v>
      </c>
      <c r="AJ368">
        <v>41.977407999999997</v>
      </c>
      <c r="AK368" t="s">
        <v>364</v>
      </c>
      <c r="AL368">
        <v>-87.895238000000006</v>
      </c>
      <c r="AS368">
        <v>1</v>
      </c>
      <c r="AT368" t="s">
        <v>118</v>
      </c>
      <c r="AU368" t="b">
        <v>1</v>
      </c>
      <c r="AV368">
        <v>180</v>
      </c>
      <c r="AW368">
        <v>21.125</v>
      </c>
      <c r="AX368">
        <v>1</v>
      </c>
      <c r="AZ368">
        <v>7205</v>
      </c>
      <c r="BA368">
        <v>1</v>
      </c>
      <c r="BB368" t="str">
        <f t="shared" si="17"/>
        <v xml:space="preserve">KAP400  </v>
      </c>
      <c r="BC368">
        <v>1</v>
      </c>
      <c r="BE368">
        <v>0</v>
      </c>
      <c r="BF368">
        <v>0</v>
      </c>
      <c r="BG368">
        <v>0</v>
      </c>
      <c r="BI368">
        <v>1</v>
      </c>
      <c r="BJ368">
        <v>1</v>
      </c>
      <c r="BK368">
        <v>1</v>
      </c>
      <c r="BL368">
        <v>0</v>
      </c>
      <c r="BO368">
        <v>0</v>
      </c>
      <c r="BP368">
        <v>0</v>
      </c>
      <c r="BW368" t="str">
        <f>"19:08:24.013"</f>
        <v>19:08:24.013</v>
      </c>
      <c r="BX368" t="s">
        <v>119</v>
      </c>
      <c r="BY368" t="s">
        <v>120</v>
      </c>
      <c r="CJ368">
        <v>0</v>
      </c>
      <c r="CK368">
        <v>0</v>
      </c>
      <c r="CL368">
        <v>0</v>
      </c>
      <c r="CM368">
        <v>2</v>
      </c>
      <c r="CN368">
        <v>0</v>
      </c>
      <c r="CO368">
        <v>7</v>
      </c>
      <c r="CP368" t="s">
        <v>121</v>
      </c>
      <c r="CQ368">
        <v>580</v>
      </c>
      <c r="CR368">
        <v>0</v>
      </c>
      <c r="CW368">
        <v>16604550</v>
      </c>
      <c r="CY368">
        <v>0</v>
      </c>
      <c r="CZ368">
        <v>0</v>
      </c>
      <c r="DA368">
        <v>0</v>
      </c>
      <c r="DB368">
        <v>1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</row>
    <row r="369" spans="1:113" x14ac:dyDescent="0.3">
      <c r="A369" t="str">
        <f>"06/16/2022 19:08:25.423"</f>
        <v>06/16/2022 19:08:25.423</v>
      </c>
      <c r="C369" t="str">
        <f t="shared" si="15"/>
        <v>FFBF5BC0</v>
      </c>
      <c r="D369" t="s">
        <v>113</v>
      </c>
      <c r="E369">
        <v>8</v>
      </c>
      <c r="H369">
        <v>206</v>
      </c>
      <c r="I369" t="s">
        <v>114</v>
      </c>
      <c r="J369" t="s">
        <v>115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>"19:08:24.891"</f>
        <v>19:08:24.891</v>
      </c>
      <c r="T369" t="str">
        <f>"19:08:24.891"</f>
        <v>19:08:24.891</v>
      </c>
      <c r="U369" t="str">
        <f t="shared" si="16"/>
        <v>AB63B2</v>
      </c>
      <c r="V369">
        <v>0</v>
      </c>
      <c r="W369">
        <v>0</v>
      </c>
      <c r="X369">
        <v>6</v>
      </c>
      <c r="Z369">
        <v>0</v>
      </c>
      <c r="AA369">
        <v>9</v>
      </c>
      <c r="AB369">
        <v>3</v>
      </c>
      <c r="AC369">
        <v>0</v>
      </c>
      <c r="AD369">
        <v>10</v>
      </c>
      <c r="AE369">
        <v>0</v>
      </c>
      <c r="AF369">
        <v>0</v>
      </c>
      <c r="AG369">
        <v>2</v>
      </c>
      <c r="AH369">
        <v>0</v>
      </c>
      <c r="AI369" t="s">
        <v>371</v>
      </c>
      <c r="AJ369">
        <v>41.977322000000001</v>
      </c>
      <c r="AK369" t="s">
        <v>364</v>
      </c>
      <c r="AL369">
        <v>-87.895238000000006</v>
      </c>
      <c r="AS369">
        <v>1</v>
      </c>
      <c r="AT369" t="s">
        <v>118</v>
      </c>
      <c r="AU369" t="b">
        <v>1</v>
      </c>
      <c r="AV369">
        <v>180</v>
      </c>
      <c r="AW369">
        <v>21.125</v>
      </c>
      <c r="AX369">
        <v>1</v>
      </c>
      <c r="AZ369">
        <v>7205</v>
      </c>
      <c r="BA369">
        <v>1</v>
      </c>
      <c r="BB369" t="str">
        <f t="shared" si="17"/>
        <v xml:space="preserve">KAP400  </v>
      </c>
      <c r="BC369">
        <v>1</v>
      </c>
      <c r="BE369">
        <v>0</v>
      </c>
      <c r="BF369">
        <v>0</v>
      </c>
      <c r="BG369">
        <v>0</v>
      </c>
      <c r="BI369">
        <v>1</v>
      </c>
      <c r="BJ369">
        <v>1</v>
      </c>
      <c r="BK369">
        <v>1</v>
      </c>
      <c r="BL369">
        <v>0</v>
      </c>
      <c r="BO369">
        <v>0</v>
      </c>
      <c r="BP369">
        <v>0</v>
      </c>
      <c r="BW369" t="str">
        <f>"19:08:24.893"</f>
        <v>19:08:24.893</v>
      </c>
      <c r="BX369" t="s">
        <v>119</v>
      </c>
      <c r="BY369" t="s">
        <v>120</v>
      </c>
      <c r="CJ369">
        <v>0</v>
      </c>
      <c r="CK369">
        <v>0</v>
      </c>
      <c r="CL369">
        <v>0</v>
      </c>
      <c r="CM369">
        <v>2</v>
      </c>
      <c r="CN369">
        <v>0</v>
      </c>
      <c r="CO369">
        <v>7</v>
      </c>
      <c r="CP369" t="s">
        <v>121</v>
      </c>
      <c r="CQ369">
        <v>580</v>
      </c>
      <c r="CR369">
        <v>0</v>
      </c>
      <c r="CW369">
        <v>16606110</v>
      </c>
      <c r="CY369">
        <v>0</v>
      </c>
      <c r="CZ369">
        <v>0</v>
      </c>
      <c r="DA369">
        <v>0</v>
      </c>
      <c r="DB369">
        <v>1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</row>
    <row r="370" spans="1:113" x14ac:dyDescent="0.3">
      <c r="A370" t="str">
        <f>"06/16/2022 19:08:26.361"</f>
        <v>06/16/2022 19:08:26.361</v>
      </c>
      <c r="C370" t="str">
        <f t="shared" si="15"/>
        <v>FFBF5BC0</v>
      </c>
      <c r="D370" t="s">
        <v>113</v>
      </c>
      <c r="E370">
        <v>8</v>
      </c>
      <c r="H370">
        <v>206</v>
      </c>
      <c r="I370" t="s">
        <v>114</v>
      </c>
      <c r="J370" t="s">
        <v>115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>"19:08:25.977"</f>
        <v>19:08:25.977</v>
      </c>
      <c r="T370" t="str">
        <f>"19:08:25.977"</f>
        <v>19:08:25.977</v>
      </c>
      <c r="U370" t="str">
        <f t="shared" si="16"/>
        <v>AB63B2</v>
      </c>
      <c r="V370">
        <v>0</v>
      </c>
      <c r="W370">
        <v>0</v>
      </c>
      <c r="X370">
        <v>6</v>
      </c>
      <c r="Z370">
        <v>0</v>
      </c>
      <c r="AA370">
        <v>9</v>
      </c>
      <c r="AB370">
        <v>3</v>
      </c>
      <c r="AC370">
        <v>0</v>
      </c>
      <c r="AD370">
        <v>10</v>
      </c>
      <c r="AE370">
        <v>0</v>
      </c>
      <c r="AF370">
        <v>0</v>
      </c>
      <c r="AG370">
        <v>2</v>
      </c>
      <c r="AH370">
        <v>0</v>
      </c>
      <c r="AI370" t="s">
        <v>372</v>
      </c>
      <c r="AJ370">
        <v>41.977215000000001</v>
      </c>
      <c r="AK370" t="s">
        <v>364</v>
      </c>
      <c r="AL370">
        <v>-87.895238000000006</v>
      </c>
      <c r="AS370">
        <v>1</v>
      </c>
      <c r="AT370" t="s">
        <v>118</v>
      </c>
      <c r="AU370" t="b">
        <v>1</v>
      </c>
      <c r="AV370">
        <v>180</v>
      </c>
      <c r="AW370">
        <v>21.125</v>
      </c>
      <c r="AX370">
        <v>1</v>
      </c>
      <c r="AZ370">
        <v>7205</v>
      </c>
      <c r="BA370">
        <v>1</v>
      </c>
      <c r="BB370" t="str">
        <f t="shared" si="17"/>
        <v xml:space="preserve">KAP400  </v>
      </c>
      <c r="BC370">
        <v>1</v>
      </c>
      <c r="BE370">
        <v>0</v>
      </c>
      <c r="BF370">
        <v>0</v>
      </c>
      <c r="BG370">
        <v>0</v>
      </c>
      <c r="BI370">
        <v>1</v>
      </c>
      <c r="BJ370">
        <v>1</v>
      </c>
      <c r="BK370">
        <v>1</v>
      </c>
      <c r="BL370">
        <v>0</v>
      </c>
      <c r="BO370">
        <v>0</v>
      </c>
      <c r="BP370">
        <v>0</v>
      </c>
      <c r="BW370" t="str">
        <f>"19:08:25.984"</f>
        <v>19:08:25.984</v>
      </c>
      <c r="BX370" t="s">
        <v>119</v>
      </c>
      <c r="BY370" t="s">
        <v>120</v>
      </c>
      <c r="CJ370">
        <v>0</v>
      </c>
      <c r="CK370">
        <v>0</v>
      </c>
      <c r="CL370">
        <v>0</v>
      </c>
      <c r="CM370">
        <v>2</v>
      </c>
      <c r="CN370">
        <v>0</v>
      </c>
      <c r="CO370">
        <v>6</v>
      </c>
      <c r="CP370" t="s">
        <v>121</v>
      </c>
      <c r="CQ370">
        <v>582</v>
      </c>
      <c r="CR370">
        <v>0</v>
      </c>
      <c r="CW370">
        <v>5822117</v>
      </c>
      <c r="CY370">
        <v>0</v>
      </c>
      <c r="CZ370">
        <v>0</v>
      </c>
      <c r="DA370">
        <v>0</v>
      </c>
      <c r="DB370">
        <v>1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</row>
    <row r="371" spans="1:113" x14ac:dyDescent="0.3">
      <c r="A371" t="str">
        <f>"06/16/2022 19:08:27.282"</f>
        <v>06/16/2022 19:08:27.282</v>
      </c>
      <c r="C371" t="str">
        <f t="shared" si="15"/>
        <v>FFBF5BC0</v>
      </c>
      <c r="D371" t="s">
        <v>113</v>
      </c>
      <c r="E371">
        <v>8</v>
      </c>
      <c r="H371">
        <v>206</v>
      </c>
      <c r="I371" t="s">
        <v>114</v>
      </c>
      <c r="J371" t="s">
        <v>115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>"19:08:26.992"</f>
        <v>19:08:26.992</v>
      </c>
      <c r="T371" t="str">
        <f>"19:08:26.992"</f>
        <v>19:08:26.992</v>
      </c>
      <c r="U371" t="str">
        <f t="shared" si="16"/>
        <v>AB63B2</v>
      </c>
      <c r="V371">
        <v>0</v>
      </c>
      <c r="W371">
        <v>0</v>
      </c>
      <c r="X371">
        <v>6</v>
      </c>
      <c r="Z371">
        <v>0</v>
      </c>
      <c r="AA371">
        <v>9</v>
      </c>
      <c r="AB371">
        <v>3</v>
      </c>
      <c r="AC371">
        <v>0</v>
      </c>
      <c r="AD371">
        <v>10</v>
      </c>
      <c r="AE371">
        <v>0</v>
      </c>
      <c r="AF371">
        <v>0</v>
      </c>
      <c r="AG371">
        <v>2</v>
      </c>
      <c r="AH371">
        <v>0</v>
      </c>
      <c r="AI371" t="s">
        <v>373</v>
      </c>
      <c r="AJ371">
        <v>41.977128999999998</v>
      </c>
      <c r="AK371" t="s">
        <v>364</v>
      </c>
      <c r="AL371">
        <v>-87.895238000000006</v>
      </c>
      <c r="AS371">
        <v>1</v>
      </c>
      <c r="AT371" t="s">
        <v>118</v>
      </c>
      <c r="AU371" t="b">
        <v>1</v>
      </c>
      <c r="AV371">
        <v>180</v>
      </c>
      <c r="AW371">
        <v>21.125</v>
      </c>
      <c r="AX371">
        <v>1</v>
      </c>
      <c r="AZ371">
        <v>7205</v>
      </c>
      <c r="BA371">
        <v>1</v>
      </c>
      <c r="BB371" t="str">
        <f t="shared" si="17"/>
        <v xml:space="preserve">KAP400  </v>
      </c>
      <c r="BC371">
        <v>1</v>
      </c>
      <c r="BE371">
        <v>0</v>
      </c>
      <c r="BF371">
        <v>0</v>
      </c>
      <c r="BG371">
        <v>0</v>
      </c>
      <c r="BI371">
        <v>1</v>
      </c>
      <c r="BJ371">
        <v>1</v>
      </c>
      <c r="BK371">
        <v>1</v>
      </c>
      <c r="BL371">
        <v>0</v>
      </c>
      <c r="BO371">
        <v>0</v>
      </c>
      <c r="BP371">
        <v>0</v>
      </c>
      <c r="BW371" t="str">
        <f>"19:08:26.998"</f>
        <v>19:08:26.998</v>
      </c>
      <c r="BX371" t="s">
        <v>119</v>
      </c>
      <c r="BY371" t="s">
        <v>120</v>
      </c>
      <c r="CJ371">
        <v>0</v>
      </c>
      <c r="CK371">
        <v>0</v>
      </c>
      <c r="CL371">
        <v>0</v>
      </c>
      <c r="CM371">
        <v>2</v>
      </c>
      <c r="CN371">
        <v>0</v>
      </c>
      <c r="CO371">
        <v>7</v>
      </c>
      <c r="CP371" t="s">
        <v>121</v>
      </c>
      <c r="CQ371">
        <v>582</v>
      </c>
      <c r="CR371">
        <v>0</v>
      </c>
      <c r="CW371">
        <v>5823695</v>
      </c>
      <c r="CY371">
        <v>0</v>
      </c>
      <c r="CZ371">
        <v>0</v>
      </c>
      <c r="DA371">
        <v>0</v>
      </c>
      <c r="DB371">
        <v>1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</row>
    <row r="372" spans="1:113" x14ac:dyDescent="0.3">
      <c r="A372" t="str">
        <f>"06/16/2022 19:08:28.204"</f>
        <v>06/16/2022 19:08:28.204</v>
      </c>
      <c r="C372" t="str">
        <f t="shared" si="15"/>
        <v>FFBF5BC0</v>
      </c>
      <c r="D372" t="s">
        <v>113</v>
      </c>
      <c r="E372">
        <v>8</v>
      </c>
      <c r="H372">
        <v>206</v>
      </c>
      <c r="I372" t="s">
        <v>114</v>
      </c>
      <c r="J372" t="s">
        <v>115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>"19:08:27.977"</f>
        <v>19:08:27.977</v>
      </c>
      <c r="T372" t="str">
        <f>"19:08:27.977"</f>
        <v>19:08:27.977</v>
      </c>
      <c r="U372" t="str">
        <f t="shared" si="16"/>
        <v>AB63B2</v>
      </c>
      <c r="V372">
        <v>0</v>
      </c>
      <c r="W372">
        <v>0</v>
      </c>
      <c r="X372">
        <v>6</v>
      </c>
      <c r="Z372">
        <v>0</v>
      </c>
      <c r="AA372">
        <v>9</v>
      </c>
      <c r="AB372">
        <v>3</v>
      </c>
      <c r="AC372">
        <v>0</v>
      </c>
      <c r="AD372">
        <v>10</v>
      </c>
      <c r="AE372">
        <v>0</v>
      </c>
      <c r="AF372">
        <v>0</v>
      </c>
      <c r="AG372">
        <v>2</v>
      </c>
      <c r="AH372">
        <v>0</v>
      </c>
      <c r="AI372" t="s">
        <v>374</v>
      </c>
      <c r="AJ372">
        <v>41.977021999999998</v>
      </c>
      <c r="AK372" t="s">
        <v>364</v>
      </c>
      <c r="AL372">
        <v>-87.895238000000006</v>
      </c>
      <c r="AS372">
        <v>1</v>
      </c>
      <c r="AT372" t="s">
        <v>118</v>
      </c>
      <c r="AU372" t="b">
        <v>1</v>
      </c>
      <c r="AV372">
        <v>180</v>
      </c>
      <c r="AW372">
        <v>21.125</v>
      </c>
      <c r="AX372">
        <v>1</v>
      </c>
      <c r="AZ372">
        <v>7205</v>
      </c>
      <c r="BA372">
        <v>1</v>
      </c>
      <c r="BB372" t="str">
        <f t="shared" si="17"/>
        <v xml:space="preserve">KAP400  </v>
      </c>
      <c r="BC372">
        <v>1</v>
      </c>
      <c r="BE372">
        <v>0</v>
      </c>
      <c r="BF372">
        <v>0</v>
      </c>
      <c r="BG372">
        <v>0</v>
      </c>
      <c r="BI372">
        <v>1</v>
      </c>
      <c r="BJ372">
        <v>1</v>
      </c>
      <c r="BK372">
        <v>1</v>
      </c>
      <c r="BL372">
        <v>0</v>
      </c>
      <c r="BO372">
        <v>0</v>
      </c>
      <c r="BP372">
        <v>0</v>
      </c>
      <c r="BW372" t="str">
        <f>"19:08:27.981"</f>
        <v>19:08:27.981</v>
      </c>
      <c r="BX372" t="s">
        <v>119</v>
      </c>
      <c r="BY372" t="s">
        <v>120</v>
      </c>
      <c r="CJ372">
        <v>0</v>
      </c>
      <c r="CK372">
        <v>0</v>
      </c>
      <c r="CL372">
        <v>0</v>
      </c>
      <c r="CM372">
        <v>2</v>
      </c>
      <c r="CN372">
        <v>0</v>
      </c>
      <c r="CO372">
        <v>7</v>
      </c>
      <c r="CP372" t="s">
        <v>121</v>
      </c>
      <c r="CQ372">
        <v>580</v>
      </c>
      <c r="CR372">
        <v>0</v>
      </c>
      <c r="CW372">
        <v>16612086</v>
      </c>
      <c r="CY372">
        <v>0</v>
      </c>
      <c r="CZ372">
        <v>0</v>
      </c>
      <c r="DA372">
        <v>0</v>
      </c>
      <c r="DB372">
        <v>1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</row>
    <row r="373" spans="1:113" x14ac:dyDescent="0.3">
      <c r="A373" t="str">
        <f>"06/16/2022 19:08:29.376"</f>
        <v>06/16/2022 19:08:29.376</v>
      </c>
      <c r="C373" t="str">
        <f t="shared" si="15"/>
        <v>FFBF5BC0</v>
      </c>
      <c r="D373" t="s">
        <v>113</v>
      </c>
      <c r="E373">
        <v>8</v>
      </c>
      <c r="H373">
        <v>206</v>
      </c>
      <c r="I373" t="s">
        <v>114</v>
      </c>
      <c r="J373" t="s">
        <v>115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>"19:08:29.109"</f>
        <v>19:08:29.109</v>
      </c>
      <c r="T373" t="str">
        <f>"19:08:29.109"</f>
        <v>19:08:29.109</v>
      </c>
      <c r="U373" t="str">
        <f t="shared" si="16"/>
        <v>AB63B2</v>
      </c>
      <c r="V373">
        <v>0</v>
      </c>
      <c r="W373">
        <v>0</v>
      </c>
      <c r="X373">
        <v>6</v>
      </c>
      <c r="Z373">
        <v>0</v>
      </c>
      <c r="AA373">
        <v>9</v>
      </c>
      <c r="AB373">
        <v>3</v>
      </c>
      <c r="AC373">
        <v>0</v>
      </c>
      <c r="AD373">
        <v>10</v>
      </c>
      <c r="AE373">
        <v>0</v>
      </c>
      <c r="AF373">
        <v>0</v>
      </c>
      <c r="AG373">
        <v>2</v>
      </c>
      <c r="AH373">
        <v>0</v>
      </c>
      <c r="AI373" t="s">
        <v>375</v>
      </c>
      <c r="AJ373">
        <v>41.976936000000002</v>
      </c>
      <c r="AK373" t="s">
        <v>364</v>
      </c>
      <c r="AL373">
        <v>-87.895238000000006</v>
      </c>
      <c r="AS373">
        <v>1</v>
      </c>
      <c r="AT373" t="s">
        <v>118</v>
      </c>
      <c r="AU373" t="b">
        <v>1</v>
      </c>
      <c r="AV373">
        <v>180</v>
      </c>
      <c r="AW373">
        <v>20.125</v>
      </c>
      <c r="AX373">
        <v>1</v>
      </c>
      <c r="AZ373">
        <v>7205</v>
      </c>
      <c r="BA373">
        <v>1</v>
      </c>
      <c r="BB373" t="str">
        <f t="shared" si="17"/>
        <v xml:space="preserve">KAP400  </v>
      </c>
      <c r="BC373">
        <v>1</v>
      </c>
      <c r="BE373">
        <v>0</v>
      </c>
      <c r="BF373">
        <v>0</v>
      </c>
      <c r="BG373">
        <v>0</v>
      </c>
      <c r="BI373">
        <v>1</v>
      </c>
      <c r="BJ373">
        <v>1</v>
      </c>
      <c r="BK373">
        <v>1</v>
      </c>
      <c r="BL373">
        <v>0</v>
      </c>
      <c r="BO373">
        <v>0</v>
      </c>
      <c r="BP373">
        <v>0</v>
      </c>
      <c r="BW373" t="str">
        <f>"19:08:29.110"</f>
        <v>19:08:29.110</v>
      </c>
      <c r="BX373" t="s">
        <v>119</v>
      </c>
      <c r="BY373" t="s">
        <v>120</v>
      </c>
      <c r="CJ373">
        <v>0</v>
      </c>
      <c r="CK373">
        <v>0</v>
      </c>
      <c r="CL373">
        <v>0</v>
      </c>
      <c r="CM373">
        <v>2</v>
      </c>
      <c r="CN373">
        <v>0</v>
      </c>
      <c r="CO373">
        <v>7</v>
      </c>
      <c r="CP373" t="s">
        <v>121</v>
      </c>
      <c r="CQ373">
        <v>580</v>
      </c>
      <c r="CR373">
        <v>0</v>
      </c>
      <c r="CW373">
        <v>16614161</v>
      </c>
      <c r="CY373">
        <v>0</v>
      </c>
      <c r="CZ373">
        <v>0</v>
      </c>
      <c r="DA373">
        <v>0</v>
      </c>
      <c r="DB373">
        <v>1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</row>
    <row r="374" spans="1:113" x14ac:dyDescent="0.3">
      <c r="A374" t="str">
        <f>"06/16/2022 19:08:30.736"</f>
        <v>06/16/2022 19:08:30.736</v>
      </c>
      <c r="C374" t="str">
        <f t="shared" si="15"/>
        <v>FFBF5BC0</v>
      </c>
      <c r="D374" t="s">
        <v>113</v>
      </c>
      <c r="E374">
        <v>8</v>
      </c>
      <c r="H374">
        <v>206</v>
      </c>
      <c r="I374" t="s">
        <v>114</v>
      </c>
      <c r="J374" t="s">
        <v>115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>"19:08:30.477"</f>
        <v>19:08:30.477</v>
      </c>
      <c r="T374" t="str">
        <f>"19:08:30.477"</f>
        <v>19:08:30.477</v>
      </c>
      <c r="U374" t="str">
        <f t="shared" si="16"/>
        <v>AB63B2</v>
      </c>
      <c r="V374">
        <v>0</v>
      </c>
      <c r="W374">
        <v>0</v>
      </c>
      <c r="X374">
        <v>6</v>
      </c>
      <c r="Z374">
        <v>0</v>
      </c>
      <c r="AA374">
        <v>9</v>
      </c>
      <c r="AB374">
        <v>3</v>
      </c>
      <c r="AC374">
        <v>0</v>
      </c>
      <c r="AD374">
        <v>10</v>
      </c>
      <c r="AE374">
        <v>0</v>
      </c>
      <c r="AF374">
        <v>0</v>
      </c>
      <c r="AG374">
        <v>2</v>
      </c>
      <c r="AH374">
        <v>0</v>
      </c>
      <c r="AI374" t="s">
        <v>376</v>
      </c>
      <c r="AJ374">
        <v>41.976807000000001</v>
      </c>
      <c r="AK374" t="s">
        <v>364</v>
      </c>
      <c r="AL374">
        <v>-87.895238000000006</v>
      </c>
      <c r="AS374">
        <v>1</v>
      </c>
      <c r="AT374" t="s">
        <v>118</v>
      </c>
      <c r="AU374" t="b">
        <v>1</v>
      </c>
      <c r="AV374">
        <v>180</v>
      </c>
      <c r="AW374">
        <v>20.125</v>
      </c>
      <c r="AX374">
        <v>1</v>
      </c>
      <c r="AZ374">
        <v>7205</v>
      </c>
      <c r="BA374">
        <v>1</v>
      </c>
      <c r="BB374" t="str">
        <f t="shared" si="17"/>
        <v xml:space="preserve">KAP400  </v>
      </c>
      <c r="BC374">
        <v>1</v>
      </c>
      <c r="BE374">
        <v>0</v>
      </c>
      <c r="BF374">
        <v>0</v>
      </c>
      <c r="BG374">
        <v>0</v>
      </c>
      <c r="BI374">
        <v>1</v>
      </c>
      <c r="BJ374">
        <v>1</v>
      </c>
      <c r="BK374">
        <v>1</v>
      </c>
      <c r="BL374">
        <v>0</v>
      </c>
      <c r="BO374">
        <v>0</v>
      </c>
      <c r="BP374">
        <v>0</v>
      </c>
      <c r="BW374" t="str">
        <f>"19:08:30.478"</f>
        <v>19:08:30.478</v>
      </c>
      <c r="BX374" t="s">
        <v>119</v>
      </c>
      <c r="BY374" t="s">
        <v>120</v>
      </c>
      <c r="CJ374">
        <v>0</v>
      </c>
      <c r="CK374">
        <v>0</v>
      </c>
      <c r="CL374">
        <v>0</v>
      </c>
      <c r="CM374">
        <v>2</v>
      </c>
      <c r="CN374">
        <v>0</v>
      </c>
      <c r="CO374">
        <v>7</v>
      </c>
      <c r="CP374" t="s">
        <v>121</v>
      </c>
      <c r="CQ374">
        <v>580</v>
      </c>
      <c r="CR374">
        <v>0</v>
      </c>
      <c r="CW374">
        <v>16616826</v>
      </c>
      <c r="CY374">
        <v>0</v>
      </c>
      <c r="CZ374">
        <v>0</v>
      </c>
      <c r="DA374">
        <v>0</v>
      </c>
      <c r="DB374">
        <v>1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</row>
    <row r="375" spans="1:113" x14ac:dyDescent="0.3">
      <c r="A375" t="str">
        <f>"06/16/2022 19:08:32.344"</f>
        <v>06/16/2022 19:08:32.344</v>
      </c>
      <c r="C375" t="str">
        <f t="shared" si="15"/>
        <v>FFBF5BC0</v>
      </c>
      <c r="D375" t="s">
        <v>113</v>
      </c>
      <c r="E375">
        <v>8</v>
      </c>
      <c r="H375">
        <v>206</v>
      </c>
      <c r="I375" t="s">
        <v>114</v>
      </c>
      <c r="J375" t="s">
        <v>115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>"19:08:32.125"</f>
        <v>19:08:32.125</v>
      </c>
      <c r="T375" t="str">
        <f>"19:08:32.125"</f>
        <v>19:08:32.125</v>
      </c>
      <c r="U375" t="str">
        <f t="shared" si="16"/>
        <v>AB63B2</v>
      </c>
      <c r="V375">
        <v>0</v>
      </c>
      <c r="W375">
        <v>0</v>
      </c>
      <c r="X375">
        <v>6</v>
      </c>
      <c r="Z375">
        <v>0</v>
      </c>
      <c r="AA375">
        <v>9</v>
      </c>
      <c r="AB375">
        <v>3</v>
      </c>
      <c r="AC375">
        <v>0</v>
      </c>
      <c r="AD375">
        <v>10</v>
      </c>
      <c r="AE375">
        <v>0</v>
      </c>
      <c r="AF375">
        <v>0</v>
      </c>
      <c r="AG375">
        <v>2</v>
      </c>
      <c r="AH375">
        <v>0</v>
      </c>
      <c r="AI375" t="s">
        <v>377</v>
      </c>
      <c r="AJ375">
        <v>41.976657000000003</v>
      </c>
      <c r="AK375" t="s">
        <v>364</v>
      </c>
      <c r="AL375">
        <v>-87.895238000000006</v>
      </c>
      <c r="AS375">
        <v>1</v>
      </c>
      <c r="AT375" t="s">
        <v>118</v>
      </c>
      <c r="AU375" t="b">
        <v>1</v>
      </c>
      <c r="AV375">
        <v>180</v>
      </c>
      <c r="AW375">
        <v>19.125</v>
      </c>
      <c r="AX375">
        <v>1</v>
      </c>
      <c r="AZ375">
        <v>7205</v>
      </c>
      <c r="BA375">
        <v>1</v>
      </c>
      <c r="BB375" t="str">
        <f t="shared" si="17"/>
        <v xml:space="preserve">KAP400  </v>
      </c>
      <c r="BC375">
        <v>1</v>
      </c>
      <c r="BE375">
        <v>0</v>
      </c>
      <c r="BF375">
        <v>0</v>
      </c>
      <c r="BG375">
        <v>0</v>
      </c>
      <c r="BI375">
        <v>1</v>
      </c>
      <c r="BJ375">
        <v>1</v>
      </c>
      <c r="BK375">
        <v>1</v>
      </c>
      <c r="BL375">
        <v>0</v>
      </c>
      <c r="BO375">
        <v>0</v>
      </c>
      <c r="BP375">
        <v>0</v>
      </c>
      <c r="BW375" t="str">
        <f>"19:08:32.128"</f>
        <v>19:08:32.128</v>
      </c>
      <c r="BX375" t="s">
        <v>119</v>
      </c>
      <c r="BY375" t="s">
        <v>120</v>
      </c>
      <c r="CJ375">
        <v>0</v>
      </c>
      <c r="CK375">
        <v>0</v>
      </c>
      <c r="CL375">
        <v>0</v>
      </c>
      <c r="CM375">
        <v>2</v>
      </c>
      <c r="CN375">
        <v>0</v>
      </c>
      <c r="CO375">
        <v>7</v>
      </c>
      <c r="CP375" t="s">
        <v>121</v>
      </c>
      <c r="CQ375">
        <v>580</v>
      </c>
      <c r="CR375">
        <v>0</v>
      </c>
      <c r="CW375">
        <v>16619902</v>
      </c>
      <c r="CY375">
        <v>0</v>
      </c>
      <c r="CZ375">
        <v>0</v>
      </c>
      <c r="DA375">
        <v>0</v>
      </c>
      <c r="DB375">
        <v>1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</row>
    <row r="376" spans="1:113" x14ac:dyDescent="0.3">
      <c r="A376" t="str">
        <f>"06/16/2022 19:08:33.470"</f>
        <v>06/16/2022 19:08:33.470</v>
      </c>
      <c r="C376" t="str">
        <f t="shared" si="15"/>
        <v>FFBF5BC0</v>
      </c>
      <c r="D376" t="s">
        <v>113</v>
      </c>
      <c r="E376">
        <v>8</v>
      </c>
      <c r="H376">
        <v>206</v>
      </c>
      <c r="I376" t="s">
        <v>114</v>
      </c>
      <c r="J376" t="s">
        <v>115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>"19:08:33.172"</f>
        <v>19:08:33.172</v>
      </c>
      <c r="T376" t="str">
        <f>"19:08:33.172"</f>
        <v>19:08:33.172</v>
      </c>
      <c r="U376" t="str">
        <f t="shared" si="16"/>
        <v>AB63B2</v>
      </c>
      <c r="V376">
        <v>0</v>
      </c>
      <c r="W376">
        <v>0</v>
      </c>
      <c r="X376">
        <v>6</v>
      </c>
      <c r="Z376">
        <v>0</v>
      </c>
      <c r="AA376">
        <v>9</v>
      </c>
      <c r="AB376">
        <v>3</v>
      </c>
      <c r="AC376">
        <v>0</v>
      </c>
      <c r="AD376">
        <v>10</v>
      </c>
      <c r="AE376">
        <v>0</v>
      </c>
      <c r="AF376">
        <v>0</v>
      </c>
      <c r="AG376">
        <v>2</v>
      </c>
      <c r="AH376">
        <v>0</v>
      </c>
      <c r="AI376" t="s">
        <v>378</v>
      </c>
      <c r="AJ376">
        <v>41.976550000000003</v>
      </c>
      <c r="AK376" t="s">
        <v>379</v>
      </c>
      <c r="AL376">
        <v>-87.895217000000002</v>
      </c>
      <c r="AS376">
        <v>1</v>
      </c>
      <c r="AT376" t="s">
        <v>118</v>
      </c>
      <c r="AU376" t="b">
        <v>1</v>
      </c>
      <c r="AV376">
        <v>180</v>
      </c>
      <c r="AW376">
        <v>19.125</v>
      </c>
      <c r="AX376">
        <v>1</v>
      </c>
      <c r="AZ376">
        <v>7205</v>
      </c>
      <c r="BA376">
        <v>1</v>
      </c>
      <c r="BB376" t="str">
        <f t="shared" si="17"/>
        <v xml:space="preserve">KAP400  </v>
      </c>
      <c r="BC376">
        <v>1</v>
      </c>
      <c r="BE376">
        <v>0</v>
      </c>
      <c r="BF376">
        <v>0</v>
      </c>
      <c r="BG376">
        <v>0</v>
      </c>
      <c r="BI376">
        <v>1</v>
      </c>
      <c r="BJ376">
        <v>1</v>
      </c>
      <c r="BK376">
        <v>1</v>
      </c>
      <c r="BL376">
        <v>0</v>
      </c>
      <c r="BO376">
        <v>0</v>
      </c>
      <c r="BP376">
        <v>0</v>
      </c>
      <c r="BW376" t="str">
        <f>"19:08:33.172"</f>
        <v>19:08:33.172</v>
      </c>
      <c r="BX376" t="s">
        <v>119</v>
      </c>
      <c r="BY376" t="s">
        <v>120</v>
      </c>
      <c r="CJ376">
        <v>0</v>
      </c>
      <c r="CK376">
        <v>0</v>
      </c>
      <c r="CL376">
        <v>0</v>
      </c>
      <c r="CM376">
        <v>2</v>
      </c>
      <c r="CN376">
        <v>0</v>
      </c>
      <c r="CO376">
        <v>5</v>
      </c>
      <c r="CP376" t="s">
        <v>121</v>
      </c>
      <c r="CQ376">
        <v>579</v>
      </c>
      <c r="CR376">
        <v>0</v>
      </c>
      <c r="CW376">
        <v>910279</v>
      </c>
      <c r="CY376">
        <v>0</v>
      </c>
      <c r="CZ376">
        <v>0</v>
      </c>
      <c r="DA376">
        <v>0</v>
      </c>
      <c r="DB376">
        <v>1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</row>
    <row r="377" spans="1:113" x14ac:dyDescent="0.3">
      <c r="A377" t="str">
        <f>"06/16/2022 19:08:35.110"</f>
        <v>06/16/2022 19:08:35.110</v>
      </c>
      <c r="C377" t="str">
        <f t="shared" si="15"/>
        <v>FFBF5BC0</v>
      </c>
      <c r="D377" t="s">
        <v>113</v>
      </c>
      <c r="E377">
        <v>8</v>
      </c>
      <c r="H377">
        <v>206</v>
      </c>
      <c r="I377" t="s">
        <v>114</v>
      </c>
      <c r="J377" t="s">
        <v>115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>"19:08:34.836"</f>
        <v>19:08:34.836</v>
      </c>
      <c r="T377" t="str">
        <f>"19:08:34.836"</f>
        <v>19:08:34.836</v>
      </c>
      <c r="U377" t="str">
        <f t="shared" si="16"/>
        <v>AB63B2</v>
      </c>
      <c r="V377">
        <v>0</v>
      </c>
      <c r="W377">
        <v>0</v>
      </c>
      <c r="X377">
        <v>6</v>
      </c>
      <c r="Z377">
        <v>0</v>
      </c>
      <c r="AA377">
        <v>9</v>
      </c>
      <c r="AB377">
        <v>3</v>
      </c>
      <c r="AC377">
        <v>0</v>
      </c>
      <c r="AD377">
        <v>10</v>
      </c>
      <c r="AE377">
        <v>0</v>
      </c>
      <c r="AF377">
        <v>0</v>
      </c>
      <c r="AG377">
        <v>2</v>
      </c>
      <c r="AH377">
        <v>0</v>
      </c>
      <c r="AI377" t="s">
        <v>380</v>
      </c>
      <c r="AJ377">
        <v>41.976421000000002</v>
      </c>
      <c r="AK377" t="s">
        <v>364</v>
      </c>
      <c r="AL377">
        <v>-87.895238000000006</v>
      </c>
      <c r="AS377">
        <v>1</v>
      </c>
      <c r="AT377" t="s">
        <v>118</v>
      </c>
      <c r="AU377" t="b">
        <v>1</v>
      </c>
      <c r="AV377">
        <v>180</v>
      </c>
      <c r="AW377">
        <v>19.125</v>
      </c>
      <c r="AX377">
        <v>1</v>
      </c>
      <c r="AZ377">
        <v>7205</v>
      </c>
      <c r="BA377">
        <v>1</v>
      </c>
      <c r="BB377" t="str">
        <f t="shared" si="17"/>
        <v xml:space="preserve">KAP400  </v>
      </c>
      <c r="BC377">
        <v>1</v>
      </c>
      <c r="BE377">
        <v>0</v>
      </c>
      <c r="BF377">
        <v>0</v>
      </c>
      <c r="BG377">
        <v>0</v>
      </c>
      <c r="BI377">
        <v>1</v>
      </c>
      <c r="BJ377">
        <v>1</v>
      </c>
      <c r="BK377">
        <v>1</v>
      </c>
      <c r="BL377">
        <v>0</v>
      </c>
      <c r="BO377">
        <v>0</v>
      </c>
      <c r="BP377">
        <v>0</v>
      </c>
      <c r="BW377" t="str">
        <f>"19:08:34.837"</f>
        <v>19:08:34.837</v>
      </c>
      <c r="BX377" t="s">
        <v>119</v>
      </c>
      <c r="BY377" t="s">
        <v>120</v>
      </c>
      <c r="CJ377">
        <v>0</v>
      </c>
      <c r="CK377">
        <v>0</v>
      </c>
      <c r="CL377">
        <v>0</v>
      </c>
      <c r="CM377">
        <v>2</v>
      </c>
      <c r="CN377">
        <v>0</v>
      </c>
      <c r="CO377">
        <v>7</v>
      </c>
      <c r="CP377" t="s">
        <v>121</v>
      </c>
      <c r="CQ377">
        <v>580</v>
      </c>
      <c r="CR377">
        <v>0</v>
      </c>
      <c r="CW377">
        <v>16624963</v>
      </c>
      <c r="CY377">
        <v>0</v>
      </c>
      <c r="CZ377">
        <v>0</v>
      </c>
      <c r="DA377">
        <v>0</v>
      </c>
      <c r="DB377">
        <v>1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</row>
    <row r="378" spans="1:113" x14ac:dyDescent="0.3">
      <c r="A378" t="str">
        <f>"06/16/2022 19:08:35.970"</f>
        <v>06/16/2022 19:08:35.970</v>
      </c>
      <c r="C378" t="str">
        <f t="shared" si="15"/>
        <v>FFBF5BC0</v>
      </c>
      <c r="D378" t="s">
        <v>113</v>
      </c>
      <c r="E378">
        <v>8</v>
      </c>
      <c r="H378">
        <v>206</v>
      </c>
      <c r="I378" t="s">
        <v>114</v>
      </c>
      <c r="J378" t="s">
        <v>115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>"19:08:35.789"</f>
        <v>19:08:35.789</v>
      </c>
      <c r="T378" t="str">
        <f>"19:08:35.789"</f>
        <v>19:08:35.789</v>
      </c>
      <c r="U378" t="str">
        <f t="shared" si="16"/>
        <v>AB63B2</v>
      </c>
      <c r="V378">
        <v>0</v>
      </c>
      <c r="W378">
        <v>0</v>
      </c>
      <c r="X378">
        <v>6</v>
      </c>
      <c r="Z378">
        <v>0</v>
      </c>
      <c r="AA378">
        <v>9</v>
      </c>
      <c r="AB378">
        <v>3</v>
      </c>
      <c r="AC378">
        <v>0</v>
      </c>
      <c r="AD378">
        <v>10</v>
      </c>
      <c r="AE378">
        <v>0</v>
      </c>
      <c r="AF378">
        <v>0</v>
      </c>
      <c r="AG378">
        <v>2</v>
      </c>
      <c r="AH378">
        <v>0</v>
      </c>
      <c r="AI378" t="s">
        <v>381</v>
      </c>
      <c r="AJ378">
        <v>41.976334999999999</v>
      </c>
      <c r="AK378" t="s">
        <v>364</v>
      </c>
      <c r="AL378">
        <v>-87.895238000000006</v>
      </c>
      <c r="AS378">
        <v>1</v>
      </c>
      <c r="AT378" t="s">
        <v>118</v>
      </c>
      <c r="AU378" t="b">
        <v>1</v>
      </c>
      <c r="AV378">
        <v>180</v>
      </c>
      <c r="AW378">
        <v>19.125</v>
      </c>
      <c r="AX378">
        <v>1</v>
      </c>
      <c r="AZ378">
        <v>7205</v>
      </c>
      <c r="BA378">
        <v>1</v>
      </c>
      <c r="BB378" t="str">
        <f t="shared" si="17"/>
        <v xml:space="preserve">KAP400  </v>
      </c>
      <c r="BC378">
        <v>1</v>
      </c>
      <c r="BE378">
        <v>0</v>
      </c>
      <c r="BF378">
        <v>0</v>
      </c>
      <c r="BG378">
        <v>0</v>
      </c>
      <c r="BI378">
        <v>1</v>
      </c>
      <c r="BJ378">
        <v>1</v>
      </c>
      <c r="BK378">
        <v>1</v>
      </c>
      <c r="BL378">
        <v>0</v>
      </c>
      <c r="BO378">
        <v>0</v>
      </c>
      <c r="BP378">
        <v>0</v>
      </c>
      <c r="BW378" t="str">
        <f>"19:08:35.790"</f>
        <v>19:08:35.790</v>
      </c>
      <c r="BX378" t="s">
        <v>119</v>
      </c>
      <c r="BY378" t="s">
        <v>120</v>
      </c>
      <c r="CJ378">
        <v>0</v>
      </c>
      <c r="CK378">
        <v>0</v>
      </c>
      <c r="CL378">
        <v>0</v>
      </c>
      <c r="CM378">
        <v>2</v>
      </c>
      <c r="CN378">
        <v>0</v>
      </c>
      <c r="CO378">
        <v>7</v>
      </c>
      <c r="CP378" t="s">
        <v>121</v>
      </c>
      <c r="CQ378">
        <v>580</v>
      </c>
      <c r="CR378">
        <v>0</v>
      </c>
      <c r="CW378">
        <v>16626903</v>
      </c>
      <c r="CY378">
        <v>0</v>
      </c>
      <c r="CZ378">
        <v>0</v>
      </c>
      <c r="DA378">
        <v>0</v>
      </c>
      <c r="DB378">
        <v>1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</row>
    <row r="379" spans="1:113" x14ac:dyDescent="0.3">
      <c r="A379" t="str">
        <f>"06/16/2022 19:08:36.970"</f>
        <v>06/16/2022 19:08:36.970</v>
      </c>
      <c r="C379" t="str">
        <f t="shared" si="15"/>
        <v>FFBF5BC0</v>
      </c>
      <c r="D379" t="s">
        <v>113</v>
      </c>
      <c r="E379">
        <v>8</v>
      </c>
      <c r="H379">
        <v>206</v>
      </c>
      <c r="I379" t="s">
        <v>114</v>
      </c>
      <c r="J379" t="s">
        <v>115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>"19:08:36.648"</f>
        <v>19:08:36.648</v>
      </c>
      <c r="T379" t="str">
        <f>"19:08:36.648"</f>
        <v>19:08:36.648</v>
      </c>
      <c r="U379" t="str">
        <f t="shared" si="16"/>
        <v>AB63B2</v>
      </c>
      <c r="V379">
        <v>0</v>
      </c>
      <c r="W379">
        <v>0</v>
      </c>
      <c r="X379">
        <v>6</v>
      </c>
      <c r="Z379">
        <v>0</v>
      </c>
      <c r="AA379">
        <v>9</v>
      </c>
      <c r="AB379">
        <v>3</v>
      </c>
      <c r="AC379">
        <v>0</v>
      </c>
      <c r="AD379">
        <v>10</v>
      </c>
      <c r="AE379">
        <v>0</v>
      </c>
      <c r="AF379">
        <v>0</v>
      </c>
      <c r="AG379">
        <v>2</v>
      </c>
      <c r="AH379">
        <v>0</v>
      </c>
      <c r="AI379" t="s">
        <v>382</v>
      </c>
      <c r="AJ379">
        <v>41.976270999999997</v>
      </c>
      <c r="AK379" t="s">
        <v>364</v>
      </c>
      <c r="AL379">
        <v>-87.895238000000006</v>
      </c>
      <c r="AS379">
        <v>1</v>
      </c>
      <c r="AT379" t="s">
        <v>118</v>
      </c>
      <c r="AU379" t="b">
        <v>1</v>
      </c>
      <c r="AV379">
        <v>180</v>
      </c>
      <c r="AW379">
        <v>19.125</v>
      </c>
      <c r="AX379">
        <v>1</v>
      </c>
      <c r="AZ379">
        <v>7205</v>
      </c>
      <c r="BA379">
        <v>1</v>
      </c>
      <c r="BB379" t="str">
        <f t="shared" si="17"/>
        <v xml:space="preserve">KAP400  </v>
      </c>
      <c r="BC379">
        <v>1</v>
      </c>
      <c r="BE379">
        <v>0</v>
      </c>
      <c r="BF379">
        <v>0</v>
      </c>
      <c r="BG379">
        <v>0</v>
      </c>
      <c r="BI379">
        <v>1</v>
      </c>
      <c r="BJ379">
        <v>1</v>
      </c>
      <c r="BK379">
        <v>1</v>
      </c>
      <c r="BL379">
        <v>0</v>
      </c>
      <c r="BO379">
        <v>0</v>
      </c>
      <c r="BP379">
        <v>0</v>
      </c>
      <c r="BW379" t="str">
        <f>"19:08:36.652"</f>
        <v>19:08:36.652</v>
      </c>
      <c r="BX379" t="s">
        <v>119</v>
      </c>
      <c r="BY379" t="s">
        <v>120</v>
      </c>
      <c r="CJ379">
        <v>0</v>
      </c>
      <c r="CK379">
        <v>0</v>
      </c>
      <c r="CL379">
        <v>0</v>
      </c>
      <c r="CM379">
        <v>2</v>
      </c>
      <c r="CN379">
        <v>0</v>
      </c>
      <c r="CO379">
        <v>0</v>
      </c>
      <c r="CP379" t="s">
        <v>121</v>
      </c>
      <c r="CQ379">
        <v>580</v>
      </c>
      <c r="CR379">
        <v>0</v>
      </c>
      <c r="CW379">
        <v>16628493</v>
      </c>
      <c r="CY379">
        <v>0</v>
      </c>
      <c r="CZ379">
        <v>0</v>
      </c>
      <c r="DA379">
        <v>0</v>
      </c>
      <c r="DB379">
        <v>1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</row>
    <row r="380" spans="1:113" x14ac:dyDescent="0.3">
      <c r="A380" t="str">
        <f>"06/16/2022 19:08:40.393"</f>
        <v>06/16/2022 19:08:40.393</v>
      </c>
      <c r="C380" t="str">
        <f t="shared" si="15"/>
        <v>FFBF5BC0</v>
      </c>
      <c r="D380" t="s">
        <v>113</v>
      </c>
      <c r="E380">
        <v>8</v>
      </c>
      <c r="H380">
        <v>206</v>
      </c>
      <c r="I380" t="s">
        <v>114</v>
      </c>
      <c r="J380" t="s">
        <v>115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>"19:08:40.172"</f>
        <v>19:08:40.172</v>
      </c>
      <c r="T380" t="str">
        <f>"19:08:40.172"</f>
        <v>19:08:40.172</v>
      </c>
      <c r="U380" t="str">
        <f t="shared" si="16"/>
        <v>AB63B2</v>
      </c>
      <c r="V380">
        <v>0</v>
      </c>
      <c r="W380">
        <v>0</v>
      </c>
      <c r="X380">
        <v>6</v>
      </c>
      <c r="Z380">
        <v>0</v>
      </c>
      <c r="AA380">
        <v>9</v>
      </c>
      <c r="AB380">
        <v>3</v>
      </c>
      <c r="AC380">
        <v>0</v>
      </c>
      <c r="AD380">
        <v>10</v>
      </c>
      <c r="AE380">
        <v>0</v>
      </c>
      <c r="AF380">
        <v>0</v>
      </c>
      <c r="AG380">
        <v>2</v>
      </c>
      <c r="AH380">
        <v>0</v>
      </c>
      <c r="AI380" t="s">
        <v>383</v>
      </c>
      <c r="AJ380">
        <v>41.975949</v>
      </c>
      <c r="AK380" t="s">
        <v>379</v>
      </c>
      <c r="AL380">
        <v>-87.895217000000002</v>
      </c>
      <c r="AS380">
        <v>1</v>
      </c>
      <c r="AT380" t="s">
        <v>118</v>
      </c>
      <c r="AU380" t="b">
        <v>1</v>
      </c>
      <c r="AV380">
        <v>180</v>
      </c>
      <c r="AW380">
        <v>20.125</v>
      </c>
      <c r="AX380">
        <v>1</v>
      </c>
      <c r="AZ380">
        <v>7205</v>
      </c>
      <c r="BA380">
        <v>1</v>
      </c>
      <c r="BB380" t="str">
        <f t="shared" si="17"/>
        <v xml:space="preserve">KAP400  </v>
      </c>
      <c r="BC380">
        <v>1</v>
      </c>
      <c r="BE380">
        <v>0</v>
      </c>
      <c r="BF380">
        <v>0</v>
      </c>
      <c r="BG380">
        <v>0</v>
      </c>
      <c r="BI380">
        <v>1</v>
      </c>
      <c r="BJ380">
        <v>1</v>
      </c>
      <c r="BK380">
        <v>1</v>
      </c>
      <c r="BL380">
        <v>0</v>
      </c>
      <c r="BO380">
        <v>0</v>
      </c>
      <c r="BP380">
        <v>0</v>
      </c>
      <c r="BW380" t="str">
        <f>"19:08:40.176"</f>
        <v>19:08:40.176</v>
      </c>
      <c r="BX380" t="s">
        <v>119</v>
      </c>
      <c r="BY380" t="s">
        <v>120</v>
      </c>
      <c r="CJ380">
        <v>0</v>
      </c>
      <c r="CK380">
        <v>0</v>
      </c>
      <c r="CL380">
        <v>0</v>
      </c>
      <c r="CM380">
        <v>2</v>
      </c>
      <c r="CN380">
        <v>0</v>
      </c>
      <c r="CO380">
        <v>7</v>
      </c>
      <c r="CP380" t="s">
        <v>121</v>
      </c>
      <c r="CQ380">
        <v>580</v>
      </c>
      <c r="CR380">
        <v>0</v>
      </c>
      <c r="CW380">
        <v>16635175</v>
      </c>
      <c r="CY380">
        <v>0</v>
      </c>
      <c r="CZ380">
        <v>0</v>
      </c>
      <c r="DA380">
        <v>0</v>
      </c>
      <c r="DB380">
        <v>1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</row>
    <row r="381" spans="1:113" x14ac:dyDescent="0.3">
      <c r="A381" t="str">
        <f>"06/16/2022 19:08:41.330"</f>
        <v>06/16/2022 19:08:41.330</v>
      </c>
      <c r="C381" t="str">
        <f t="shared" si="15"/>
        <v>FFBF5BC0</v>
      </c>
      <c r="D381" t="s">
        <v>113</v>
      </c>
      <c r="E381">
        <v>8</v>
      </c>
      <c r="H381">
        <v>206</v>
      </c>
      <c r="I381" t="s">
        <v>114</v>
      </c>
      <c r="J381" t="s">
        <v>115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>"19:08:41.063"</f>
        <v>19:08:41.063</v>
      </c>
      <c r="T381" t="str">
        <f>"19:08:41.063"</f>
        <v>19:08:41.063</v>
      </c>
      <c r="U381" t="str">
        <f t="shared" si="16"/>
        <v>AB63B2</v>
      </c>
      <c r="V381">
        <v>0</v>
      </c>
      <c r="W381">
        <v>0</v>
      </c>
      <c r="X381">
        <v>6</v>
      </c>
      <c r="Z381">
        <v>0</v>
      </c>
      <c r="AA381">
        <v>9</v>
      </c>
      <c r="AB381">
        <v>3</v>
      </c>
      <c r="AC381">
        <v>0</v>
      </c>
      <c r="AD381">
        <v>10</v>
      </c>
      <c r="AE381">
        <v>0</v>
      </c>
      <c r="AF381">
        <v>0</v>
      </c>
      <c r="AG381">
        <v>2</v>
      </c>
      <c r="AH381">
        <v>0</v>
      </c>
      <c r="AI381" t="s">
        <v>384</v>
      </c>
      <c r="AJ381">
        <v>41.975862999999997</v>
      </c>
      <c r="AK381" t="s">
        <v>364</v>
      </c>
      <c r="AL381">
        <v>-87.895238000000006</v>
      </c>
      <c r="AS381">
        <v>1</v>
      </c>
      <c r="AT381" t="s">
        <v>118</v>
      </c>
      <c r="AU381" t="b">
        <v>1</v>
      </c>
      <c r="AV381">
        <v>180</v>
      </c>
      <c r="AW381">
        <v>20.125</v>
      </c>
      <c r="AX381">
        <v>1</v>
      </c>
      <c r="AZ381">
        <v>7205</v>
      </c>
      <c r="BA381">
        <v>1</v>
      </c>
      <c r="BB381" t="str">
        <f t="shared" si="17"/>
        <v xml:space="preserve">KAP400  </v>
      </c>
      <c r="BC381">
        <v>1</v>
      </c>
      <c r="BE381">
        <v>0</v>
      </c>
      <c r="BF381">
        <v>0</v>
      </c>
      <c r="BG381">
        <v>0</v>
      </c>
      <c r="BI381">
        <v>1</v>
      </c>
      <c r="BJ381">
        <v>1</v>
      </c>
      <c r="BK381">
        <v>1</v>
      </c>
      <c r="BL381">
        <v>0</v>
      </c>
      <c r="BO381">
        <v>0</v>
      </c>
      <c r="BP381">
        <v>0</v>
      </c>
      <c r="BW381" t="str">
        <f>"19:08:41.064"</f>
        <v>19:08:41.064</v>
      </c>
      <c r="BX381" t="s">
        <v>119</v>
      </c>
      <c r="BY381" t="s">
        <v>120</v>
      </c>
      <c r="CJ381">
        <v>0</v>
      </c>
      <c r="CK381">
        <v>0</v>
      </c>
      <c r="CL381">
        <v>0</v>
      </c>
      <c r="CM381">
        <v>2</v>
      </c>
      <c r="CN381">
        <v>0</v>
      </c>
      <c r="CO381">
        <v>7</v>
      </c>
      <c r="CP381" t="s">
        <v>121</v>
      </c>
      <c r="CQ381">
        <v>580</v>
      </c>
      <c r="CR381">
        <v>0</v>
      </c>
      <c r="CW381">
        <v>16636851</v>
      </c>
      <c r="CY381">
        <v>0</v>
      </c>
      <c r="CZ381">
        <v>0</v>
      </c>
      <c r="DA381">
        <v>0</v>
      </c>
      <c r="DB381">
        <v>1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</row>
    <row r="382" spans="1:113" x14ac:dyDescent="0.3">
      <c r="A382" t="str">
        <f>"06/16/2022 19:08:42.423"</f>
        <v>06/16/2022 19:08:42.423</v>
      </c>
      <c r="C382" t="str">
        <f t="shared" si="15"/>
        <v>FFBF5BC0</v>
      </c>
      <c r="D382" t="s">
        <v>113</v>
      </c>
      <c r="E382">
        <v>8</v>
      </c>
      <c r="H382">
        <v>206</v>
      </c>
      <c r="I382" t="s">
        <v>114</v>
      </c>
      <c r="J382" t="s">
        <v>115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>"19:08:42.148"</f>
        <v>19:08:42.148</v>
      </c>
      <c r="T382" t="str">
        <f>"19:08:42.148"</f>
        <v>19:08:42.148</v>
      </c>
      <c r="U382" t="str">
        <f t="shared" si="16"/>
        <v>AB63B2</v>
      </c>
      <c r="V382">
        <v>0</v>
      </c>
      <c r="W382">
        <v>0</v>
      </c>
      <c r="X382">
        <v>6</v>
      </c>
      <c r="Z382">
        <v>0</v>
      </c>
      <c r="AA382">
        <v>9</v>
      </c>
      <c r="AB382">
        <v>3</v>
      </c>
      <c r="AC382">
        <v>0</v>
      </c>
      <c r="AD382">
        <v>10</v>
      </c>
      <c r="AE382">
        <v>0</v>
      </c>
      <c r="AF382">
        <v>0</v>
      </c>
      <c r="AG382">
        <v>2</v>
      </c>
      <c r="AH382">
        <v>0</v>
      </c>
      <c r="AI382" t="s">
        <v>385</v>
      </c>
      <c r="AJ382">
        <v>41.975777000000001</v>
      </c>
      <c r="AK382" t="s">
        <v>364</v>
      </c>
      <c r="AL382">
        <v>-87.895238000000006</v>
      </c>
      <c r="AS382">
        <v>1</v>
      </c>
      <c r="AT382" t="s">
        <v>118</v>
      </c>
      <c r="AU382" t="b">
        <v>1</v>
      </c>
      <c r="AV382">
        <v>180</v>
      </c>
      <c r="AW382">
        <v>20.125</v>
      </c>
      <c r="AX382">
        <v>1</v>
      </c>
      <c r="AZ382">
        <v>7205</v>
      </c>
      <c r="BA382">
        <v>1</v>
      </c>
      <c r="BB382" t="str">
        <f t="shared" si="17"/>
        <v xml:space="preserve">KAP400  </v>
      </c>
      <c r="BC382">
        <v>1</v>
      </c>
      <c r="BE382">
        <v>0</v>
      </c>
      <c r="BF382">
        <v>0</v>
      </c>
      <c r="BG382">
        <v>0</v>
      </c>
      <c r="BI382">
        <v>1</v>
      </c>
      <c r="BJ382">
        <v>1</v>
      </c>
      <c r="BK382">
        <v>1</v>
      </c>
      <c r="BL382">
        <v>0</v>
      </c>
      <c r="BO382">
        <v>0</v>
      </c>
      <c r="BP382">
        <v>0</v>
      </c>
      <c r="BW382" t="str">
        <f>"19:08:42.149"</f>
        <v>19:08:42.149</v>
      </c>
      <c r="BX382" t="s">
        <v>119</v>
      </c>
      <c r="BY382" t="s">
        <v>120</v>
      </c>
      <c r="CJ382">
        <v>0</v>
      </c>
      <c r="CK382">
        <v>0</v>
      </c>
      <c r="CL382">
        <v>0</v>
      </c>
      <c r="CM382">
        <v>2</v>
      </c>
      <c r="CN382">
        <v>0</v>
      </c>
      <c r="CO382">
        <v>7</v>
      </c>
      <c r="CP382" t="s">
        <v>121</v>
      </c>
      <c r="CQ382">
        <v>580</v>
      </c>
      <c r="CR382">
        <v>0</v>
      </c>
      <c r="CW382">
        <v>16638811</v>
      </c>
      <c r="CY382">
        <v>0</v>
      </c>
      <c r="CZ382">
        <v>0</v>
      </c>
      <c r="DA382">
        <v>0</v>
      </c>
      <c r="DB382">
        <v>1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</row>
    <row r="383" spans="1:113" x14ac:dyDescent="0.3">
      <c r="A383" t="str">
        <f>"06/16/2022 19:08:43.750"</f>
        <v>06/16/2022 19:08:43.750</v>
      </c>
      <c r="C383" t="str">
        <f t="shared" si="15"/>
        <v>FFBF5BC0</v>
      </c>
      <c r="D383" t="s">
        <v>113</v>
      </c>
      <c r="E383">
        <v>8</v>
      </c>
      <c r="H383">
        <v>206</v>
      </c>
      <c r="I383" t="s">
        <v>114</v>
      </c>
      <c r="J383" t="s">
        <v>115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>"19:08:43.555"</f>
        <v>19:08:43.555</v>
      </c>
      <c r="T383" t="str">
        <f>"19:08:43.555"</f>
        <v>19:08:43.555</v>
      </c>
      <c r="U383" t="str">
        <f t="shared" si="16"/>
        <v>AB63B2</v>
      </c>
      <c r="V383">
        <v>0</v>
      </c>
      <c r="W383">
        <v>0</v>
      </c>
      <c r="X383">
        <v>6</v>
      </c>
      <c r="Z383">
        <v>0</v>
      </c>
      <c r="AA383">
        <v>9</v>
      </c>
      <c r="AB383">
        <v>3</v>
      </c>
      <c r="AC383">
        <v>0</v>
      </c>
      <c r="AD383">
        <v>10</v>
      </c>
      <c r="AE383">
        <v>0</v>
      </c>
      <c r="AF383">
        <v>0</v>
      </c>
      <c r="AG383">
        <v>2</v>
      </c>
      <c r="AH383">
        <v>0</v>
      </c>
      <c r="AI383" t="s">
        <v>386</v>
      </c>
      <c r="AJ383">
        <v>41.975648</v>
      </c>
      <c r="AK383" t="s">
        <v>364</v>
      </c>
      <c r="AL383">
        <v>-87.895238000000006</v>
      </c>
      <c r="AS383">
        <v>1</v>
      </c>
      <c r="AT383" t="s">
        <v>118</v>
      </c>
      <c r="AU383" t="b">
        <v>1</v>
      </c>
      <c r="AV383">
        <v>180</v>
      </c>
      <c r="AW383">
        <v>20.125</v>
      </c>
      <c r="AX383">
        <v>1</v>
      </c>
      <c r="AZ383">
        <v>7205</v>
      </c>
      <c r="BA383">
        <v>1</v>
      </c>
      <c r="BB383" t="str">
        <f t="shared" si="17"/>
        <v xml:space="preserve">KAP400  </v>
      </c>
      <c r="BC383">
        <v>1</v>
      </c>
      <c r="BE383">
        <v>0</v>
      </c>
      <c r="BF383">
        <v>0</v>
      </c>
      <c r="BG383">
        <v>0</v>
      </c>
      <c r="BI383">
        <v>1</v>
      </c>
      <c r="BJ383">
        <v>1</v>
      </c>
      <c r="BK383">
        <v>1</v>
      </c>
      <c r="BL383">
        <v>0</v>
      </c>
      <c r="BO383">
        <v>0</v>
      </c>
      <c r="BP383">
        <v>0</v>
      </c>
      <c r="BW383" t="str">
        <f>"19:08:43.558"</f>
        <v>19:08:43.558</v>
      </c>
      <c r="BX383" t="s">
        <v>119</v>
      </c>
      <c r="BY383" t="s">
        <v>120</v>
      </c>
      <c r="CJ383">
        <v>0</v>
      </c>
      <c r="CK383">
        <v>0</v>
      </c>
      <c r="CL383">
        <v>0</v>
      </c>
      <c r="CM383">
        <v>2</v>
      </c>
      <c r="CN383">
        <v>0</v>
      </c>
      <c r="CO383">
        <v>7</v>
      </c>
      <c r="CP383" t="s">
        <v>121</v>
      </c>
      <c r="CQ383">
        <v>580</v>
      </c>
      <c r="CR383">
        <v>0</v>
      </c>
      <c r="CW383">
        <v>16641471</v>
      </c>
      <c r="CY383">
        <v>0</v>
      </c>
      <c r="CZ383">
        <v>0</v>
      </c>
      <c r="DA383">
        <v>0</v>
      </c>
      <c r="DB383">
        <v>1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</row>
    <row r="384" spans="1:113" x14ac:dyDescent="0.3">
      <c r="A384" t="str">
        <f>"06/16/2022 19:08:44.766"</f>
        <v>06/16/2022 19:08:44.766</v>
      </c>
      <c r="C384" t="str">
        <f t="shared" si="15"/>
        <v>FFBF5BC0</v>
      </c>
      <c r="D384" t="s">
        <v>113</v>
      </c>
      <c r="E384">
        <v>8</v>
      </c>
      <c r="H384">
        <v>206</v>
      </c>
      <c r="I384" t="s">
        <v>114</v>
      </c>
      <c r="J384" t="s">
        <v>115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>"19:08:44.500"</f>
        <v>19:08:44.500</v>
      </c>
      <c r="T384" t="str">
        <f>"19:08:44.500"</f>
        <v>19:08:44.500</v>
      </c>
      <c r="U384" t="str">
        <f t="shared" si="16"/>
        <v>AB63B2</v>
      </c>
      <c r="V384">
        <v>0</v>
      </c>
      <c r="W384">
        <v>0</v>
      </c>
      <c r="X384">
        <v>6</v>
      </c>
      <c r="Z384">
        <v>0</v>
      </c>
      <c r="AA384">
        <v>9</v>
      </c>
      <c r="AB384">
        <v>3</v>
      </c>
      <c r="AC384">
        <v>0</v>
      </c>
      <c r="AD384">
        <v>10</v>
      </c>
      <c r="AE384">
        <v>0</v>
      </c>
      <c r="AF384">
        <v>0</v>
      </c>
      <c r="AG384">
        <v>2</v>
      </c>
      <c r="AH384">
        <v>0</v>
      </c>
      <c r="AI384" t="s">
        <v>387</v>
      </c>
      <c r="AJ384">
        <v>41.975563000000001</v>
      </c>
      <c r="AK384" t="s">
        <v>364</v>
      </c>
      <c r="AL384">
        <v>-87.895238000000006</v>
      </c>
      <c r="AS384">
        <v>1</v>
      </c>
      <c r="AT384" t="s">
        <v>118</v>
      </c>
      <c r="AU384" t="b">
        <v>1</v>
      </c>
      <c r="AV384">
        <v>180</v>
      </c>
      <c r="AW384">
        <v>20.125</v>
      </c>
      <c r="AX384">
        <v>1</v>
      </c>
      <c r="AZ384">
        <v>7205</v>
      </c>
      <c r="BA384">
        <v>1</v>
      </c>
      <c r="BB384" t="str">
        <f t="shared" si="17"/>
        <v xml:space="preserve">KAP400  </v>
      </c>
      <c r="BC384">
        <v>1</v>
      </c>
      <c r="BE384">
        <v>0</v>
      </c>
      <c r="BF384">
        <v>0</v>
      </c>
      <c r="BG384">
        <v>0</v>
      </c>
      <c r="BI384">
        <v>1</v>
      </c>
      <c r="BJ384">
        <v>1</v>
      </c>
      <c r="BK384">
        <v>1</v>
      </c>
      <c r="BL384">
        <v>0</v>
      </c>
      <c r="BO384">
        <v>0</v>
      </c>
      <c r="BP384">
        <v>0</v>
      </c>
      <c r="BW384" t="str">
        <f>"19:08:44.505"</f>
        <v>19:08:44.505</v>
      </c>
      <c r="BX384" t="s">
        <v>119</v>
      </c>
      <c r="BY384" t="s">
        <v>120</v>
      </c>
      <c r="CJ384">
        <v>0</v>
      </c>
      <c r="CK384">
        <v>0</v>
      </c>
      <c r="CL384">
        <v>0</v>
      </c>
      <c r="CM384">
        <v>2</v>
      </c>
      <c r="CN384">
        <v>0</v>
      </c>
      <c r="CO384">
        <v>7</v>
      </c>
      <c r="CP384" t="s">
        <v>121</v>
      </c>
      <c r="CQ384">
        <v>580</v>
      </c>
      <c r="CR384">
        <v>0</v>
      </c>
      <c r="CW384">
        <v>16643405</v>
      </c>
      <c r="CY384">
        <v>0</v>
      </c>
      <c r="CZ384">
        <v>0</v>
      </c>
      <c r="DA384">
        <v>0</v>
      </c>
      <c r="DB384">
        <v>1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</row>
    <row r="385" spans="1:113" x14ac:dyDescent="0.3">
      <c r="A385" t="str">
        <f>"06/16/2022 19:08:45.812"</f>
        <v>06/16/2022 19:08:45.812</v>
      </c>
      <c r="C385" t="str">
        <f t="shared" si="15"/>
        <v>FFBF5BC0</v>
      </c>
      <c r="D385" t="s">
        <v>113</v>
      </c>
      <c r="E385">
        <v>8</v>
      </c>
      <c r="H385">
        <v>206</v>
      </c>
      <c r="I385" t="s">
        <v>114</v>
      </c>
      <c r="J385" t="s">
        <v>115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>"19:08:45.594"</f>
        <v>19:08:45.594</v>
      </c>
      <c r="T385" t="str">
        <f>"19:08:45.594"</f>
        <v>19:08:45.594</v>
      </c>
      <c r="U385" t="str">
        <f t="shared" si="16"/>
        <v>AB63B2</v>
      </c>
      <c r="V385">
        <v>0</v>
      </c>
      <c r="W385">
        <v>0</v>
      </c>
      <c r="X385">
        <v>6</v>
      </c>
      <c r="Z385">
        <v>0</v>
      </c>
      <c r="AA385">
        <v>9</v>
      </c>
      <c r="AB385">
        <v>3</v>
      </c>
      <c r="AC385">
        <v>0</v>
      </c>
      <c r="AD385">
        <v>10</v>
      </c>
      <c r="AE385">
        <v>0</v>
      </c>
      <c r="AF385">
        <v>0</v>
      </c>
      <c r="AG385">
        <v>2</v>
      </c>
      <c r="AH385">
        <v>0</v>
      </c>
      <c r="AI385" t="s">
        <v>388</v>
      </c>
      <c r="AJ385">
        <v>41.975476999999998</v>
      </c>
      <c r="AK385" t="s">
        <v>379</v>
      </c>
      <c r="AL385">
        <v>-87.895217000000002</v>
      </c>
      <c r="AS385">
        <v>1</v>
      </c>
      <c r="AT385" t="s">
        <v>118</v>
      </c>
      <c r="AU385" t="b">
        <v>1</v>
      </c>
      <c r="AV385">
        <v>180</v>
      </c>
      <c r="AW385">
        <v>20.125</v>
      </c>
      <c r="AX385">
        <v>1</v>
      </c>
      <c r="AZ385">
        <v>7205</v>
      </c>
      <c r="BA385">
        <v>1</v>
      </c>
      <c r="BB385" t="str">
        <f t="shared" si="17"/>
        <v xml:space="preserve">KAP400  </v>
      </c>
      <c r="BC385">
        <v>1</v>
      </c>
      <c r="BE385">
        <v>0</v>
      </c>
      <c r="BF385">
        <v>0</v>
      </c>
      <c r="BG385">
        <v>0</v>
      </c>
      <c r="BI385">
        <v>1</v>
      </c>
      <c r="BJ385">
        <v>1</v>
      </c>
      <c r="BK385">
        <v>1</v>
      </c>
      <c r="BL385">
        <v>0</v>
      </c>
      <c r="BO385">
        <v>0</v>
      </c>
      <c r="BP385">
        <v>0</v>
      </c>
      <c r="BW385" t="str">
        <f>"19:08:45.601"</f>
        <v>19:08:45.601</v>
      </c>
      <c r="BX385" t="s">
        <v>119</v>
      </c>
      <c r="BY385" t="s">
        <v>120</v>
      </c>
      <c r="CJ385">
        <v>0</v>
      </c>
      <c r="CK385">
        <v>0</v>
      </c>
      <c r="CL385">
        <v>0</v>
      </c>
      <c r="CM385">
        <v>2</v>
      </c>
      <c r="CN385">
        <v>0</v>
      </c>
      <c r="CO385">
        <v>7</v>
      </c>
      <c r="CP385" t="s">
        <v>121</v>
      </c>
      <c r="CQ385">
        <v>580</v>
      </c>
      <c r="CR385">
        <v>0</v>
      </c>
      <c r="CW385">
        <v>16645487</v>
      </c>
      <c r="CY385">
        <v>0</v>
      </c>
      <c r="CZ385">
        <v>0</v>
      </c>
      <c r="DA385">
        <v>0</v>
      </c>
      <c r="DB385">
        <v>1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</row>
    <row r="386" spans="1:113" x14ac:dyDescent="0.3">
      <c r="A386" t="str">
        <f>"06/16/2022 19:08:46.907"</f>
        <v>06/16/2022 19:08:46.907</v>
      </c>
      <c r="C386" t="str">
        <f t="shared" ref="C386:C449" si="18">"FFBF5BC0"</f>
        <v>FFBF5BC0</v>
      </c>
      <c r="D386" t="s">
        <v>113</v>
      </c>
      <c r="E386">
        <v>8</v>
      </c>
      <c r="H386">
        <v>206</v>
      </c>
      <c r="I386" t="s">
        <v>114</v>
      </c>
      <c r="J386" t="s">
        <v>115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>"19:08:46.711"</f>
        <v>19:08:46.711</v>
      </c>
      <c r="T386" t="str">
        <f>"19:08:46.711"</f>
        <v>19:08:46.711</v>
      </c>
      <c r="U386" t="str">
        <f t="shared" ref="U386:U449" si="19">"AB63B2"</f>
        <v>AB63B2</v>
      </c>
      <c r="V386">
        <v>0</v>
      </c>
      <c r="W386">
        <v>0</v>
      </c>
      <c r="X386">
        <v>6</v>
      </c>
      <c r="Z386">
        <v>0</v>
      </c>
      <c r="AA386">
        <v>9</v>
      </c>
      <c r="AB386">
        <v>3</v>
      </c>
      <c r="AC386">
        <v>0</v>
      </c>
      <c r="AD386">
        <v>10</v>
      </c>
      <c r="AE386">
        <v>0</v>
      </c>
      <c r="AF386">
        <v>0</v>
      </c>
      <c r="AG386">
        <v>2</v>
      </c>
      <c r="AH386">
        <v>0</v>
      </c>
      <c r="AI386" t="s">
        <v>389</v>
      </c>
      <c r="AJ386">
        <v>41.975369000000001</v>
      </c>
      <c r="AK386" t="s">
        <v>364</v>
      </c>
      <c r="AL386">
        <v>-87.895238000000006</v>
      </c>
      <c r="AS386">
        <v>1</v>
      </c>
      <c r="AT386" t="s">
        <v>118</v>
      </c>
      <c r="AU386" t="b">
        <v>1</v>
      </c>
      <c r="AV386">
        <v>180</v>
      </c>
      <c r="AW386">
        <v>20.125</v>
      </c>
      <c r="AX386">
        <v>1</v>
      </c>
      <c r="AZ386">
        <v>7205</v>
      </c>
      <c r="BA386">
        <v>1</v>
      </c>
      <c r="BB386" t="str">
        <f t="shared" ref="BB386:BB449" si="20">"KAP400  "</f>
        <v xml:space="preserve">KAP400  </v>
      </c>
      <c r="BC386">
        <v>1</v>
      </c>
      <c r="BE386">
        <v>0</v>
      </c>
      <c r="BF386">
        <v>0</v>
      </c>
      <c r="BG386">
        <v>0</v>
      </c>
      <c r="BI386">
        <v>1</v>
      </c>
      <c r="BJ386">
        <v>1</v>
      </c>
      <c r="BK386">
        <v>1</v>
      </c>
      <c r="BL386">
        <v>0</v>
      </c>
      <c r="BO386">
        <v>0</v>
      </c>
      <c r="BP386">
        <v>0</v>
      </c>
      <c r="BW386" t="str">
        <f>"19:08:46.714"</f>
        <v>19:08:46.714</v>
      </c>
      <c r="BX386" t="s">
        <v>119</v>
      </c>
      <c r="BY386" t="s">
        <v>120</v>
      </c>
      <c r="CJ386">
        <v>0</v>
      </c>
      <c r="CK386">
        <v>0</v>
      </c>
      <c r="CL386">
        <v>0</v>
      </c>
      <c r="CM386">
        <v>2</v>
      </c>
      <c r="CN386">
        <v>0</v>
      </c>
      <c r="CO386">
        <v>7</v>
      </c>
      <c r="CP386" t="s">
        <v>121</v>
      </c>
      <c r="CQ386">
        <v>580</v>
      </c>
      <c r="CR386">
        <v>0</v>
      </c>
      <c r="CW386">
        <v>16647595</v>
      </c>
      <c r="CY386">
        <v>0</v>
      </c>
      <c r="CZ386">
        <v>0</v>
      </c>
      <c r="DA386">
        <v>0</v>
      </c>
      <c r="DB386">
        <v>1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</row>
    <row r="387" spans="1:113" x14ac:dyDescent="0.3">
      <c r="A387" t="str">
        <f>"06/16/2022 19:08:48.110"</f>
        <v>06/16/2022 19:08:48.110</v>
      </c>
      <c r="C387" t="str">
        <f t="shared" si="18"/>
        <v>FFBF5BC0</v>
      </c>
      <c r="D387" t="s">
        <v>113</v>
      </c>
      <c r="E387">
        <v>8</v>
      </c>
      <c r="H387">
        <v>206</v>
      </c>
      <c r="I387" t="s">
        <v>114</v>
      </c>
      <c r="J387" t="s">
        <v>115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>"19:08:47.859"</f>
        <v>19:08:47.859</v>
      </c>
      <c r="T387" t="str">
        <f>"19:08:47.859"</f>
        <v>19:08:47.859</v>
      </c>
      <c r="U387" t="str">
        <f t="shared" si="19"/>
        <v>AB63B2</v>
      </c>
      <c r="V387">
        <v>0</v>
      </c>
      <c r="W387">
        <v>0</v>
      </c>
      <c r="X387">
        <v>6</v>
      </c>
      <c r="Z387">
        <v>0</v>
      </c>
      <c r="AA387">
        <v>9</v>
      </c>
      <c r="AB387">
        <v>3</v>
      </c>
      <c r="AC387">
        <v>0</v>
      </c>
      <c r="AD387">
        <v>10</v>
      </c>
      <c r="AE387">
        <v>0</v>
      </c>
      <c r="AF387">
        <v>0</v>
      </c>
      <c r="AG387">
        <v>2</v>
      </c>
      <c r="AH387">
        <v>0</v>
      </c>
      <c r="AI387" t="s">
        <v>390</v>
      </c>
      <c r="AJ387">
        <v>41.975262000000001</v>
      </c>
      <c r="AK387" t="s">
        <v>364</v>
      </c>
      <c r="AL387">
        <v>-87.895238000000006</v>
      </c>
      <c r="AS387">
        <v>1</v>
      </c>
      <c r="AT387" t="s">
        <v>118</v>
      </c>
      <c r="AU387" t="b">
        <v>1</v>
      </c>
      <c r="AV387">
        <v>180</v>
      </c>
      <c r="AW387">
        <v>20.125</v>
      </c>
      <c r="AX387">
        <v>1</v>
      </c>
      <c r="AZ387">
        <v>7205</v>
      </c>
      <c r="BA387">
        <v>1</v>
      </c>
      <c r="BB387" t="str">
        <f t="shared" si="20"/>
        <v xml:space="preserve">KAP400  </v>
      </c>
      <c r="BC387">
        <v>1</v>
      </c>
      <c r="BE387">
        <v>0</v>
      </c>
      <c r="BF387">
        <v>0</v>
      </c>
      <c r="BG387">
        <v>0</v>
      </c>
      <c r="BI387">
        <v>1</v>
      </c>
      <c r="BJ387">
        <v>1</v>
      </c>
      <c r="BK387">
        <v>1</v>
      </c>
      <c r="BL387">
        <v>0</v>
      </c>
      <c r="BO387">
        <v>0</v>
      </c>
      <c r="BP387">
        <v>0</v>
      </c>
      <c r="BW387" t="str">
        <f>"19:08:47.864"</f>
        <v>19:08:47.864</v>
      </c>
      <c r="BX387" t="s">
        <v>119</v>
      </c>
      <c r="BY387" t="s">
        <v>120</v>
      </c>
      <c r="CJ387">
        <v>0</v>
      </c>
      <c r="CK387">
        <v>0</v>
      </c>
      <c r="CL387">
        <v>0</v>
      </c>
      <c r="CM387">
        <v>2</v>
      </c>
      <c r="CN387">
        <v>0</v>
      </c>
      <c r="CO387">
        <v>7</v>
      </c>
      <c r="CP387" t="s">
        <v>121</v>
      </c>
      <c r="CQ387">
        <v>580</v>
      </c>
      <c r="CR387">
        <v>0</v>
      </c>
      <c r="CW387">
        <v>16649805</v>
      </c>
      <c r="CY387">
        <v>0</v>
      </c>
      <c r="CZ387">
        <v>0</v>
      </c>
      <c r="DA387">
        <v>0</v>
      </c>
      <c r="DB387">
        <v>1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</row>
    <row r="388" spans="1:113" x14ac:dyDescent="0.3">
      <c r="A388" t="str">
        <f>"06/16/2022 19:08:49.095"</f>
        <v>06/16/2022 19:08:49.095</v>
      </c>
      <c r="C388" t="str">
        <f t="shared" si="18"/>
        <v>FFBF5BC0</v>
      </c>
      <c r="D388" t="s">
        <v>113</v>
      </c>
      <c r="E388">
        <v>8</v>
      </c>
      <c r="H388">
        <v>206</v>
      </c>
      <c r="I388" t="s">
        <v>114</v>
      </c>
      <c r="J388" t="s">
        <v>115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>"19:08:48.875"</f>
        <v>19:08:48.875</v>
      </c>
      <c r="T388" t="str">
        <f>"19:08:48.875"</f>
        <v>19:08:48.875</v>
      </c>
      <c r="U388" t="str">
        <f t="shared" si="19"/>
        <v>AB63B2</v>
      </c>
      <c r="V388">
        <v>0</v>
      </c>
      <c r="W388">
        <v>0</v>
      </c>
      <c r="X388">
        <v>6</v>
      </c>
      <c r="Z388">
        <v>0</v>
      </c>
      <c r="AA388">
        <v>9</v>
      </c>
      <c r="AB388">
        <v>3</v>
      </c>
      <c r="AC388">
        <v>0</v>
      </c>
      <c r="AD388">
        <v>10</v>
      </c>
      <c r="AE388">
        <v>0</v>
      </c>
      <c r="AF388">
        <v>0</v>
      </c>
      <c r="AG388">
        <v>2</v>
      </c>
      <c r="AH388">
        <v>0</v>
      </c>
      <c r="AI388" t="s">
        <v>391</v>
      </c>
      <c r="AJ388">
        <v>41.975175999999998</v>
      </c>
      <c r="AK388" t="s">
        <v>364</v>
      </c>
      <c r="AL388">
        <v>-87.895238000000006</v>
      </c>
      <c r="AS388">
        <v>1</v>
      </c>
      <c r="AT388" t="s">
        <v>118</v>
      </c>
      <c r="AU388" t="b">
        <v>1</v>
      </c>
      <c r="AV388">
        <v>177.19</v>
      </c>
      <c r="AW388">
        <v>20.125</v>
      </c>
      <c r="AX388">
        <v>1</v>
      </c>
      <c r="AZ388">
        <v>7205</v>
      </c>
      <c r="BA388">
        <v>1</v>
      </c>
      <c r="BB388" t="str">
        <f t="shared" si="20"/>
        <v xml:space="preserve">KAP400  </v>
      </c>
      <c r="BC388">
        <v>1</v>
      </c>
      <c r="BE388">
        <v>0</v>
      </c>
      <c r="BF388">
        <v>0</v>
      </c>
      <c r="BG388">
        <v>0</v>
      </c>
      <c r="BI388">
        <v>1</v>
      </c>
      <c r="BJ388">
        <v>1</v>
      </c>
      <c r="BK388">
        <v>1</v>
      </c>
      <c r="BL388">
        <v>0</v>
      </c>
      <c r="BO388">
        <v>0</v>
      </c>
      <c r="BP388">
        <v>0</v>
      </c>
      <c r="BW388" t="str">
        <f>"19:08:48.880"</f>
        <v>19:08:48.880</v>
      </c>
      <c r="BX388" t="s">
        <v>119</v>
      </c>
      <c r="BY388" t="s">
        <v>120</v>
      </c>
      <c r="CJ388">
        <v>0</v>
      </c>
      <c r="CK388">
        <v>0</v>
      </c>
      <c r="CL388">
        <v>0</v>
      </c>
      <c r="CM388">
        <v>2</v>
      </c>
      <c r="CN388">
        <v>0</v>
      </c>
      <c r="CO388">
        <v>7</v>
      </c>
      <c r="CP388" t="s">
        <v>121</v>
      </c>
      <c r="CQ388">
        <v>580</v>
      </c>
      <c r="CR388">
        <v>0</v>
      </c>
      <c r="CW388">
        <v>16651821</v>
      </c>
      <c r="CY388">
        <v>0</v>
      </c>
      <c r="CZ388">
        <v>0</v>
      </c>
      <c r="DA388">
        <v>0</v>
      </c>
      <c r="DB388">
        <v>1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</row>
    <row r="389" spans="1:113" x14ac:dyDescent="0.3">
      <c r="A389" t="str">
        <f>"06/16/2022 19:08:50.282"</f>
        <v>06/16/2022 19:08:50.282</v>
      </c>
      <c r="C389" t="str">
        <f t="shared" si="18"/>
        <v>FFBF5BC0</v>
      </c>
      <c r="D389" t="s">
        <v>113</v>
      </c>
      <c r="E389">
        <v>8</v>
      </c>
      <c r="H389">
        <v>206</v>
      </c>
      <c r="I389" t="s">
        <v>114</v>
      </c>
      <c r="J389" t="s">
        <v>115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>"19:08:49.945"</f>
        <v>19:08:49.945</v>
      </c>
      <c r="T389" t="str">
        <f>"19:08:49.945"</f>
        <v>19:08:49.945</v>
      </c>
      <c r="U389" t="str">
        <f t="shared" si="19"/>
        <v>AB63B2</v>
      </c>
      <c r="V389">
        <v>0</v>
      </c>
      <c r="W389">
        <v>0</v>
      </c>
      <c r="X389">
        <v>6</v>
      </c>
      <c r="Z389">
        <v>0</v>
      </c>
      <c r="AA389">
        <v>9</v>
      </c>
      <c r="AB389">
        <v>3</v>
      </c>
      <c r="AC389">
        <v>0</v>
      </c>
      <c r="AD389">
        <v>10</v>
      </c>
      <c r="AE389">
        <v>0</v>
      </c>
      <c r="AF389">
        <v>0</v>
      </c>
      <c r="AG389">
        <v>2</v>
      </c>
      <c r="AH389">
        <v>0</v>
      </c>
      <c r="AI389" t="s">
        <v>392</v>
      </c>
      <c r="AJ389">
        <v>41.975090999999999</v>
      </c>
      <c r="AK389" t="s">
        <v>379</v>
      </c>
      <c r="AL389">
        <v>-87.895217000000002</v>
      </c>
      <c r="AS389">
        <v>1</v>
      </c>
      <c r="AT389" t="s">
        <v>118</v>
      </c>
      <c r="AU389" t="b">
        <v>1</v>
      </c>
      <c r="AV389">
        <v>177.19</v>
      </c>
      <c r="AW389">
        <v>20.125</v>
      </c>
      <c r="AX389">
        <v>1</v>
      </c>
      <c r="AZ389">
        <v>7205</v>
      </c>
      <c r="BA389">
        <v>1</v>
      </c>
      <c r="BB389" t="str">
        <f t="shared" si="20"/>
        <v xml:space="preserve">KAP400  </v>
      </c>
      <c r="BC389">
        <v>1</v>
      </c>
      <c r="BE389">
        <v>0</v>
      </c>
      <c r="BF389">
        <v>0</v>
      </c>
      <c r="BG389">
        <v>0</v>
      </c>
      <c r="BI389">
        <v>1</v>
      </c>
      <c r="BJ389">
        <v>1</v>
      </c>
      <c r="BK389">
        <v>1</v>
      </c>
      <c r="BL389">
        <v>0</v>
      </c>
      <c r="BO389">
        <v>0</v>
      </c>
      <c r="BP389">
        <v>0</v>
      </c>
      <c r="BW389" t="str">
        <f>"19:08:49.949"</f>
        <v>19:08:49.949</v>
      </c>
      <c r="BX389" t="s">
        <v>119</v>
      </c>
      <c r="BY389" t="s">
        <v>120</v>
      </c>
      <c r="CJ389">
        <v>0</v>
      </c>
      <c r="CK389">
        <v>0</v>
      </c>
      <c r="CL389">
        <v>0</v>
      </c>
      <c r="CM389">
        <v>2</v>
      </c>
      <c r="CN389">
        <v>0</v>
      </c>
      <c r="CO389">
        <v>7</v>
      </c>
      <c r="CP389" t="s">
        <v>121</v>
      </c>
      <c r="CQ389">
        <v>580</v>
      </c>
      <c r="CR389">
        <v>0</v>
      </c>
      <c r="CW389">
        <v>16653890</v>
      </c>
      <c r="CY389">
        <v>0</v>
      </c>
      <c r="CZ389">
        <v>0</v>
      </c>
      <c r="DA389">
        <v>0</v>
      </c>
      <c r="DB389">
        <v>1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</row>
    <row r="390" spans="1:113" x14ac:dyDescent="0.3">
      <c r="A390" t="str">
        <f>"06/16/2022 19:08:51.142"</f>
        <v>06/16/2022 19:08:51.142</v>
      </c>
      <c r="C390" t="str">
        <f t="shared" si="18"/>
        <v>FFBF5BC0</v>
      </c>
      <c r="D390" t="s">
        <v>113</v>
      </c>
      <c r="E390">
        <v>8</v>
      </c>
      <c r="H390">
        <v>206</v>
      </c>
      <c r="I390" t="s">
        <v>114</v>
      </c>
      <c r="J390" t="s">
        <v>115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>"19:08:50.883"</f>
        <v>19:08:50.883</v>
      </c>
      <c r="T390" t="str">
        <f>"19:08:50.883"</f>
        <v>19:08:50.883</v>
      </c>
      <c r="U390" t="str">
        <f t="shared" si="19"/>
        <v>AB63B2</v>
      </c>
      <c r="V390">
        <v>0</v>
      </c>
      <c r="W390">
        <v>0</v>
      </c>
      <c r="X390">
        <v>6</v>
      </c>
      <c r="Z390">
        <v>0</v>
      </c>
      <c r="AA390">
        <v>9</v>
      </c>
      <c r="AB390">
        <v>3</v>
      </c>
      <c r="AC390">
        <v>0</v>
      </c>
      <c r="AD390">
        <v>10</v>
      </c>
      <c r="AE390">
        <v>0</v>
      </c>
      <c r="AF390">
        <v>0</v>
      </c>
      <c r="AG390">
        <v>2</v>
      </c>
      <c r="AH390">
        <v>0</v>
      </c>
      <c r="AI390" t="s">
        <v>393</v>
      </c>
      <c r="AJ390">
        <v>41.975005000000003</v>
      </c>
      <c r="AK390" t="s">
        <v>379</v>
      </c>
      <c r="AL390">
        <v>-87.895217000000002</v>
      </c>
      <c r="AS390">
        <v>1</v>
      </c>
      <c r="AT390" t="s">
        <v>118</v>
      </c>
      <c r="AU390" t="b">
        <v>1</v>
      </c>
      <c r="AV390">
        <v>180</v>
      </c>
      <c r="AW390">
        <v>20.125</v>
      </c>
      <c r="AX390">
        <v>1</v>
      </c>
      <c r="AZ390">
        <v>7205</v>
      </c>
      <c r="BA390">
        <v>1</v>
      </c>
      <c r="BB390" t="str">
        <f t="shared" si="20"/>
        <v xml:space="preserve">KAP400  </v>
      </c>
      <c r="BC390">
        <v>1</v>
      </c>
      <c r="BE390">
        <v>0</v>
      </c>
      <c r="BF390">
        <v>0</v>
      </c>
      <c r="BG390">
        <v>0</v>
      </c>
      <c r="BI390">
        <v>1</v>
      </c>
      <c r="BJ390">
        <v>1</v>
      </c>
      <c r="BK390">
        <v>1</v>
      </c>
      <c r="BL390">
        <v>0</v>
      </c>
      <c r="BO390">
        <v>0</v>
      </c>
      <c r="BP390">
        <v>0</v>
      </c>
      <c r="BW390" t="str">
        <f>"19:08:50.890"</f>
        <v>19:08:50.890</v>
      </c>
      <c r="BX390" t="s">
        <v>119</v>
      </c>
      <c r="BY390" t="s">
        <v>120</v>
      </c>
      <c r="CJ390">
        <v>0</v>
      </c>
      <c r="CK390">
        <v>0</v>
      </c>
      <c r="CL390">
        <v>0</v>
      </c>
      <c r="CM390">
        <v>2</v>
      </c>
      <c r="CN390">
        <v>0</v>
      </c>
      <c r="CO390">
        <v>7</v>
      </c>
      <c r="CP390" t="s">
        <v>121</v>
      </c>
      <c r="CQ390">
        <v>580</v>
      </c>
      <c r="CR390">
        <v>0</v>
      </c>
      <c r="CW390">
        <v>16655633</v>
      </c>
      <c r="CY390">
        <v>0</v>
      </c>
      <c r="CZ390">
        <v>0</v>
      </c>
      <c r="DA390">
        <v>0</v>
      </c>
      <c r="DB390">
        <v>1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</row>
    <row r="391" spans="1:113" x14ac:dyDescent="0.3">
      <c r="A391" t="str">
        <f>"06/16/2022 19:08:51.985"</f>
        <v>06/16/2022 19:08:51.985</v>
      </c>
      <c r="C391" t="str">
        <f t="shared" si="18"/>
        <v>FFBF5BC0</v>
      </c>
      <c r="D391" t="s">
        <v>113</v>
      </c>
      <c r="E391">
        <v>8</v>
      </c>
      <c r="H391">
        <v>206</v>
      </c>
      <c r="I391" t="s">
        <v>114</v>
      </c>
      <c r="J391" t="s">
        <v>115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>"19:08:51.719"</f>
        <v>19:08:51.719</v>
      </c>
      <c r="T391" t="str">
        <f>"19:08:51.719"</f>
        <v>19:08:51.719</v>
      </c>
      <c r="U391" t="str">
        <f t="shared" si="19"/>
        <v>AB63B2</v>
      </c>
      <c r="V391">
        <v>0</v>
      </c>
      <c r="W391">
        <v>0</v>
      </c>
      <c r="X391">
        <v>6</v>
      </c>
      <c r="Z391">
        <v>0</v>
      </c>
      <c r="AA391">
        <v>9</v>
      </c>
      <c r="AB391">
        <v>3</v>
      </c>
      <c r="AC391">
        <v>0</v>
      </c>
      <c r="AD391">
        <v>10</v>
      </c>
      <c r="AE391">
        <v>0</v>
      </c>
      <c r="AF391">
        <v>0</v>
      </c>
      <c r="AG391">
        <v>2</v>
      </c>
      <c r="AH391">
        <v>0</v>
      </c>
      <c r="AI391" t="s">
        <v>394</v>
      </c>
      <c r="AJ391">
        <v>41.974919</v>
      </c>
      <c r="AK391" t="s">
        <v>379</v>
      </c>
      <c r="AL391">
        <v>-87.895217000000002</v>
      </c>
      <c r="AS391">
        <v>1</v>
      </c>
      <c r="AT391" t="s">
        <v>118</v>
      </c>
      <c r="AU391" t="b">
        <v>1</v>
      </c>
      <c r="AV391">
        <v>180</v>
      </c>
      <c r="AW391">
        <v>20.125</v>
      </c>
      <c r="AX391">
        <v>1</v>
      </c>
      <c r="AZ391">
        <v>7205</v>
      </c>
      <c r="BA391">
        <v>1</v>
      </c>
      <c r="BB391" t="str">
        <f t="shared" si="20"/>
        <v xml:space="preserve">KAP400  </v>
      </c>
      <c r="BC391">
        <v>1</v>
      </c>
      <c r="BE391">
        <v>0</v>
      </c>
      <c r="BF391">
        <v>0</v>
      </c>
      <c r="BG391">
        <v>0</v>
      </c>
      <c r="BI391">
        <v>1</v>
      </c>
      <c r="BJ391">
        <v>1</v>
      </c>
      <c r="BK391">
        <v>1</v>
      </c>
      <c r="BL391">
        <v>0</v>
      </c>
      <c r="BO391">
        <v>0</v>
      </c>
      <c r="BP391">
        <v>0</v>
      </c>
      <c r="BW391" t="str">
        <f>"19:08:51.722"</f>
        <v>19:08:51.722</v>
      </c>
      <c r="BX391" t="s">
        <v>119</v>
      </c>
      <c r="BY391" t="s">
        <v>120</v>
      </c>
      <c r="CJ391">
        <v>0</v>
      </c>
      <c r="CK391">
        <v>0</v>
      </c>
      <c r="CL391">
        <v>0</v>
      </c>
      <c r="CM391">
        <v>2</v>
      </c>
      <c r="CN391">
        <v>0</v>
      </c>
      <c r="CO391">
        <v>7</v>
      </c>
      <c r="CP391" t="s">
        <v>121</v>
      </c>
      <c r="CQ391">
        <v>580</v>
      </c>
      <c r="CR391">
        <v>0</v>
      </c>
      <c r="CW391">
        <v>16657196</v>
      </c>
      <c r="CY391">
        <v>0</v>
      </c>
      <c r="CZ391">
        <v>0</v>
      </c>
      <c r="DA391">
        <v>0</v>
      </c>
      <c r="DB391">
        <v>1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</row>
    <row r="392" spans="1:113" x14ac:dyDescent="0.3">
      <c r="A392" t="str">
        <f>"06/16/2022 19:08:52.875"</f>
        <v>06/16/2022 19:08:52.875</v>
      </c>
      <c r="C392" t="str">
        <f t="shared" si="18"/>
        <v>FFBF5BC0</v>
      </c>
      <c r="D392" t="s">
        <v>113</v>
      </c>
      <c r="E392">
        <v>8</v>
      </c>
      <c r="H392">
        <v>206</v>
      </c>
      <c r="I392" t="s">
        <v>114</v>
      </c>
      <c r="J392" t="s">
        <v>115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>"19:08:52.656"</f>
        <v>19:08:52.656</v>
      </c>
      <c r="T392" t="str">
        <f>"19:08:52.656"</f>
        <v>19:08:52.656</v>
      </c>
      <c r="U392" t="str">
        <f t="shared" si="19"/>
        <v>AB63B2</v>
      </c>
      <c r="V392">
        <v>0</v>
      </c>
      <c r="W392">
        <v>0</v>
      </c>
      <c r="X392">
        <v>6</v>
      </c>
      <c r="Z392">
        <v>0</v>
      </c>
      <c r="AA392">
        <v>9</v>
      </c>
      <c r="AB392">
        <v>3</v>
      </c>
      <c r="AC392">
        <v>0</v>
      </c>
      <c r="AD392">
        <v>10</v>
      </c>
      <c r="AE392">
        <v>0</v>
      </c>
      <c r="AF392">
        <v>0</v>
      </c>
      <c r="AG392">
        <v>2</v>
      </c>
      <c r="AH392">
        <v>0</v>
      </c>
      <c r="AI392" t="s">
        <v>395</v>
      </c>
      <c r="AJ392">
        <v>41.974854000000001</v>
      </c>
      <c r="AK392" t="s">
        <v>379</v>
      </c>
      <c r="AL392">
        <v>-87.895217000000002</v>
      </c>
      <c r="AS392">
        <v>1</v>
      </c>
      <c r="AT392" t="s">
        <v>118</v>
      </c>
      <c r="AU392" t="b">
        <v>1</v>
      </c>
      <c r="AV392">
        <v>180</v>
      </c>
      <c r="AW392">
        <v>20.125</v>
      </c>
      <c r="AX392">
        <v>1</v>
      </c>
      <c r="AZ392">
        <v>7205</v>
      </c>
      <c r="BA392">
        <v>1</v>
      </c>
      <c r="BB392" t="str">
        <f t="shared" si="20"/>
        <v xml:space="preserve">KAP400  </v>
      </c>
      <c r="BC392">
        <v>1</v>
      </c>
      <c r="BE392">
        <v>0</v>
      </c>
      <c r="BF392">
        <v>0</v>
      </c>
      <c r="BG392">
        <v>0</v>
      </c>
      <c r="BI392">
        <v>1</v>
      </c>
      <c r="BJ392">
        <v>1</v>
      </c>
      <c r="BK392">
        <v>1</v>
      </c>
      <c r="BL392">
        <v>0</v>
      </c>
      <c r="BO392">
        <v>0</v>
      </c>
      <c r="BP392">
        <v>0</v>
      </c>
      <c r="BW392" t="str">
        <f>"19:08:52.661"</f>
        <v>19:08:52.661</v>
      </c>
      <c r="BX392" t="s">
        <v>119</v>
      </c>
      <c r="BY392" t="s">
        <v>120</v>
      </c>
      <c r="CJ392">
        <v>0</v>
      </c>
      <c r="CK392">
        <v>0</v>
      </c>
      <c r="CL392">
        <v>0</v>
      </c>
      <c r="CM392">
        <v>2</v>
      </c>
      <c r="CN392">
        <v>0</v>
      </c>
      <c r="CO392">
        <v>7</v>
      </c>
      <c r="CP392" t="s">
        <v>121</v>
      </c>
      <c r="CQ392">
        <v>580</v>
      </c>
      <c r="CR392">
        <v>0</v>
      </c>
      <c r="CW392">
        <v>16658957</v>
      </c>
      <c r="CY392">
        <v>0</v>
      </c>
      <c r="CZ392">
        <v>0</v>
      </c>
      <c r="DA392">
        <v>0</v>
      </c>
      <c r="DB392">
        <v>1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</row>
    <row r="393" spans="1:113" x14ac:dyDescent="0.3">
      <c r="A393" t="str">
        <f>"06/16/2022 19:08:54.047"</f>
        <v>06/16/2022 19:08:54.047</v>
      </c>
      <c r="C393" t="str">
        <f t="shared" si="18"/>
        <v>FFBF5BC0</v>
      </c>
      <c r="D393" t="s">
        <v>113</v>
      </c>
      <c r="E393">
        <v>8</v>
      </c>
      <c r="H393">
        <v>206</v>
      </c>
      <c r="I393" t="s">
        <v>114</v>
      </c>
      <c r="J393" t="s">
        <v>115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>"19:08:53.789"</f>
        <v>19:08:53.789</v>
      </c>
      <c r="T393" t="str">
        <f>"19:08:53.789"</f>
        <v>19:08:53.789</v>
      </c>
      <c r="U393" t="str">
        <f t="shared" si="19"/>
        <v>AB63B2</v>
      </c>
      <c r="V393">
        <v>0</v>
      </c>
      <c r="W393">
        <v>0</v>
      </c>
      <c r="X393">
        <v>6</v>
      </c>
      <c r="Z393">
        <v>0</v>
      </c>
      <c r="AA393">
        <v>9</v>
      </c>
      <c r="AB393">
        <v>3</v>
      </c>
      <c r="AC393">
        <v>0</v>
      </c>
      <c r="AD393">
        <v>10</v>
      </c>
      <c r="AE393">
        <v>0</v>
      </c>
      <c r="AF393">
        <v>0</v>
      </c>
      <c r="AG393">
        <v>2</v>
      </c>
      <c r="AH393">
        <v>0</v>
      </c>
      <c r="AI393" t="s">
        <v>396</v>
      </c>
      <c r="AJ393">
        <v>41.974747000000001</v>
      </c>
      <c r="AK393" t="s">
        <v>379</v>
      </c>
      <c r="AL393">
        <v>-87.895217000000002</v>
      </c>
      <c r="AS393">
        <v>1</v>
      </c>
      <c r="AT393" t="s">
        <v>118</v>
      </c>
      <c r="AU393" t="b">
        <v>1</v>
      </c>
      <c r="AV393">
        <v>182.81</v>
      </c>
      <c r="AW393">
        <v>19.125</v>
      </c>
      <c r="AX393">
        <v>1</v>
      </c>
      <c r="AZ393">
        <v>7205</v>
      </c>
      <c r="BA393">
        <v>1</v>
      </c>
      <c r="BB393" t="str">
        <f t="shared" si="20"/>
        <v xml:space="preserve">KAP400  </v>
      </c>
      <c r="BC393">
        <v>1</v>
      </c>
      <c r="BE393">
        <v>0</v>
      </c>
      <c r="BF393">
        <v>0</v>
      </c>
      <c r="BG393">
        <v>0</v>
      </c>
      <c r="BI393">
        <v>1</v>
      </c>
      <c r="BJ393">
        <v>1</v>
      </c>
      <c r="BK393">
        <v>1</v>
      </c>
      <c r="BL393">
        <v>0</v>
      </c>
      <c r="BO393">
        <v>0</v>
      </c>
      <c r="BP393">
        <v>0</v>
      </c>
      <c r="BW393" t="str">
        <f>"19:08:53.792"</f>
        <v>19:08:53.792</v>
      </c>
      <c r="BX393" t="s">
        <v>119</v>
      </c>
      <c r="BY393" t="s">
        <v>120</v>
      </c>
      <c r="CJ393">
        <v>0</v>
      </c>
      <c r="CK393">
        <v>0</v>
      </c>
      <c r="CL393">
        <v>0</v>
      </c>
      <c r="CM393">
        <v>2</v>
      </c>
      <c r="CN393">
        <v>0</v>
      </c>
      <c r="CO393">
        <v>7</v>
      </c>
      <c r="CP393" t="s">
        <v>121</v>
      </c>
      <c r="CQ393">
        <v>580</v>
      </c>
      <c r="CR393">
        <v>0</v>
      </c>
      <c r="CW393">
        <v>16661143</v>
      </c>
      <c r="CY393">
        <v>0</v>
      </c>
      <c r="CZ393">
        <v>0</v>
      </c>
      <c r="DA393">
        <v>0</v>
      </c>
      <c r="DB393">
        <v>1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</row>
    <row r="394" spans="1:113" x14ac:dyDescent="0.3">
      <c r="A394" t="str">
        <f>"06/16/2022 19:08:55.063"</f>
        <v>06/16/2022 19:08:55.063</v>
      </c>
      <c r="C394" t="str">
        <f t="shared" si="18"/>
        <v>FFBF5BC0</v>
      </c>
      <c r="D394" t="s">
        <v>113</v>
      </c>
      <c r="E394">
        <v>8</v>
      </c>
      <c r="H394">
        <v>206</v>
      </c>
      <c r="I394" t="s">
        <v>114</v>
      </c>
      <c r="J394" t="s">
        <v>115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>"19:08:54.859"</f>
        <v>19:08:54.859</v>
      </c>
      <c r="T394" t="str">
        <f>"19:08:54.859"</f>
        <v>19:08:54.859</v>
      </c>
      <c r="U394" t="str">
        <f t="shared" si="19"/>
        <v>AB63B2</v>
      </c>
      <c r="V394">
        <v>0</v>
      </c>
      <c r="W394">
        <v>0</v>
      </c>
      <c r="X394">
        <v>6</v>
      </c>
      <c r="Z394">
        <v>0</v>
      </c>
      <c r="AA394">
        <v>9</v>
      </c>
      <c r="AB394">
        <v>3</v>
      </c>
      <c r="AC394">
        <v>0</v>
      </c>
      <c r="AD394">
        <v>10</v>
      </c>
      <c r="AE394">
        <v>0</v>
      </c>
      <c r="AF394">
        <v>0</v>
      </c>
      <c r="AG394">
        <v>2</v>
      </c>
      <c r="AH394">
        <v>0</v>
      </c>
      <c r="AI394" t="s">
        <v>397</v>
      </c>
      <c r="AJ394">
        <v>41.974660999999998</v>
      </c>
      <c r="AK394" t="s">
        <v>364</v>
      </c>
      <c r="AL394">
        <v>-87.895238000000006</v>
      </c>
      <c r="AS394">
        <v>1</v>
      </c>
      <c r="AT394" t="s">
        <v>118</v>
      </c>
      <c r="AU394" t="b">
        <v>1</v>
      </c>
      <c r="AV394">
        <v>185.63</v>
      </c>
      <c r="AW394">
        <v>19.125</v>
      </c>
      <c r="AX394">
        <v>1</v>
      </c>
      <c r="AZ394">
        <v>7205</v>
      </c>
      <c r="BA394">
        <v>1</v>
      </c>
      <c r="BB394" t="str">
        <f t="shared" si="20"/>
        <v xml:space="preserve">KAP400  </v>
      </c>
      <c r="BC394">
        <v>1</v>
      </c>
      <c r="BE394">
        <v>0</v>
      </c>
      <c r="BF394">
        <v>0</v>
      </c>
      <c r="BG394">
        <v>0</v>
      </c>
      <c r="BI394">
        <v>1</v>
      </c>
      <c r="BJ394">
        <v>1</v>
      </c>
      <c r="BK394">
        <v>1</v>
      </c>
      <c r="BL394">
        <v>0</v>
      </c>
      <c r="BO394">
        <v>0</v>
      </c>
      <c r="BP394">
        <v>0</v>
      </c>
      <c r="BW394" t="str">
        <f>"19:08:54.866"</f>
        <v>19:08:54.866</v>
      </c>
      <c r="BX394" t="s">
        <v>119</v>
      </c>
      <c r="BY394" t="s">
        <v>120</v>
      </c>
      <c r="CJ394">
        <v>0</v>
      </c>
      <c r="CK394">
        <v>0</v>
      </c>
      <c r="CL394">
        <v>0</v>
      </c>
      <c r="CM394">
        <v>2</v>
      </c>
      <c r="CN394">
        <v>0</v>
      </c>
      <c r="CO394">
        <v>7</v>
      </c>
      <c r="CP394" t="s">
        <v>121</v>
      </c>
      <c r="CQ394">
        <v>580</v>
      </c>
      <c r="CR394">
        <v>0</v>
      </c>
      <c r="CW394">
        <v>16663205</v>
      </c>
      <c r="CY394">
        <v>0</v>
      </c>
      <c r="CZ394">
        <v>0</v>
      </c>
      <c r="DA394">
        <v>0</v>
      </c>
      <c r="DB394">
        <v>1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</row>
    <row r="395" spans="1:113" x14ac:dyDescent="0.3">
      <c r="A395" t="str">
        <f>"06/16/2022 19:08:56.063"</f>
        <v>06/16/2022 19:08:56.063</v>
      </c>
      <c r="C395" t="str">
        <f t="shared" si="18"/>
        <v>FFBF5BC0</v>
      </c>
      <c r="D395" t="s">
        <v>113</v>
      </c>
      <c r="E395">
        <v>8</v>
      </c>
      <c r="H395">
        <v>206</v>
      </c>
      <c r="I395" t="s">
        <v>114</v>
      </c>
      <c r="J395" t="s">
        <v>115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>"19:08:55.836"</f>
        <v>19:08:55.836</v>
      </c>
      <c r="T395" t="str">
        <f>"19:08:55.836"</f>
        <v>19:08:55.836</v>
      </c>
      <c r="U395" t="str">
        <f t="shared" si="19"/>
        <v>AB63B2</v>
      </c>
      <c r="V395">
        <v>0</v>
      </c>
      <c r="W395">
        <v>0</v>
      </c>
      <c r="X395">
        <v>6</v>
      </c>
      <c r="Z395">
        <v>0</v>
      </c>
      <c r="AA395">
        <v>9</v>
      </c>
      <c r="AB395">
        <v>3</v>
      </c>
      <c r="AC395">
        <v>0</v>
      </c>
      <c r="AD395">
        <v>10</v>
      </c>
      <c r="AE395">
        <v>0</v>
      </c>
      <c r="AF395">
        <v>0</v>
      </c>
      <c r="AG395">
        <v>2</v>
      </c>
      <c r="AH395">
        <v>0</v>
      </c>
      <c r="AI395" t="s">
        <v>398</v>
      </c>
      <c r="AJ395">
        <v>41.974575999999999</v>
      </c>
      <c r="AK395" t="s">
        <v>364</v>
      </c>
      <c r="AL395">
        <v>-87.895238000000006</v>
      </c>
      <c r="AS395">
        <v>1</v>
      </c>
      <c r="AT395" t="s">
        <v>118</v>
      </c>
      <c r="AU395" t="b">
        <v>1</v>
      </c>
      <c r="AV395">
        <v>185.63</v>
      </c>
      <c r="AW395">
        <v>19.125</v>
      </c>
      <c r="AX395">
        <v>1</v>
      </c>
      <c r="AZ395">
        <v>7205</v>
      </c>
      <c r="BA395">
        <v>1</v>
      </c>
      <c r="BB395" t="str">
        <f t="shared" si="20"/>
        <v xml:space="preserve">KAP400  </v>
      </c>
      <c r="BC395">
        <v>1</v>
      </c>
      <c r="BE395">
        <v>0</v>
      </c>
      <c r="BF395">
        <v>0</v>
      </c>
      <c r="BG395">
        <v>0</v>
      </c>
      <c r="BI395">
        <v>1</v>
      </c>
      <c r="BJ395">
        <v>1</v>
      </c>
      <c r="BK395">
        <v>1</v>
      </c>
      <c r="BL395">
        <v>0</v>
      </c>
      <c r="BO395">
        <v>0</v>
      </c>
      <c r="BP395">
        <v>0</v>
      </c>
      <c r="BW395" t="str">
        <f>"19:08:55.840"</f>
        <v>19:08:55.840</v>
      </c>
      <c r="BX395" t="s">
        <v>119</v>
      </c>
      <c r="BY395" t="s">
        <v>120</v>
      </c>
      <c r="CJ395">
        <v>0</v>
      </c>
      <c r="CK395">
        <v>0</v>
      </c>
      <c r="CL395">
        <v>0</v>
      </c>
      <c r="CM395">
        <v>2</v>
      </c>
      <c r="CN395">
        <v>0</v>
      </c>
      <c r="CO395">
        <v>7</v>
      </c>
      <c r="CP395" t="s">
        <v>121</v>
      </c>
      <c r="CQ395">
        <v>580</v>
      </c>
      <c r="CR395">
        <v>0</v>
      </c>
      <c r="CW395">
        <v>16665048</v>
      </c>
      <c r="CY395">
        <v>0</v>
      </c>
      <c r="CZ395">
        <v>0</v>
      </c>
      <c r="DA395">
        <v>0</v>
      </c>
      <c r="DB395">
        <v>1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</row>
    <row r="396" spans="1:113" x14ac:dyDescent="0.3">
      <c r="A396" t="str">
        <f>"06/16/2022 19:08:57.579"</f>
        <v>06/16/2022 19:08:57.579</v>
      </c>
      <c r="C396" t="str">
        <f t="shared" si="18"/>
        <v>FFBF5BC0</v>
      </c>
      <c r="D396" t="s">
        <v>113</v>
      </c>
      <c r="E396">
        <v>8</v>
      </c>
      <c r="H396">
        <v>206</v>
      </c>
      <c r="I396" t="s">
        <v>114</v>
      </c>
      <c r="J396" t="s">
        <v>115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>"19:08:57.320"</f>
        <v>19:08:57.320</v>
      </c>
      <c r="T396" t="str">
        <f>"19:08:57.320"</f>
        <v>19:08:57.320</v>
      </c>
      <c r="U396" t="str">
        <f t="shared" si="19"/>
        <v>AB63B2</v>
      </c>
      <c r="V396">
        <v>0</v>
      </c>
      <c r="W396">
        <v>0</v>
      </c>
      <c r="X396">
        <v>6</v>
      </c>
      <c r="Z396">
        <v>0</v>
      </c>
      <c r="AA396">
        <v>9</v>
      </c>
      <c r="AB396">
        <v>3</v>
      </c>
      <c r="AC396">
        <v>0</v>
      </c>
      <c r="AD396">
        <v>10</v>
      </c>
      <c r="AE396">
        <v>0</v>
      </c>
      <c r="AF396">
        <v>0</v>
      </c>
      <c r="AG396">
        <v>2</v>
      </c>
      <c r="AH396">
        <v>0</v>
      </c>
      <c r="AI396" t="s">
        <v>399</v>
      </c>
      <c r="AJ396">
        <v>41.974424999999997</v>
      </c>
      <c r="AK396" t="s">
        <v>400</v>
      </c>
      <c r="AL396">
        <v>-87.895259999999993</v>
      </c>
      <c r="AS396">
        <v>1</v>
      </c>
      <c r="AT396" t="s">
        <v>118</v>
      </c>
      <c r="AU396" t="b">
        <v>1</v>
      </c>
      <c r="AV396">
        <v>188.44</v>
      </c>
      <c r="AW396">
        <v>20.125</v>
      </c>
      <c r="AX396">
        <v>1</v>
      </c>
      <c r="AZ396">
        <v>7205</v>
      </c>
      <c r="BA396">
        <v>1</v>
      </c>
      <c r="BB396" t="str">
        <f t="shared" si="20"/>
        <v xml:space="preserve">KAP400  </v>
      </c>
      <c r="BC396">
        <v>1</v>
      </c>
      <c r="BE396">
        <v>0</v>
      </c>
      <c r="BF396">
        <v>0</v>
      </c>
      <c r="BG396">
        <v>0</v>
      </c>
      <c r="BI396">
        <v>1</v>
      </c>
      <c r="BJ396">
        <v>1</v>
      </c>
      <c r="BK396">
        <v>1</v>
      </c>
      <c r="BL396">
        <v>0</v>
      </c>
      <c r="BO396">
        <v>0</v>
      </c>
      <c r="BP396">
        <v>0</v>
      </c>
      <c r="BW396" t="str">
        <f>"19:08:57.322"</f>
        <v>19:08:57.322</v>
      </c>
      <c r="BX396" t="s">
        <v>119</v>
      </c>
      <c r="BY396" t="s">
        <v>120</v>
      </c>
      <c r="CJ396">
        <v>0</v>
      </c>
      <c r="CK396">
        <v>0</v>
      </c>
      <c r="CL396">
        <v>0</v>
      </c>
      <c r="CM396">
        <v>2</v>
      </c>
      <c r="CN396">
        <v>0</v>
      </c>
      <c r="CO396">
        <v>5</v>
      </c>
      <c r="CP396" t="s">
        <v>121</v>
      </c>
      <c r="CQ396">
        <v>581</v>
      </c>
      <c r="CR396">
        <v>0</v>
      </c>
      <c r="CW396">
        <v>14919019</v>
      </c>
      <c r="CY396">
        <v>0</v>
      </c>
      <c r="CZ396">
        <v>0</v>
      </c>
      <c r="DA396">
        <v>0</v>
      </c>
      <c r="DB396">
        <v>1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</row>
    <row r="397" spans="1:113" x14ac:dyDescent="0.3">
      <c r="A397" t="str">
        <f>"06/16/2022 19:08:58.954"</f>
        <v>06/16/2022 19:08:58.954</v>
      </c>
      <c r="C397" t="str">
        <f t="shared" si="18"/>
        <v>FFBF5BC0</v>
      </c>
      <c r="D397" t="s">
        <v>113</v>
      </c>
      <c r="E397">
        <v>8</v>
      </c>
      <c r="H397">
        <v>206</v>
      </c>
      <c r="I397" t="s">
        <v>114</v>
      </c>
      <c r="J397" t="s">
        <v>115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>"19:08:58.750"</f>
        <v>19:08:58.750</v>
      </c>
      <c r="T397" t="str">
        <f>"19:08:58.750"</f>
        <v>19:08:58.750</v>
      </c>
      <c r="U397" t="str">
        <f t="shared" si="19"/>
        <v>AB63B2</v>
      </c>
      <c r="V397">
        <v>0</v>
      </c>
      <c r="W397">
        <v>0</v>
      </c>
      <c r="X397">
        <v>6</v>
      </c>
      <c r="Z397">
        <v>0</v>
      </c>
      <c r="AA397">
        <v>9</v>
      </c>
      <c r="AB397">
        <v>3</v>
      </c>
      <c r="AC397">
        <v>0</v>
      </c>
      <c r="AD397">
        <v>10</v>
      </c>
      <c r="AE397">
        <v>0</v>
      </c>
      <c r="AF397">
        <v>0</v>
      </c>
      <c r="AG397">
        <v>2</v>
      </c>
      <c r="AH397">
        <v>0</v>
      </c>
      <c r="AI397" t="s">
        <v>401</v>
      </c>
      <c r="AJ397">
        <v>41.974317999999997</v>
      </c>
      <c r="AK397" t="s">
        <v>402</v>
      </c>
      <c r="AL397">
        <v>-87.895280999999997</v>
      </c>
      <c r="AS397">
        <v>1</v>
      </c>
      <c r="AT397" t="s">
        <v>118</v>
      </c>
      <c r="AU397" t="b">
        <v>1</v>
      </c>
      <c r="AV397">
        <v>191.25</v>
      </c>
      <c r="AW397">
        <v>20.125</v>
      </c>
      <c r="AX397">
        <v>1</v>
      </c>
      <c r="AZ397">
        <v>7205</v>
      </c>
      <c r="BA397">
        <v>1</v>
      </c>
      <c r="BB397" t="str">
        <f t="shared" si="20"/>
        <v xml:space="preserve">KAP400  </v>
      </c>
      <c r="BC397">
        <v>1</v>
      </c>
      <c r="BE397">
        <v>0</v>
      </c>
      <c r="BF397">
        <v>0</v>
      </c>
      <c r="BG397">
        <v>0</v>
      </c>
      <c r="BI397">
        <v>1</v>
      </c>
      <c r="BJ397">
        <v>1</v>
      </c>
      <c r="BK397">
        <v>1</v>
      </c>
      <c r="BL397">
        <v>0</v>
      </c>
      <c r="BO397">
        <v>0</v>
      </c>
      <c r="BP397">
        <v>0</v>
      </c>
      <c r="BW397" t="str">
        <f>"19:08:58.753"</f>
        <v>19:08:58.753</v>
      </c>
      <c r="BX397" t="s">
        <v>119</v>
      </c>
      <c r="BY397" t="s">
        <v>120</v>
      </c>
      <c r="CJ397">
        <v>0</v>
      </c>
      <c r="CK397">
        <v>0</v>
      </c>
      <c r="CL397">
        <v>0</v>
      </c>
      <c r="CM397">
        <v>2</v>
      </c>
      <c r="CN397">
        <v>0</v>
      </c>
      <c r="CO397">
        <v>5</v>
      </c>
      <c r="CP397" t="s">
        <v>121</v>
      </c>
      <c r="CQ397">
        <v>581</v>
      </c>
      <c r="CR397">
        <v>0</v>
      </c>
      <c r="CW397">
        <v>14921292</v>
      </c>
      <c r="CY397">
        <v>0</v>
      </c>
      <c r="CZ397">
        <v>0</v>
      </c>
      <c r="DA397">
        <v>0</v>
      </c>
      <c r="DB397">
        <v>1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</row>
    <row r="398" spans="1:113" x14ac:dyDescent="0.3">
      <c r="A398" t="str">
        <f>"06/16/2022 19:09:00.189"</f>
        <v>06/16/2022 19:09:00.189</v>
      </c>
      <c r="C398" t="str">
        <f t="shared" si="18"/>
        <v>FFBF5BC0</v>
      </c>
      <c r="D398" t="s">
        <v>113</v>
      </c>
      <c r="E398">
        <v>8</v>
      </c>
      <c r="H398">
        <v>206</v>
      </c>
      <c r="I398" t="s">
        <v>114</v>
      </c>
      <c r="J398" t="s">
        <v>115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>"19:08:59.922"</f>
        <v>19:08:59.922</v>
      </c>
      <c r="T398" t="str">
        <f>"19:08:59.922"</f>
        <v>19:08:59.922</v>
      </c>
      <c r="U398" t="str">
        <f t="shared" si="19"/>
        <v>AB63B2</v>
      </c>
      <c r="V398">
        <v>0</v>
      </c>
      <c r="W398">
        <v>0</v>
      </c>
      <c r="X398">
        <v>6</v>
      </c>
      <c r="Z398">
        <v>0</v>
      </c>
      <c r="AA398">
        <v>9</v>
      </c>
      <c r="AB398">
        <v>3</v>
      </c>
      <c r="AC398">
        <v>0</v>
      </c>
      <c r="AD398">
        <v>10</v>
      </c>
      <c r="AE398">
        <v>0</v>
      </c>
      <c r="AF398">
        <v>0</v>
      </c>
      <c r="AG398">
        <v>2</v>
      </c>
      <c r="AH398">
        <v>0</v>
      </c>
      <c r="AI398" t="s">
        <v>403</v>
      </c>
      <c r="AJ398">
        <v>41.974210999999997</v>
      </c>
      <c r="AK398" t="s">
        <v>404</v>
      </c>
      <c r="AL398">
        <v>-87.895324000000002</v>
      </c>
      <c r="AS398">
        <v>1</v>
      </c>
      <c r="AT398" t="s">
        <v>118</v>
      </c>
      <c r="AU398" t="b">
        <v>1</v>
      </c>
      <c r="AV398">
        <v>194.06</v>
      </c>
      <c r="AW398">
        <v>20.125</v>
      </c>
      <c r="AX398">
        <v>1</v>
      </c>
      <c r="AZ398">
        <v>7205</v>
      </c>
      <c r="BA398">
        <v>1</v>
      </c>
      <c r="BB398" t="str">
        <f t="shared" si="20"/>
        <v xml:space="preserve">KAP400  </v>
      </c>
      <c r="BC398">
        <v>1</v>
      </c>
      <c r="BE398">
        <v>0</v>
      </c>
      <c r="BF398">
        <v>0</v>
      </c>
      <c r="BG398">
        <v>0</v>
      </c>
      <c r="BI398">
        <v>1</v>
      </c>
      <c r="BJ398">
        <v>1</v>
      </c>
      <c r="BK398">
        <v>1</v>
      </c>
      <c r="BL398">
        <v>0</v>
      </c>
      <c r="BO398">
        <v>0</v>
      </c>
      <c r="BP398">
        <v>0</v>
      </c>
      <c r="BW398" t="str">
        <f>"19:08:59.924"</f>
        <v>19:08:59.924</v>
      </c>
      <c r="BX398" t="s">
        <v>119</v>
      </c>
      <c r="BY398" t="s">
        <v>120</v>
      </c>
      <c r="CJ398">
        <v>0</v>
      </c>
      <c r="CK398">
        <v>0</v>
      </c>
      <c r="CL398">
        <v>0</v>
      </c>
      <c r="CM398">
        <v>2</v>
      </c>
      <c r="CN398">
        <v>0</v>
      </c>
      <c r="CO398">
        <v>4</v>
      </c>
      <c r="CP398" t="s">
        <v>121</v>
      </c>
      <c r="CQ398">
        <v>581</v>
      </c>
      <c r="CR398">
        <v>0</v>
      </c>
      <c r="CW398">
        <v>14923083</v>
      </c>
      <c r="CY398">
        <v>0</v>
      </c>
      <c r="CZ398">
        <v>0</v>
      </c>
      <c r="DA398">
        <v>0</v>
      </c>
      <c r="DB398">
        <v>1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</row>
    <row r="399" spans="1:113" x14ac:dyDescent="0.3">
      <c r="A399" t="str">
        <f>"06/16/2022 19:09:01.065"</f>
        <v>06/16/2022 19:09:01.065</v>
      </c>
      <c r="C399" t="str">
        <f t="shared" si="18"/>
        <v>FFBF5BC0</v>
      </c>
      <c r="D399" t="s">
        <v>113</v>
      </c>
      <c r="E399">
        <v>8</v>
      </c>
      <c r="H399">
        <v>206</v>
      </c>
      <c r="I399" t="s">
        <v>114</v>
      </c>
      <c r="J399" t="s">
        <v>115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>"19:09:00.844"</f>
        <v>19:09:00.844</v>
      </c>
      <c r="T399" t="str">
        <f>"19:09:00.844"</f>
        <v>19:09:00.844</v>
      </c>
      <c r="U399" t="str">
        <f t="shared" si="19"/>
        <v>AB63B2</v>
      </c>
      <c r="V399">
        <v>0</v>
      </c>
      <c r="W399">
        <v>0</v>
      </c>
      <c r="X399">
        <v>6</v>
      </c>
      <c r="Z399">
        <v>0</v>
      </c>
      <c r="AA399">
        <v>9</v>
      </c>
      <c r="AB399">
        <v>3</v>
      </c>
      <c r="AC399">
        <v>0</v>
      </c>
      <c r="AD399">
        <v>10</v>
      </c>
      <c r="AE399">
        <v>0</v>
      </c>
      <c r="AF399">
        <v>0</v>
      </c>
      <c r="AG399">
        <v>2</v>
      </c>
      <c r="AH399">
        <v>0</v>
      </c>
      <c r="AI399" t="s">
        <v>405</v>
      </c>
      <c r="AJ399">
        <v>41.974125000000001</v>
      </c>
      <c r="AK399" t="s">
        <v>406</v>
      </c>
      <c r="AL399">
        <v>-87.895346000000004</v>
      </c>
      <c r="AS399">
        <v>1</v>
      </c>
      <c r="AT399" t="s">
        <v>118</v>
      </c>
      <c r="AU399" t="b">
        <v>1</v>
      </c>
      <c r="AV399">
        <v>196.88</v>
      </c>
      <c r="AW399">
        <v>20.125</v>
      </c>
      <c r="AX399">
        <v>1</v>
      </c>
      <c r="AZ399">
        <v>7205</v>
      </c>
      <c r="BA399">
        <v>1</v>
      </c>
      <c r="BB399" t="str">
        <f t="shared" si="20"/>
        <v xml:space="preserve">KAP400  </v>
      </c>
      <c r="BC399">
        <v>1</v>
      </c>
      <c r="BE399">
        <v>0</v>
      </c>
      <c r="BF399">
        <v>0</v>
      </c>
      <c r="BG399">
        <v>0</v>
      </c>
      <c r="BI399">
        <v>1</v>
      </c>
      <c r="BJ399">
        <v>1</v>
      </c>
      <c r="BK399">
        <v>1</v>
      </c>
      <c r="BL399">
        <v>0</v>
      </c>
      <c r="BO399">
        <v>0</v>
      </c>
      <c r="BP399">
        <v>0</v>
      </c>
      <c r="BW399" t="str">
        <f>"19:09:00.850"</f>
        <v>19:09:00.850</v>
      </c>
      <c r="BX399" t="s">
        <v>119</v>
      </c>
      <c r="BY399" t="s">
        <v>120</v>
      </c>
      <c r="CJ399">
        <v>0</v>
      </c>
      <c r="CK399">
        <v>0</v>
      </c>
      <c r="CL399">
        <v>0</v>
      </c>
      <c r="CM399">
        <v>2</v>
      </c>
      <c r="CN399">
        <v>0</v>
      </c>
      <c r="CO399">
        <v>6</v>
      </c>
      <c r="CP399" t="s">
        <v>121</v>
      </c>
      <c r="CQ399">
        <v>580</v>
      </c>
      <c r="CR399">
        <v>0</v>
      </c>
      <c r="CW399">
        <v>16674656</v>
      </c>
      <c r="CY399">
        <v>0</v>
      </c>
      <c r="CZ399">
        <v>0</v>
      </c>
      <c r="DA399">
        <v>0</v>
      </c>
      <c r="DB399">
        <v>1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</row>
    <row r="400" spans="1:113" x14ac:dyDescent="0.3">
      <c r="A400" t="str">
        <f>"06/16/2022 19:09:01.923"</f>
        <v>06/16/2022 19:09:01.923</v>
      </c>
      <c r="C400" t="str">
        <f t="shared" si="18"/>
        <v>FFBF5BC0</v>
      </c>
      <c r="D400" t="s">
        <v>113</v>
      </c>
      <c r="E400">
        <v>8</v>
      </c>
      <c r="H400">
        <v>206</v>
      </c>
      <c r="I400" t="s">
        <v>114</v>
      </c>
      <c r="J400" t="s">
        <v>115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>"19:09:01.695"</f>
        <v>19:09:01.695</v>
      </c>
      <c r="T400" t="str">
        <f>"19:09:01.695"</f>
        <v>19:09:01.695</v>
      </c>
      <c r="U400" t="str">
        <f t="shared" si="19"/>
        <v>AB63B2</v>
      </c>
      <c r="V400">
        <v>0</v>
      </c>
      <c r="W400">
        <v>0</v>
      </c>
      <c r="X400">
        <v>6</v>
      </c>
      <c r="Z400">
        <v>0</v>
      </c>
      <c r="AA400">
        <v>9</v>
      </c>
      <c r="AB400">
        <v>3</v>
      </c>
      <c r="AC400">
        <v>0</v>
      </c>
      <c r="AD400">
        <v>10</v>
      </c>
      <c r="AE400">
        <v>0</v>
      </c>
      <c r="AF400">
        <v>0</v>
      </c>
      <c r="AG400">
        <v>2</v>
      </c>
      <c r="AH400">
        <v>0</v>
      </c>
      <c r="AI400" t="s">
        <v>407</v>
      </c>
      <c r="AJ400">
        <v>41.974060999999999</v>
      </c>
      <c r="AK400" t="s">
        <v>408</v>
      </c>
      <c r="AL400">
        <v>-87.895388999999994</v>
      </c>
      <c r="AS400">
        <v>1</v>
      </c>
      <c r="AT400" t="s">
        <v>118</v>
      </c>
      <c r="AU400" t="b">
        <v>1</v>
      </c>
      <c r="AV400">
        <v>199.69</v>
      </c>
      <c r="AW400">
        <v>19.125</v>
      </c>
      <c r="AX400">
        <v>1</v>
      </c>
      <c r="AZ400">
        <v>7205</v>
      </c>
      <c r="BA400">
        <v>1</v>
      </c>
      <c r="BB400" t="str">
        <f t="shared" si="20"/>
        <v xml:space="preserve">KAP400  </v>
      </c>
      <c r="BC400">
        <v>1</v>
      </c>
      <c r="BE400">
        <v>0</v>
      </c>
      <c r="BF400">
        <v>0</v>
      </c>
      <c r="BG400">
        <v>0</v>
      </c>
      <c r="BI400">
        <v>1</v>
      </c>
      <c r="BJ400">
        <v>1</v>
      </c>
      <c r="BK400">
        <v>1</v>
      </c>
      <c r="BL400">
        <v>0</v>
      </c>
      <c r="BO400">
        <v>0</v>
      </c>
      <c r="BP400">
        <v>0</v>
      </c>
      <c r="BW400" t="str">
        <f>"19:09:01.699"</f>
        <v>19:09:01.699</v>
      </c>
      <c r="BX400" t="s">
        <v>119</v>
      </c>
      <c r="BY400" t="s">
        <v>120</v>
      </c>
      <c r="CJ400">
        <v>0</v>
      </c>
      <c r="CK400">
        <v>0</v>
      </c>
      <c r="CL400">
        <v>0</v>
      </c>
      <c r="CM400">
        <v>2</v>
      </c>
      <c r="CN400">
        <v>0</v>
      </c>
      <c r="CO400">
        <v>7</v>
      </c>
      <c r="CP400" t="s">
        <v>121</v>
      </c>
      <c r="CQ400">
        <v>580</v>
      </c>
      <c r="CR400">
        <v>0</v>
      </c>
      <c r="CW400">
        <v>16676267</v>
      </c>
      <c r="CY400">
        <v>0</v>
      </c>
      <c r="CZ400">
        <v>0</v>
      </c>
      <c r="DA400">
        <v>0</v>
      </c>
      <c r="DB400">
        <v>1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</row>
    <row r="401" spans="1:113" x14ac:dyDescent="0.3">
      <c r="A401" t="str">
        <f>"06/16/2022 19:09:02.907"</f>
        <v>06/16/2022 19:09:02.907</v>
      </c>
      <c r="C401" t="str">
        <f t="shared" si="18"/>
        <v>FFBF5BC0</v>
      </c>
      <c r="D401" t="s">
        <v>113</v>
      </c>
      <c r="E401">
        <v>8</v>
      </c>
      <c r="H401">
        <v>206</v>
      </c>
      <c r="I401" t="s">
        <v>114</v>
      </c>
      <c r="J401" t="s">
        <v>115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>"19:09:02.672"</f>
        <v>19:09:02.672</v>
      </c>
      <c r="T401" t="str">
        <f>"19:09:02.672"</f>
        <v>19:09:02.672</v>
      </c>
      <c r="U401" t="str">
        <f t="shared" si="19"/>
        <v>AB63B2</v>
      </c>
      <c r="V401">
        <v>0</v>
      </c>
      <c r="W401">
        <v>0</v>
      </c>
      <c r="X401">
        <v>6</v>
      </c>
      <c r="Z401">
        <v>0</v>
      </c>
      <c r="AA401">
        <v>9</v>
      </c>
      <c r="AB401">
        <v>3</v>
      </c>
      <c r="AC401">
        <v>0</v>
      </c>
      <c r="AD401">
        <v>10</v>
      </c>
      <c r="AE401">
        <v>0</v>
      </c>
      <c r="AF401">
        <v>0</v>
      </c>
      <c r="AG401">
        <v>2</v>
      </c>
      <c r="AH401">
        <v>0</v>
      </c>
      <c r="AI401" t="s">
        <v>409</v>
      </c>
      <c r="AJ401">
        <v>41.973975000000003</v>
      </c>
      <c r="AK401" t="s">
        <v>410</v>
      </c>
      <c r="AL401">
        <v>-87.895432</v>
      </c>
      <c r="AS401">
        <v>1</v>
      </c>
      <c r="AT401" t="s">
        <v>118</v>
      </c>
      <c r="AU401" t="b">
        <v>1</v>
      </c>
      <c r="AV401">
        <v>202.5</v>
      </c>
      <c r="AW401">
        <v>19.125</v>
      </c>
      <c r="AX401">
        <v>1</v>
      </c>
      <c r="AZ401">
        <v>7205</v>
      </c>
      <c r="BA401">
        <v>1</v>
      </c>
      <c r="BB401" t="str">
        <f t="shared" si="20"/>
        <v xml:space="preserve">KAP400  </v>
      </c>
      <c r="BC401">
        <v>1</v>
      </c>
      <c r="BE401">
        <v>0</v>
      </c>
      <c r="BF401">
        <v>0</v>
      </c>
      <c r="BG401">
        <v>0</v>
      </c>
      <c r="BI401">
        <v>1</v>
      </c>
      <c r="BJ401">
        <v>1</v>
      </c>
      <c r="BK401">
        <v>1</v>
      </c>
      <c r="BL401">
        <v>0</v>
      </c>
      <c r="BO401">
        <v>0</v>
      </c>
      <c r="BP401">
        <v>0</v>
      </c>
      <c r="BW401" t="str">
        <f>"19:09:02.675"</f>
        <v>19:09:02.675</v>
      </c>
      <c r="BX401" t="s">
        <v>119</v>
      </c>
      <c r="BY401" t="s">
        <v>120</v>
      </c>
      <c r="CJ401">
        <v>0</v>
      </c>
      <c r="CK401">
        <v>0</v>
      </c>
      <c r="CL401">
        <v>0</v>
      </c>
      <c r="CM401">
        <v>2</v>
      </c>
      <c r="CN401">
        <v>0</v>
      </c>
      <c r="CO401">
        <v>7</v>
      </c>
      <c r="CP401" t="s">
        <v>121</v>
      </c>
      <c r="CQ401">
        <v>580</v>
      </c>
      <c r="CR401">
        <v>0</v>
      </c>
      <c r="CW401">
        <v>16678228</v>
      </c>
      <c r="CY401">
        <v>0</v>
      </c>
      <c r="CZ401">
        <v>0</v>
      </c>
      <c r="DA401">
        <v>0</v>
      </c>
      <c r="DB401">
        <v>1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</row>
    <row r="402" spans="1:113" x14ac:dyDescent="0.3">
      <c r="A402" t="str">
        <f>"06/16/2022 19:09:03.970"</f>
        <v>06/16/2022 19:09:03.970</v>
      </c>
      <c r="C402" t="str">
        <f t="shared" si="18"/>
        <v>FFBF5BC0</v>
      </c>
      <c r="D402" t="s">
        <v>113</v>
      </c>
      <c r="E402">
        <v>8</v>
      </c>
      <c r="H402">
        <v>206</v>
      </c>
      <c r="I402" t="s">
        <v>114</v>
      </c>
      <c r="J402" t="s">
        <v>115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>"19:09:03.734"</f>
        <v>19:09:03.734</v>
      </c>
      <c r="T402" t="str">
        <f>"19:09:03.734"</f>
        <v>19:09:03.734</v>
      </c>
      <c r="U402" t="str">
        <f t="shared" si="19"/>
        <v>AB63B2</v>
      </c>
      <c r="V402">
        <v>0</v>
      </c>
      <c r="W402">
        <v>0</v>
      </c>
      <c r="X402">
        <v>6</v>
      </c>
      <c r="Z402">
        <v>0</v>
      </c>
      <c r="AA402">
        <v>9</v>
      </c>
      <c r="AB402">
        <v>3</v>
      </c>
      <c r="AC402">
        <v>0</v>
      </c>
      <c r="AD402">
        <v>10</v>
      </c>
      <c r="AE402">
        <v>0</v>
      </c>
      <c r="AF402">
        <v>0</v>
      </c>
      <c r="AG402">
        <v>2</v>
      </c>
      <c r="AH402">
        <v>0</v>
      </c>
      <c r="AI402" t="s">
        <v>411</v>
      </c>
      <c r="AJ402">
        <v>41.973889</v>
      </c>
      <c r="AK402" t="s">
        <v>412</v>
      </c>
      <c r="AL402">
        <v>-87.895453000000003</v>
      </c>
      <c r="AS402">
        <v>1</v>
      </c>
      <c r="AT402" t="s">
        <v>118</v>
      </c>
      <c r="AU402" t="b">
        <v>1</v>
      </c>
      <c r="AV402">
        <v>205.31</v>
      </c>
      <c r="AW402">
        <v>19.125</v>
      </c>
      <c r="AX402">
        <v>1</v>
      </c>
      <c r="AZ402">
        <v>7205</v>
      </c>
      <c r="BA402">
        <v>1</v>
      </c>
      <c r="BB402" t="str">
        <f t="shared" si="20"/>
        <v xml:space="preserve">KAP400  </v>
      </c>
      <c r="BC402">
        <v>1</v>
      </c>
      <c r="BE402">
        <v>0</v>
      </c>
      <c r="BF402">
        <v>0</v>
      </c>
      <c r="BG402">
        <v>0</v>
      </c>
      <c r="BI402">
        <v>1</v>
      </c>
      <c r="BJ402">
        <v>1</v>
      </c>
      <c r="BK402">
        <v>1</v>
      </c>
      <c r="BL402">
        <v>0</v>
      </c>
      <c r="BO402">
        <v>0</v>
      </c>
      <c r="BP402">
        <v>0</v>
      </c>
      <c r="BW402" t="str">
        <f>"19:09:03.737"</f>
        <v>19:09:03.737</v>
      </c>
      <c r="BX402" t="s">
        <v>119</v>
      </c>
      <c r="BY402" t="s">
        <v>120</v>
      </c>
      <c r="CJ402">
        <v>0</v>
      </c>
      <c r="CK402">
        <v>0</v>
      </c>
      <c r="CL402">
        <v>0</v>
      </c>
      <c r="CM402">
        <v>2</v>
      </c>
      <c r="CN402">
        <v>0</v>
      </c>
      <c r="CO402">
        <v>7</v>
      </c>
      <c r="CP402" t="s">
        <v>121</v>
      </c>
      <c r="CQ402">
        <v>580</v>
      </c>
      <c r="CR402">
        <v>0</v>
      </c>
      <c r="CW402">
        <v>16680312</v>
      </c>
      <c r="CY402">
        <v>0</v>
      </c>
      <c r="CZ402">
        <v>0</v>
      </c>
      <c r="DA402">
        <v>0</v>
      </c>
      <c r="DB402">
        <v>1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</row>
    <row r="403" spans="1:113" x14ac:dyDescent="0.3">
      <c r="A403" t="str">
        <f>"06/16/2022 19:09:05.876"</f>
        <v>06/16/2022 19:09:05.876</v>
      </c>
      <c r="C403" t="str">
        <f t="shared" si="18"/>
        <v>FFBF5BC0</v>
      </c>
      <c r="D403" t="s">
        <v>113</v>
      </c>
      <c r="E403">
        <v>8</v>
      </c>
      <c r="H403">
        <v>206</v>
      </c>
      <c r="I403" t="s">
        <v>114</v>
      </c>
      <c r="J403" t="s">
        <v>115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>"19:09:05.625"</f>
        <v>19:09:05.625</v>
      </c>
      <c r="T403" t="str">
        <f>"19:09:05.625"</f>
        <v>19:09:05.625</v>
      </c>
      <c r="U403" t="str">
        <f t="shared" si="19"/>
        <v>AB63B2</v>
      </c>
      <c r="V403">
        <v>0</v>
      </c>
      <c r="W403">
        <v>0</v>
      </c>
      <c r="X403">
        <v>6</v>
      </c>
      <c r="Z403">
        <v>0</v>
      </c>
      <c r="AA403">
        <v>9</v>
      </c>
      <c r="AB403">
        <v>3</v>
      </c>
      <c r="AC403">
        <v>0</v>
      </c>
      <c r="AD403">
        <v>10</v>
      </c>
      <c r="AE403">
        <v>0</v>
      </c>
      <c r="AF403">
        <v>0</v>
      </c>
      <c r="AG403">
        <v>2</v>
      </c>
      <c r="AH403">
        <v>0</v>
      </c>
      <c r="AI403" t="s">
        <v>413</v>
      </c>
      <c r="AJ403">
        <v>41.973759999999999</v>
      </c>
      <c r="AK403" t="s">
        <v>414</v>
      </c>
      <c r="AL403">
        <v>-87.895582000000005</v>
      </c>
      <c r="AS403">
        <v>1</v>
      </c>
      <c r="AT403" t="s">
        <v>118</v>
      </c>
      <c r="AU403" t="b">
        <v>1</v>
      </c>
      <c r="AV403">
        <v>210.94</v>
      </c>
      <c r="AW403">
        <v>18.125</v>
      </c>
      <c r="AX403">
        <v>1</v>
      </c>
      <c r="AZ403">
        <v>7205</v>
      </c>
      <c r="BA403">
        <v>1</v>
      </c>
      <c r="BB403" t="str">
        <f t="shared" si="20"/>
        <v xml:space="preserve">KAP400  </v>
      </c>
      <c r="BC403">
        <v>1</v>
      </c>
      <c r="BE403">
        <v>0</v>
      </c>
      <c r="BF403">
        <v>0</v>
      </c>
      <c r="BG403">
        <v>0</v>
      </c>
      <c r="BI403">
        <v>1</v>
      </c>
      <c r="BJ403">
        <v>1</v>
      </c>
      <c r="BK403">
        <v>1</v>
      </c>
      <c r="BL403">
        <v>0</v>
      </c>
      <c r="BO403">
        <v>0</v>
      </c>
      <c r="BP403">
        <v>0</v>
      </c>
      <c r="BW403" t="str">
        <f>"19:09:05.632"</f>
        <v>19:09:05.632</v>
      </c>
      <c r="BX403" t="s">
        <v>119</v>
      </c>
      <c r="BY403" t="s">
        <v>120</v>
      </c>
      <c r="CJ403">
        <v>0</v>
      </c>
      <c r="CK403">
        <v>0</v>
      </c>
      <c r="CL403">
        <v>0</v>
      </c>
      <c r="CM403">
        <v>2</v>
      </c>
      <c r="CN403">
        <v>0</v>
      </c>
      <c r="CO403">
        <v>7</v>
      </c>
      <c r="CP403" t="s">
        <v>121</v>
      </c>
      <c r="CQ403">
        <v>580</v>
      </c>
      <c r="CR403">
        <v>0</v>
      </c>
      <c r="CW403">
        <v>16683717</v>
      </c>
      <c r="CY403">
        <v>0</v>
      </c>
      <c r="CZ403">
        <v>0</v>
      </c>
      <c r="DA403">
        <v>0</v>
      </c>
      <c r="DB403">
        <v>1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</row>
    <row r="404" spans="1:113" x14ac:dyDescent="0.3">
      <c r="A404" t="str">
        <f>"06/16/2022 19:09:09.860"</f>
        <v>06/16/2022 19:09:09.860</v>
      </c>
      <c r="C404" t="str">
        <f t="shared" si="18"/>
        <v>FFBF5BC0</v>
      </c>
      <c r="D404" t="s">
        <v>113</v>
      </c>
      <c r="E404">
        <v>8</v>
      </c>
      <c r="H404">
        <v>206</v>
      </c>
      <c r="I404" t="s">
        <v>114</v>
      </c>
      <c r="J404" t="s">
        <v>115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>"19:09:09.617"</f>
        <v>19:09:09.617</v>
      </c>
      <c r="T404" t="str">
        <f>"19:09:09.617"</f>
        <v>19:09:09.617</v>
      </c>
      <c r="U404" t="str">
        <f t="shared" si="19"/>
        <v>AB63B2</v>
      </c>
      <c r="V404">
        <v>0</v>
      </c>
      <c r="W404">
        <v>0</v>
      </c>
      <c r="X404">
        <v>6</v>
      </c>
      <c r="Z404">
        <v>0</v>
      </c>
      <c r="AA404">
        <v>9</v>
      </c>
      <c r="AB404">
        <v>3</v>
      </c>
      <c r="AC404">
        <v>0</v>
      </c>
      <c r="AD404">
        <v>10</v>
      </c>
      <c r="AE404">
        <v>0</v>
      </c>
      <c r="AF404">
        <v>0</v>
      </c>
      <c r="AG404">
        <v>2</v>
      </c>
      <c r="AH404">
        <v>0</v>
      </c>
      <c r="AI404" t="s">
        <v>415</v>
      </c>
      <c r="AJ404">
        <v>41.973503000000001</v>
      </c>
      <c r="AK404" t="s">
        <v>416</v>
      </c>
      <c r="AL404">
        <v>-87.895818000000006</v>
      </c>
      <c r="AS404">
        <v>1</v>
      </c>
      <c r="AT404" t="s">
        <v>118</v>
      </c>
      <c r="AU404" t="b">
        <v>1</v>
      </c>
      <c r="AV404">
        <v>219.38</v>
      </c>
      <c r="AW404">
        <v>16.125</v>
      </c>
      <c r="AX404">
        <v>1</v>
      </c>
      <c r="AZ404">
        <v>7205</v>
      </c>
      <c r="BA404">
        <v>1</v>
      </c>
      <c r="BB404" t="str">
        <f t="shared" si="20"/>
        <v xml:space="preserve">KAP400  </v>
      </c>
      <c r="BC404">
        <v>1</v>
      </c>
      <c r="BE404">
        <v>0</v>
      </c>
      <c r="BF404">
        <v>0</v>
      </c>
      <c r="BG404">
        <v>0</v>
      </c>
      <c r="BI404">
        <v>1</v>
      </c>
      <c r="BJ404">
        <v>1</v>
      </c>
      <c r="BK404">
        <v>1</v>
      </c>
      <c r="BL404">
        <v>0</v>
      </c>
      <c r="BO404">
        <v>0</v>
      </c>
      <c r="BP404">
        <v>0</v>
      </c>
      <c r="BW404" t="str">
        <f>"19:09:09.622"</f>
        <v>19:09:09.622</v>
      </c>
      <c r="BX404" t="s">
        <v>119</v>
      </c>
      <c r="BY404" t="s">
        <v>120</v>
      </c>
      <c r="CJ404">
        <v>0</v>
      </c>
      <c r="CK404">
        <v>0</v>
      </c>
      <c r="CL404">
        <v>0</v>
      </c>
      <c r="CM404">
        <v>2</v>
      </c>
      <c r="CN404">
        <v>0</v>
      </c>
      <c r="CO404">
        <v>7</v>
      </c>
      <c r="CP404" t="s">
        <v>121</v>
      </c>
      <c r="CQ404">
        <v>580</v>
      </c>
      <c r="CR404">
        <v>0</v>
      </c>
      <c r="CW404">
        <v>16691311</v>
      </c>
      <c r="CY404">
        <v>0</v>
      </c>
      <c r="CZ404">
        <v>0</v>
      </c>
      <c r="DA404">
        <v>0</v>
      </c>
      <c r="DB404">
        <v>1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</row>
    <row r="405" spans="1:113" x14ac:dyDescent="0.3">
      <c r="A405" t="str">
        <f>"06/16/2022 19:09:10.969"</f>
        <v>06/16/2022 19:09:10.969</v>
      </c>
      <c r="C405" t="str">
        <f t="shared" si="18"/>
        <v>FFBF5BC0</v>
      </c>
      <c r="D405" t="s">
        <v>113</v>
      </c>
      <c r="E405">
        <v>8</v>
      </c>
      <c r="H405">
        <v>206</v>
      </c>
      <c r="I405" t="s">
        <v>114</v>
      </c>
      <c r="J405" t="s">
        <v>115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>"19:09:10.695"</f>
        <v>19:09:10.695</v>
      </c>
      <c r="T405" t="str">
        <f>"19:09:10.695"</f>
        <v>19:09:10.695</v>
      </c>
      <c r="U405" t="str">
        <f t="shared" si="19"/>
        <v>AB63B2</v>
      </c>
      <c r="V405">
        <v>0</v>
      </c>
      <c r="W405">
        <v>0</v>
      </c>
      <c r="X405">
        <v>6</v>
      </c>
      <c r="Z405">
        <v>0</v>
      </c>
      <c r="AA405">
        <v>9</v>
      </c>
      <c r="AB405">
        <v>3</v>
      </c>
      <c r="AC405">
        <v>0</v>
      </c>
      <c r="AD405">
        <v>10</v>
      </c>
      <c r="AE405">
        <v>0</v>
      </c>
      <c r="AF405">
        <v>0</v>
      </c>
      <c r="AG405">
        <v>2</v>
      </c>
      <c r="AH405">
        <v>0</v>
      </c>
      <c r="AI405" t="s">
        <v>417</v>
      </c>
      <c r="AJ405">
        <v>41.973438000000002</v>
      </c>
      <c r="AK405" t="s">
        <v>418</v>
      </c>
      <c r="AL405">
        <v>-87.895882</v>
      </c>
      <c r="AS405">
        <v>1</v>
      </c>
      <c r="AT405" t="s">
        <v>118</v>
      </c>
      <c r="AU405" t="b">
        <v>1</v>
      </c>
      <c r="AV405">
        <v>222.19</v>
      </c>
      <c r="AW405">
        <v>16.125</v>
      </c>
      <c r="AX405">
        <v>1</v>
      </c>
      <c r="AZ405">
        <v>7205</v>
      </c>
      <c r="BA405">
        <v>1</v>
      </c>
      <c r="BB405" t="str">
        <f t="shared" si="20"/>
        <v xml:space="preserve">KAP400  </v>
      </c>
      <c r="BC405">
        <v>1</v>
      </c>
      <c r="BE405">
        <v>0</v>
      </c>
      <c r="BF405">
        <v>0</v>
      </c>
      <c r="BG405">
        <v>0</v>
      </c>
      <c r="BI405">
        <v>1</v>
      </c>
      <c r="BJ405">
        <v>1</v>
      </c>
      <c r="BK405">
        <v>1</v>
      </c>
      <c r="BL405">
        <v>0</v>
      </c>
      <c r="BO405">
        <v>0</v>
      </c>
      <c r="BP405">
        <v>0</v>
      </c>
      <c r="BW405" t="str">
        <f>"19:09:10.702"</f>
        <v>19:09:10.702</v>
      </c>
      <c r="BX405" t="s">
        <v>119</v>
      </c>
      <c r="BY405" t="s">
        <v>120</v>
      </c>
      <c r="CJ405">
        <v>0</v>
      </c>
      <c r="CK405">
        <v>0</v>
      </c>
      <c r="CL405">
        <v>0</v>
      </c>
      <c r="CM405">
        <v>2</v>
      </c>
      <c r="CN405">
        <v>0</v>
      </c>
      <c r="CO405">
        <v>7</v>
      </c>
      <c r="CP405" t="s">
        <v>121</v>
      </c>
      <c r="CQ405">
        <v>580</v>
      </c>
      <c r="CR405">
        <v>0</v>
      </c>
      <c r="CW405">
        <v>16693251</v>
      </c>
      <c r="CY405">
        <v>0</v>
      </c>
      <c r="CZ405">
        <v>0</v>
      </c>
      <c r="DA405">
        <v>0</v>
      </c>
      <c r="DB405">
        <v>1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</row>
    <row r="406" spans="1:113" x14ac:dyDescent="0.3">
      <c r="A406" t="str">
        <f>"06/16/2022 19:09:12.032"</f>
        <v>06/16/2022 19:09:12.032</v>
      </c>
      <c r="C406" t="str">
        <f t="shared" si="18"/>
        <v>FFBF5BC0</v>
      </c>
      <c r="D406" t="s">
        <v>113</v>
      </c>
      <c r="E406">
        <v>8</v>
      </c>
      <c r="H406">
        <v>206</v>
      </c>
      <c r="I406" t="s">
        <v>114</v>
      </c>
      <c r="J406" t="s">
        <v>115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>"19:09:11.703"</f>
        <v>19:09:11.703</v>
      </c>
      <c r="T406" t="str">
        <f>"19:09:11.703"</f>
        <v>19:09:11.703</v>
      </c>
      <c r="U406" t="str">
        <f t="shared" si="19"/>
        <v>AB63B2</v>
      </c>
      <c r="V406">
        <v>0</v>
      </c>
      <c r="W406">
        <v>0</v>
      </c>
      <c r="X406">
        <v>6</v>
      </c>
      <c r="Z406">
        <v>0</v>
      </c>
      <c r="AA406">
        <v>9</v>
      </c>
      <c r="AB406">
        <v>3</v>
      </c>
      <c r="AC406">
        <v>0</v>
      </c>
      <c r="AD406">
        <v>10</v>
      </c>
      <c r="AE406">
        <v>0</v>
      </c>
      <c r="AF406">
        <v>0</v>
      </c>
      <c r="AG406">
        <v>2</v>
      </c>
      <c r="AH406">
        <v>0</v>
      </c>
      <c r="AI406" t="s">
        <v>419</v>
      </c>
      <c r="AJ406">
        <v>41.973394999999996</v>
      </c>
      <c r="AK406" t="s">
        <v>420</v>
      </c>
      <c r="AL406">
        <v>-87.895947000000007</v>
      </c>
      <c r="AS406">
        <v>1</v>
      </c>
      <c r="AT406" t="s">
        <v>118</v>
      </c>
      <c r="AU406" t="b">
        <v>1</v>
      </c>
      <c r="AV406">
        <v>225</v>
      </c>
      <c r="AW406">
        <v>16.125</v>
      </c>
      <c r="AX406">
        <v>1</v>
      </c>
      <c r="AZ406">
        <v>7205</v>
      </c>
      <c r="BA406">
        <v>1</v>
      </c>
      <c r="BB406" t="str">
        <f t="shared" si="20"/>
        <v xml:space="preserve">KAP400  </v>
      </c>
      <c r="BC406">
        <v>1</v>
      </c>
      <c r="BE406">
        <v>0</v>
      </c>
      <c r="BF406">
        <v>0</v>
      </c>
      <c r="BG406">
        <v>0</v>
      </c>
      <c r="BI406">
        <v>1</v>
      </c>
      <c r="BJ406">
        <v>1</v>
      </c>
      <c r="BK406">
        <v>1</v>
      </c>
      <c r="BL406">
        <v>0</v>
      </c>
      <c r="BO406">
        <v>0</v>
      </c>
      <c r="BP406">
        <v>0</v>
      </c>
      <c r="BW406" t="str">
        <f>"19:09:11.709"</f>
        <v>19:09:11.709</v>
      </c>
      <c r="BX406" t="s">
        <v>119</v>
      </c>
      <c r="BY406" t="s">
        <v>120</v>
      </c>
      <c r="CJ406">
        <v>0</v>
      </c>
      <c r="CK406">
        <v>0</v>
      </c>
      <c r="CL406">
        <v>0</v>
      </c>
      <c r="CM406">
        <v>2</v>
      </c>
      <c r="CN406">
        <v>0</v>
      </c>
      <c r="CO406">
        <v>0</v>
      </c>
      <c r="CP406" t="s">
        <v>121</v>
      </c>
      <c r="CQ406">
        <v>580</v>
      </c>
      <c r="CR406">
        <v>0</v>
      </c>
      <c r="CW406">
        <v>16695258</v>
      </c>
      <c r="CY406">
        <v>0</v>
      </c>
      <c r="CZ406">
        <v>0</v>
      </c>
      <c r="DA406">
        <v>0</v>
      </c>
      <c r="DB406">
        <v>1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</row>
    <row r="407" spans="1:113" x14ac:dyDescent="0.3">
      <c r="A407" t="str">
        <f>"06/16/2022 19:09:13.094"</f>
        <v>06/16/2022 19:09:13.094</v>
      </c>
      <c r="C407" t="str">
        <f t="shared" si="18"/>
        <v>FFBF5BC0</v>
      </c>
      <c r="D407" t="s">
        <v>113</v>
      </c>
      <c r="E407">
        <v>8</v>
      </c>
      <c r="H407">
        <v>206</v>
      </c>
      <c r="I407" t="s">
        <v>114</v>
      </c>
      <c r="J407" t="s">
        <v>115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>"19:09:12.813"</f>
        <v>19:09:12.813</v>
      </c>
      <c r="T407" t="str">
        <f>"19:09:12.813"</f>
        <v>19:09:12.813</v>
      </c>
      <c r="U407" t="str">
        <f t="shared" si="19"/>
        <v>AB63B2</v>
      </c>
      <c r="V407">
        <v>0</v>
      </c>
      <c r="W407">
        <v>0</v>
      </c>
      <c r="X407">
        <v>6</v>
      </c>
      <c r="Z407">
        <v>0</v>
      </c>
      <c r="AA407">
        <v>9</v>
      </c>
      <c r="AB407">
        <v>3</v>
      </c>
      <c r="AC407">
        <v>0</v>
      </c>
      <c r="AD407">
        <v>10</v>
      </c>
      <c r="AE407">
        <v>0</v>
      </c>
      <c r="AF407">
        <v>0</v>
      </c>
      <c r="AG407">
        <v>2</v>
      </c>
      <c r="AH407">
        <v>0</v>
      </c>
      <c r="AI407" t="s">
        <v>421</v>
      </c>
      <c r="AJ407">
        <v>41.973331000000002</v>
      </c>
      <c r="AK407" t="s">
        <v>422</v>
      </c>
      <c r="AL407">
        <v>-87.896011000000001</v>
      </c>
      <c r="AS407">
        <v>1</v>
      </c>
      <c r="AT407" t="s">
        <v>118</v>
      </c>
      <c r="AU407" t="b">
        <v>1</v>
      </c>
      <c r="AV407">
        <v>227.81</v>
      </c>
      <c r="AW407">
        <v>15.125</v>
      </c>
      <c r="AX407">
        <v>1</v>
      </c>
      <c r="AZ407">
        <v>7205</v>
      </c>
      <c r="BA407">
        <v>1</v>
      </c>
      <c r="BB407" t="str">
        <f t="shared" si="20"/>
        <v xml:space="preserve">KAP400  </v>
      </c>
      <c r="BC407">
        <v>1</v>
      </c>
      <c r="BE407">
        <v>0</v>
      </c>
      <c r="BF407">
        <v>0</v>
      </c>
      <c r="BG407">
        <v>0</v>
      </c>
      <c r="BI407">
        <v>1</v>
      </c>
      <c r="BJ407">
        <v>1</v>
      </c>
      <c r="BK407">
        <v>1</v>
      </c>
      <c r="BL407">
        <v>0</v>
      </c>
      <c r="BO407">
        <v>0</v>
      </c>
      <c r="BP407">
        <v>0</v>
      </c>
      <c r="BW407" t="str">
        <f>"19:09:12.820"</f>
        <v>19:09:12.820</v>
      </c>
      <c r="BX407" t="s">
        <v>119</v>
      </c>
      <c r="BY407" t="s">
        <v>120</v>
      </c>
      <c r="CJ407">
        <v>0</v>
      </c>
      <c r="CK407">
        <v>0</v>
      </c>
      <c r="CL407">
        <v>0</v>
      </c>
      <c r="CM407">
        <v>2</v>
      </c>
      <c r="CN407">
        <v>0</v>
      </c>
      <c r="CO407">
        <v>5</v>
      </c>
      <c r="CP407" t="s">
        <v>121</v>
      </c>
      <c r="CQ407">
        <v>579</v>
      </c>
      <c r="CR407">
        <v>0</v>
      </c>
      <c r="CW407">
        <v>991990</v>
      </c>
      <c r="CY407">
        <v>0</v>
      </c>
      <c r="CZ407">
        <v>0</v>
      </c>
      <c r="DA407">
        <v>0</v>
      </c>
      <c r="DB407">
        <v>1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</row>
    <row r="408" spans="1:113" x14ac:dyDescent="0.3">
      <c r="A408" t="str">
        <f>"06/16/2022 19:09:14.406"</f>
        <v>06/16/2022 19:09:14.406</v>
      </c>
      <c r="C408" t="str">
        <f t="shared" si="18"/>
        <v>FFBF5BC0</v>
      </c>
      <c r="D408" t="s">
        <v>113</v>
      </c>
      <c r="E408">
        <v>8</v>
      </c>
      <c r="H408">
        <v>206</v>
      </c>
      <c r="I408" t="s">
        <v>114</v>
      </c>
      <c r="J408" t="s">
        <v>115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>"19:09:14.211"</f>
        <v>19:09:14.211</v>
      </c>
      <c r="T408" t="str">
        <f>"19:09:14.211"</f>
        <v>19:09:14.211</v>
      </c>
      <c r="U408" t="str">
        <f t="shared" si="19"/>
        <v>AB63B2</v>
      </c>
      <c r="V408">
        <v>0</v>
      </c>
      <c r="W408">
        <v>0</v>
      </c>
      <c r="X408">
        <v>6</v>
      </c>
      <c r="Z408">
        <v>0</v>
      </c>
      <c r="AA408">
        <v>9</v>
      </c>
      <c r="AB408">
        <v>3</v>
      </c>
      <c r="AC408">
        <v>0</v>
      </c>
      <c r="AD408">
        <v>10</v>
      </c>
      <c r="AE408">
        <v>0</v>
      </c>
      <c r="AF408">
        <v>0</v>
      </c>
      <c r="AG408">
        <v>2</v>
      </c>
      <c r="AH408">
        <v>0</v>
      </c>
      <c r="AI408" t="s">
        <v>423</v>
      </c>
      <c r="AJ408">
        <v>41.973287999999997</v>
      </c>
      <c r="AK408" t="s">
        <v>424</v>
      </c>
      <c r="AL408">
        <v>-87.896096999999997</v>
      </c>
      <c r="AS408">
        <v>1</v>
      </c>
      <c r="AT408" t="s">
        <v>118</v>
      </c>
      <c r="AU408" t="b">
        <v>1</v>
      </c>
      <c r="AV408">
        <v>230.63</v>
      </c>
      <c r="AW408">
        <v>14.625</v>
      </c>
      <c r="AX408">
        <v>1</v>
      </c>
      <c r="AZ408">
        <v>7205</v>
      </c>
      <c r="BA408">
        <v>1</v>
      </c>
      <c r="BB408" t="str">
        <f t="shared" si="20"/>
        <v xml:space="preserve">KAP400  </v>
      </c>
      <c r="BC408">
        <v>1</v>
      </c>
      <c r="BE408">
        <v>0</v>
      </c>
      <c r="BF408">
        <v>0</v>
      </c>
      <c r="BG408">
        <v>0</v>
      </c>
      <c r="BI408">
        <v>1</v>
      </c>
      <c r="BJ408">
        <v>1</v>
      </c>
      <c r="BK408">
        <v>1</v>
      </c>
      <c r="BL408">
        <v>0</v>
      </c>
      <c r="BO408">
        <v>0</v>
      </c>
      <c r="BP408">
        <v>0</v>
      </c>
      <c r="BW408" t="str">
        <f>"19:09:14.211"</f>
        <v>19:09:14.211</v>
      </c>
      <c r="BX408" t="s">
        <v>119</v>
      </c>
      <c r="BY408" t="s">
        <v>120</v>
      </c>
      <c r="CJ408">
        <v>0</v>
      </c>
      <c r="CK408">
        <v>0</v>
      </c>
      <c r="CL408">
        <v>0</v>
      </c>
      <c r="CM408">
        <v>2</v>
      </c>
      <c r="CN408">
        <v>0</v>
      </c>
      <c r="CO408">
        <v>7</v>
      </c>
      <c r="CP408" t="s">
        <v>121</v>
      </c>
      <c r="CQ408">
        <v>580</v>
      </c>
      <c r="CR408">
        <v>0</v>
      </c>
      <c r="CW408">
        <v>16700125</v>
      </c>
      <c r="CY408">
        <v>0</v>
      </c>
      <c r="CZ408">
        <v>0</v>
      </c>
      <c r="DA408">
        <v>0</v>
      </c>
      <c r="DB408">
        <v>1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</row>
    <row r="409" spans="1:113" x14ac:dyDescent="0.3">
      <c r="A409" t="str">
        <f>"06/16/2022 19:09:15.500"</f>
        <v>06/16/2022 19:09:15.500</v>
      </c>
      <c r="C409" t="str">
        <f t="shared" si="18"/>
        <v>FFBF5BC0</v>
      </c>
      <c r="D409" t="s">
        <v>113</v>
      </c>
      <c r="E409">
        <v>8</v>
      </c>
      <c r="H409">
        <v>206</v>
      </c>
      <c r="I409" t="s">
        <v>114</v>
      </c>
      <c r="J409" t="s">
        <v>115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>"19:09:15.281"</f>
        <v>19:09:15.281</v>
      </c>
      <c r="T409" t="str">
        <f>"19:09:15.281"</f>
        <v>19:09:15.281</v>
      </c>
      <c r="U409" t="str">
        <f t="shared" si="19"/>
        <v>AB63B2</v>
      </c>
      <c r="V409">
        <v>0</v>
      </c>
      <c r="W409">
        <v>0</v>
      </c>
      <c r="X409">
        <v>6</v>
      </c>
      <c r="Z409">
        <v>0</v>
      </c>
      <c r="AA409">
        <v>9</v>
      </c>
      <c r="AB409">
        <v>3</v>
      </c>
      <c r="AC409">
        <v>0</v>
      </c>
      <c r="AD409">
        <v>10</v>
      </c>
      <c r="AE409">
        <v>0</v>
      </c>
      <c r="AF409">
        <v>0</v>
      </c>
      <c r="AG409">
        <v>2</v>
      </c>
      <c r="AH409">
        <v>0</v>
      </c>
      <c r="AI409" t="s">
        <v>425</v>
      </c>
      <c r="AJ409">
        <v>41.973224000000002</v>
      </c>
      <c r="AK409" t="s">
        <v>426</v>
      </c>
      <c r="AL409">
        <v>-87.896182999999994</v>
      </c>
      <c r="AS409">
        <v>1</v>
      </c>
      <c r="AT409" t="s">
        <v>118</v>
      </c>
      <c r="AU409" t="b">
        <v>1</v>
      </c>
      <c r="AV409">
        <v>230.63</v>
      </c>
      <c r="AW409">
        <v>14.625</v>
      </c>
      <c r="AX409">
        <v>1</v>
      </c>
      <c r="AZ409">
        <v>7205</v>
      </c>
      <c r="BA409">
        <v>1</v>
      </c>
      <c r="BB409" t="str">
        <f t="shared" si="20"/>
        <v xml:space="preserve">KAP400  </v>
      </c>
      <c r="BC409">
        <v>1</v>
      </c>
      <c r="BE409">
        <v>0</v>
      </c>
      <c r="BF409">
        <v>0</v>
      </c>
      <c r="BG409">
        <v>0</v>
      </c>
      <c r="BI409">
        <v>1</v>
      </c>
      <c r="BJ409">
        <v>1</v>
      </c>
      <c r="BK409">
        <v>1</v>
      </c>
      <c r="BL409">
        <v>0</v>
      </c>
      <c r="BO409">
        <v>0</v>
      </c>
      <c r="BP409">
        <v>0</v>
      </c>
      <c r="BW409" t="str">
        <f>"19:09:15.283"</f>
        <v>19:09:15.283</v>
      </c>
      <c r="BX409" t="s">
        <v>119</v>
      </c>
      <c r="BY409" t="s">
        <v>120</v>
      </c>
      <c r="CJ409">
        <v>0</v>
      </c>
      <c r="CK409">
        <v>0</v>
      </c>
      <c r="CL409">
        <v>0</v>
      </c>
      <c r="CM409">
        <v>2</v>
      </c>
      <c r="CN409">
        <v>0</v>
      </c>
      <c r="CO409">
        <v>7</v>
      </c>
      <c r="CP409" t="s">
        <v>121</v>
      </c>
      <c r="CQ409">
        <v>580</v>
      </c>
      <c r="CR409">
        <v>0</v>
      </c>
      <c r="CW409">
        <v>16702112</v>
      </c>
      <c r="CY409">
        <v>0</v>
      </c>
      <c r="CZ409">
        <v>0</v>
      </c>
      <c r="DA409">
        <v>0</v>
      </c>
      <c r="DB409">
        <v>1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</row>
    <row r="410" spans="1:113" x14ac:dyDescent="0.3">
      <c r="A410" t="str">
        <f>"06/16/2022 19:09:16.455"</f>
        <v>06/16/2022 19:09:16.455</v>
      </c>
      <c r="C410" t="str">
        <f t="shared" si="18"/>
        <v>FFBF5BC0</v>
      </c>
      <c r="D410" t="s">
        <v>113</v>
      </c>
      <c r="E410">
        <v>8</v>
      </c>
      <c r="H410">
        <v>206</v>
      </c>
      <c r="I410" t="s">
        <v>114</v>
      </c>
      <c r="J410" t="s">
        <v>115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>"19:09:16.250"</f>
        <v>19:09:16.250</v>
      </c>
      <c r="T410" t="str">
        <f>"19:09:16.250"</f>
        <v>19:09:16.250</v>
      </c>
      <c r="U410" t="str">
        <f t="shared" si="19"/>
        <v>AB63B2</v>
      </c>
      <c r="V410">
        <v>0</v>
      </c>
      <c r="W410">
        <v>0</v>
      </c>
      <c r="X410">
        <v>6</v>
      </c>
      <c r="Z410">
        <v>0</v>
      </c>
      <c r="AA410">
        <v>9</v>
      </c>
      <c r="AB410">
        <v>3</v>
      </c>
      <c r="AC410">
        <v>0</v>
      </c>
      <c r="AD410">
        <v>10</v>
      </c>
      <c r="AE410">
        <v>0</v>
      </c>
      <c r="AF410">
        <v>0</v>
      </c>
      <c r="AG410">
        <v>2</v>
      </c>
      <c r="AH410">
        <v>0</v>
      </c>
      <c r="AI410" t="s">
        <v>427</v>
      </c>
      <c r="AJ410">
        <v>41.973202000000001</v>
      </c>
      <c r="AK410" t="s">
        <v>428</v>
      </c>
      <c r="AL410">
        <v>-87.896247000000002</v>
      </c>
      <c r="AS410">
        <v>1</v>
      </c>
      <c r="AT410" t="s">
        <v>118</v>
      </c>
      <c r="AU410" t="b">
        <v>1</v>
      </c>
      <c r="AV410">
        <v>233.44</v>
      </c>
      <c r="AW410">
        <v>14.125</v>
      </c>
      <c r="AX410">
        <v>1</v>
      </c>
      <c r="AZ410">
        <v>7205</v>
      </c>
      <c r="BA410">
        <v>1</v>
      </c>
      <c r="BB410" t="str">
        <f t="shared" si="20"/>
        <v xml:space="preserve">KAP400  </v>
      </c>
      <c r="BC410">
        <v>1</v>
      </c>
      <c r="BE410">
        <v>0</v>
      </c>
      <c r="BF410">
        <v>0</v>
      </c>
      <c r="BG410">
        <v>0</v>
      </c>
      <c r="BI410">
        <v>1</v>
      </c>
      <c r="BJ410">
        <v>1</v>
      </c>
      <c r="BK410">
        <v>1</v>
      </c>
      <c r="BL410">
        <v>0</v>
      </c>
      <c r="BO410">
        <v>0</v>
      </c>
      <c r="BP410">
        <v>0</v>
      </c>
      <c r="BW410" t="str">
        <f>"19:09:16.254"</f>
        <v>19:09:16.254</v>
      </c>
      <c r="BX410" t="s">
        <v>119</v>
      </c>
      <c r="BY410" t="s">
        <v>120</v>
      </c>
      <c r="CJ410">
        <v>0</v>
      </c>
      <c r="CK410">
        <v>0</v>
      </c>
      <c r="CL410">
        <v>0</v>
      </c>
      <c r="CM410">
        <v>2</v>
      </c>
      <c r="CN410">
        <v>0</v>
      </c>
      <c r="CO410">
        <v>7</v>
      </c>
      <c r="CP410" t="s">
        <v>121</v>
      </c>
      <c r="CQ410">
        <v>580</v>
      </c>
      <c r="CR410">
        <v>0</v>
      </c>
      <c r="CW410">
        <v>16704049</v>
      </c>
      <c r="CY410">
        <v>0</v>
      </c>
      <c r="CZ410">
        <v>0</v>
      </c>
      <c r="DA410">
        <v>0</v>
      </c>
      <c r="DB410">
        <v>1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</row>
    <row r="411" spans="1:113" x14ac:dyDescent="0.3">
      <c r="A411" t="str">
        <f>"06/16/2022 19:09:17.422"</f>
        <v>06/16/2022 19:09:17.422</v>
      </c>
      <c r="C411" t="str">
        <f t="shared" si="18"/>
        <v>FFBF5BC0</v>
      </c>
      <c r="D411" t="s">
        <v>113</v>
      </c>
      <c r="E411">
        <v>8</v>
      </c>
      <c r="H411">
        <v>206</v>
      </c>
      <c r="I411" t="s">
        <v>114</v>
      </c>
      <c r="J411" t="s">
        <v>115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>"19:09:17.188"</f>
        <v>19:09:17.188</v>
      </c>
      <c r="T411" t="str">
        <f>"19:09:17.188"</f>
        <v>19:09:17.188</v>
      </c>
      <c r="U411" t="str">
        <f t="shared" si="19"/>
        <v>AB63B2</v>
      </c>
      <c r="V411">
        <v>0</v>
      </c>
      <c r="W411">
        <v>0</v>
      </c>
      <c r="X411">
        <v>6</v>
      </c>
      <c r="Z411">
        <v>0</v>
      </c>
      <c r="AA411">
        <v>9</v>
      </c>
      <c r="AB411">
        <v>3</v>
      </c>
      <c r="AC411">
        <v>0</v>
      </c>
      <c r="AD411">
        <v>10</v>
      </c>
      <c r="AE411">
        <v>0</v>
      </c>
      <c r="AF411">
        <v>0</v>
      </c>
      <c r="AG411">
        <v>2</v>
      </c>
      <c r="AH411">
        <v>0</v>
      </c>
      <c r="AI411" t="s">
        <v>429</v>
      </c>
      <c r="AJ411">
        <v>41.973159000000003</v>
      </c>
      <c r="AK411" t="s">
        <v>430</v>
      </c>
      <c r="AL411">
        <v>-87.896310999999997</v>
      </c>
      <c r="AS411">
        <v>1</v>
      </c>
      <c r="AT411" t="s">
        <v>118</v>
      </c>
      <c r="AU411" t="b">
        <v>1</v>
      </c>
      <c r="AV411">
        <v>233.44</v>
      </c>
      <c r="AW411">
        <v>14.125</v>
      </c>
      <c r="AX411">
        <v>1</v>
      </c>
      <c r="AZ411">
        <v>7205</v>
      </c>
      <c r="BA411">
        <v>1</v>
      </c>
      <c r="BB411" t="str">
        <f t="shared" si="20"/>
        <v xml:space="preserve">KAP400  </v>
      </c>
      <c r="BC411">
        <v>1</v>
      </c>
      <c r="BE411">
        <v>0</v>
      </c>
      <c r="BF411">
        <v>0</v>
      </c>
      <c r="BG411">
        <v>0</v>
      </c>
      <c r="BI411">
        <v>1</v>
      </c>
      <c r="BJ411">
        <v>1</v>
      </c>
      <c r="BK411">
        <v>1</v>
      </c>
      <c r="BL411">
        <v>0</v>
      </c>
      <c r="BO411">
        <v>0</v>
      </c>
      <c r="BP411">
        <v>0</v>
      </c>
      <c r="BW411" t="str">
        <f>"19:09:17.193"</f>
        <v>19:09:17.193</v>
      </c>
      <c r="BX411" t="s">
        <v>119</v>
      </c>
      <c r="BY411" t="s">
        <v>120</v>
      </c>
      <c r="CJ411">
        <v>0</v>
      </c>
      <c r="CK411">
        <v>0</v>
      </c>
      <c r="CL411">
        <v>0</v>
      </c>
      <c r="CM411">
        <v>2</v>
      </c>
      <c r="CN411">
        <v>0</v>
      </c>
      <c r="CO411">
        <v>7</v>
      </c>
      <c r="CP411" t="s">
        <v>121</v>
      </c>
      <c r="CQ411">
        <v>580</v>
      </c>
      <c r="CR411">
        <v>0</v>
      </c>
      <c r="CW411">
        <v>16705890</v>
      </c>
      <c r="CY411">
        <v>0</v>
      </c>
      <c r="CZ411">
        <v>0</v>
      </c>
      <c r="DA411">
        <v>0</v>
      </c>
      <c r="DB411">
        <v>1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</row>
    <row r="412" spans="1:113" x14ac:dyDescent="0.3">
      <c r="A412" t="str">
        <f>"06/16/2022 19:09:18.532"</f>
        <v>06/16/2022 19:09:18.532</v>
      </c>
      <c r="C412" t="str">
        <f t="shared" si="18"/>
        <v>FFBF5BC0</v>
      </c>
      <c r="D412" t="s">
        <v>113</v>
      </c>
      <c r="E412">
        <v>8</v>
      </c>
      <c r="H412">
        <v>206</v>
      </c>
      <c r="I412" t="s">
        <v>114</v>
      </c>
      <c r="J412" t="s">
        <v>115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>"19:09:18.281"</f>
        <v>19:09:18.281</v>
      </c>
      <c r="T412" t="str">
        <f>"19:09:18.281"</f>
        <v>19:09:18.281</v>
      </c>
      <c r="U412" t="str">
        <f t="shared" si="19"/>
        <v>AB63B2</v>
      </c>
      <c r="V412">
        <v>0</v>
      </c>
      <c r="W412">
        <v>0</v>
      </c>
      <c r="X412">
        <v>6</v>
      </c>
      <c r="Z412">
        <v>0</v>
      </c>
      <c r="AA412">
        <v>9</v>
      </c>
      <c r="AB412">
        <v>3</v>
      </c>
      <c r="AC412">
        <v>0</v>
      </c>
      <c r="AD412">
        <v>10</v>
      </c>
      <c r="AE412">
        <v>0</v>
      </c>
      <c r="AF412">
        <v>0</v>
      </c>
      <c r="AG412">
        <v>2</v>
      </c>
      <c r="AH412">
        <v>0</v>
      </c>
      <c r="AI412" t="s">
        <v>431</v>
      </c>
      <c r="AJ412">
        <v>41.973115999999997</v>
      </c>
      <c r="AK412" t="s">
        <v>432</v>
      </c>
      <c r="AL412">
        <v>-87.896376000000004</v>
      </c>
      <c r="AS412">
        <v>1</v>
      </c>
      <c r="AT412" t="s">
        <v>118</v>
      </c>
      <c r="AU412" t="b">
        <v>1</v>
      </c>
      <c r="AV412">
        <v>236.25</v>
      </c>
      <c r="AW412">
        <v>13.625</v>
      </c>
      <c r="AX412">
        <v>1</v>
      </c>
      <c r="AZ412">
        <v>7205</v>
      </c>
      <c r="BA412">
        <v>1</v>
      </c>
      <c r="BB412" t="str">
        <f t="shared" si="20"/>
        <v xml:space="preserve">KAP400  </v>
      </c>
      <c r="BC412">
        <v>1</v>
      </c>
      <c r="BE412">
        <v>0</v>
      </c>
      <c r="BF412">
        <v>0</v>
      </c>
      <c r="BG412">
        <v>0</v>
      </c>
      <c r="BI412">
        <v>1</v>
      </c>
      <c r="BJ412">
        <v>1</v>
      </c>
      <c r="BK412">
        <v>1</v>
      </c>
      <c r="BL412">
        <v>0</v>
      </c>
      <c r="BO412">
        <v>0</v>
      </c>
      <c r="BP412">
        <v>0</v>
      </c>
      <c r="BW412" t="str">
        <f>"19:09:18.286"</f>
        <v>19:09:18.286</v>
      </c>
      <c r="BX412" t="s">
        <v>119</v>
      </c>
      <c r="BY412" t="s">
        <v>120</v>
      </c>
      <c r="CJ412">
        <v>0</v>
      </c>
      <c r="CK412">
        <v>0</v>
      </c>
      <c r="CL412">
        <v>0</v>
      </c>
      <c r="CM412">
        <v>2</v>
      </c>
      <c r="CN412">
        <v>0</v>
      </c>
      <c r="CO412">
        <v>7</v>
      </c>
      <c r="CP412" t="s">
        <v>121</v>
      </c>
      <c r="CQ412">
        <v>580</v>
      </c>
      <c r="CR412">
        <v>0</v>
      </c>
      <c r="CW412">
        <v>16707904</v>
      </c>
      <c r="CY412">
        <v>0</v>
      </c>
      <c r="CZ412">
        <v>0</v>
      </c>
      <c r="DA412">
        <v>0</v>
      </c>
      <c r="DB412">
        <v>1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</row>
    <row r="413" spans="1:113" x14ac:dyDescent="0.3">
      <c r="A413" t="str">
        <f>"06/16/2022 19:09:19.579"</f>
        <v>06/16/2022 19:09:19.579</v>
      </c>
      <c r="C413" t="str">
        <f t="shared" si="18"/>
        <v>FFBF5BC0</v>
      </c>
      <c r="D413" t="s">
        <v>113</v>
      </c>
      <c r="E413">
        <v>8</v>
      </c>
      <c r="H413">
        <v>206</v>
      </c>
      <c r="I413" t="s">
        <v>114</v>
      </c>
      <c r="J413" t="s">
        <v>115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>"19:09:19.336"</f>
        <v>19:09:19.336</v>
      </c>
      <c r="T413" t="str">
        <f>"19:09:19.336"</f>
        <v>19:09:19.336</v>
      </c>
      <c r="U413" t="str">
        <f t="shared" si="19"/>
        <v>AB63B2</v>
      </c>
      <c r="V413">
        <v>0</v>
      </c>
      <c r="W413">
        <v>0</v>
      </c>
      <c r="X413">
        <v>6</v>
      </c>
      <c r="Z413">
        <v>0</v>
      </c>
      <c r="AA413">
        <v>9</v>
      </c>
      <c r="AB413">
        <v>3</v>
      </c>
      <c r="AC413">
        <v>0</v>
      </c>
      <c r="AD413">
        <v>10</v>
      </c>
      <c r="AE413">
        <v>0</v>
      </c>
      <c r="AF413">
        <v>0</v>
      </c>
      <c r="AG413">
        <v>2</v>
      </c>
      <c r="AH413">
        <v>0</v>
      </c>
      <c r="AI413" t="s">
        <v>433</v>
      </c>
      <c r="AJ413">
        <v>41.973072999999999</v>
      </c>
      <c r="AK413" t="s">
        <v>434</v>
      </c>
      <c r="AL413">
        <v>-87.896439999999998</v>
      </c>
      <c r="AS413">
        <v>1</v>
      </c>
      <c r="AT413" t="s">
        <v>118</v>
      </c>
      <c r="AU413" t="b">
        <v>1</v>
      </c>
      <c r="AV413">
        <v>236.25</v>
      </c>
      <c r="AW413">
        <v>13.625</v>
      </c>
      <c r="AX413">
        <v>1</v>
      </c>
      <c r="AZ413">
        <v>7205</v>
      </c>
      <c r="BA413">
        <v>1</v>
      </c>
      <c r="BB413" t="str">
        <f t="shared" si="20"/>
        <v xml:space="preserve">KAP400  </v>
      </c>
      <c r="BC413">
        <v>1</v>
      </c>
      <c r="BE413">
        <v>0</v>
      </c>
      <c r="BF413">
        <v>0</v>
      </c>
      <c r="BG413">
        <v>0</v>
      </c>
      <c r="BI413">
        <v>1</v>
      </c>
      <c r="BJ413">
        <v>1</v>
      </c>
      <c r="BK413">
        <v>1</v>
      </c>
      <c r="BL413">
        <v>0</v>
      </c>
      <c r="BO413">
        <v>0</v>
      </c>
      <c r="BP413">
        <v>0</v>
      </c>
      <c r="BW413" t="str">
        <f>"19:09:19.340"</f>
        <v>19:09:19.340</v>
      </c>
      <c r="BX413" t="s">
        <v>119</v>
      </c>
      <c r="BY413" t="s">
        <v>120</v>
      </c>
      <c r="CJ413">
        <v>0</v>
      </c>
      <c r="CK413">
        <v>0</v>
      </c>
      <c r="CL413">
        <v>0</v>
      </c>
      <c r="CM413">
        <v>2</v>
      </c>
      <c r="CN413">
        <v>0</v>
      </c>
      <c r="CO413">
        <v>7</v>
      </c>
      <c r="CP413" t="s">
        <v>121</v>
      </c>
      <c r="CQ413">
        <v>580</v>
      </c>
      <c r="CR413">
        <v>0</v>
      </c>
      <c r="CW413">
        <v>16709850</v>
      </c>
      <c r="CY413">
        <v>0</v>
      </c>
      <c r="CZ413">
        <v>0</v>
      </c>
      <c r="DA413">
        <v>0</v>
      </c>
      <c r="DB413">
        <v>1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</row>
    <row r="414" spans="1:113" x14ac:dyDescent="0.3">
      <c r="A414" t="str">
        <f>"06/16/2022 19:09:20.501"</f>
        <v>06/16/2022 19:09:20.501</v>
      </c>
      <c r="C414" t="str">
        <f t="shared" si="18"/>
        <v>FFBF5BC0</v>
      </c>
      <c r="D414" t="s">
        <v>113</v>
      </c>
      <c r="E414">
        <v>8</v>
      </c>
      <c r="H414">
        <v>206</v>
      </c>
      <c r="I414" t="s">
        <v>114</v>
      </c>
      <c r="J414" t="s">
        <v>115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>"19:09:20.297"</f>
        <v>19:09:20.297</v>
      </c>
      <c r="T414" t="str">
        <f>"19:09:20.297"</f>
        <v>19:09:20.297</v>
      </c>
      <c r="U414" t="str">
        <f t="shared" si="19"/>
        <v>AB63B2</v>
      </c>
      <c r="V414">
        <v>0</v>
      </c>
      <c r="W414">
        <v>0</v>
      </c>
      <c r="X414">
        <v>6</v>
      </c>
      <c r="Z414">
        <v>0</v>
      </c>
      <c r="AA414">
        <v>9</v>
      </c>
      <c r="AB414">
        <v>3</v>
      </c>
      <c r="AC414">
        <v>0</v>
      </c>
      <c r="AD414">
        <v>10</v>
      </c>
      <c r="AE414">
        <v>0</v>
      </c>
      <c r="AF414">
        <v>0</v>
      </c>
      <c r="AG414">
        <v>2</v>
      </c>
      <c r="AH414">
        <v>0</v>
      </c>
      <c r="AI414" t="s">
        <v>435</v>
      </c>
      <c r="AJ414">
        <v>41.973052000000003</v>
      </c>
      <c r="AK414" t="s">
        <v>436</v>
      </c>
      <c r="AL414">
        <v>-87.896525999999994</v>
      </c>
      <c r="AS414">
        <v>1</v>
      </c>
      <c r="AT414" t="s">
        <v>118</v>
      </c>
      <c r="AU414" t="b">
        <v>1</v>
      </c>
      <c r="AV414">
        <v>239.06</v>
      </c>
      <c r="AW414">
        <v>13.125</v>
      </c>
      <c r="AX414">
        <v>1</v>
      </c>
      <c r="AZ414">
        <v>7205</v>
      </c>
      <c r="BA414">
        <v>1</v>
      </c>
      <c r="BB414" t="str">
        <f t="shared" si="20"/>
        <v xml:space="preserve">KAP400  </v>
      </c>
      <c r="BC414">
        <v>1</v>
      </c>
      <c r="BE414">
        <v>0</v>
      </c>
      <c r="BF414">
        <v>0</v>
      </c>
      <c r="BG414">
        <v>0</v>
      </c>
      <c r="BI414">
        <v>1</v>
      </c>
      <c r="BJ414">
        <v>1</v>
      </c>
      <c r="BK414">
        <v>1</v>
      </c>
      <c r="BL414">
        <v>0</v>
      </c>
      <c r="BO414">
        <v>0</v>
      </c>
      <c r="BP414">
        <v>0</v>
      </c>
      <c r="BW414" t="str">
        <f>"19:09:20.300"</f>
        <v>19:09:20.300</v>
      </c>
      <c r="BX414" t="s">
        <v>119</v>
      </c>
      <c r="BY414" t="s">
        <v>120</v>
      </c>
      <c r="CJ414">
        <v>0</v>
      </c>
      <c r="CK414">
        <v>0</v>
      </c>
      <c r="CL414">
        <v>0</v>
      </c>
      <c r="CM414">
        <v>2</v>
      </c>
      <c r="CN414">
        <v>0</v>
      </c>
      <c r="CO414">
        <v>7</v>
      </c>
      <c r="CP414" t="s">
        <v>121</v>
      </c>
      <c r="CQ414">
        <v>580</v>
      </c>
      <c r="CR414">
        <v>0</v>
      </c>
      <c r="CW414">
        <v>16711656</v>
      </c>
      <c r="CY414">
        <v>0</v>
      </c>
      <c r="CZ414">
        <v>0</v>
      </c>
      <c r="DA414">
        <v>0</v>
      </c>
      <c r="DB414">
        <v>1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</row>
    <row r="415" spans="1:113" x14ac:dyDescent="0.3">
      <c r="A415" t="str">
        <f>"06/16/2022 19:09:21.627"</f>
        <v>06/16/2022 19:09:21.627</v>
      </c>
      <c r="C415" t="str">
        <f t="shared" si="18"/>
        <v>FFBF5BC0</v>
      </c>
      <c r="D415" t="s">
        <v>113</v>
      </c>
      <c r="E415">
        <v>8</v>
      </c>
      <c r="H415">
        <v>206</v>
      </c>
      <c r="I415" t="s">
        <v>114</v>
      </c>
      <c r="J415" t="s">
        <v>115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>"19:09:21.336"</f>
        <v>19:09:21.336</v>
      </c>
      <c r="T415" t="str">
        <f>"19:09:21.336"</f>
        <v>19:09:21.336</v>
      </c>
      <c r="U415" t="str">
        <f t="shared" si="19"/>
        <v>AB63B2</v>
      </c>
      <c r="V415">
        <v>0</v>
      </c>
      <c r="W415">
        <v>0</v>
      </c>
      <c r="X415">
        <v>6</v>
      </c>
      <c r="Z415">
        <v>0</v>
      </c>
      <c r="AA415">
        <v>9</v>
      </c>
      <c r="AB415">
        <v>3</v>
      </c>
      <c r="AC415">
        <v>0</v>
      </c>
      <c r="AD415">
        <v>10</v>
      </c>
      <c r="AE415">
        <v>0</v>
      </c>
      <c r="AF415">
        <v>0</v>
      </c>
      <c r="AG415">
        <v>2</v>
      </c>
      <c r="AH415">
        <v>0</v>
      </c>
      <c r="AI415" t="s">
        <v>437</v>
      </c>
      <c r="AJ415">
        <v>41.973008999999998</v>
      </c>
      <c r="AK415" t="s">
        <v>438</v>
      </c>
      <c r="AL415">
        <v>-87.896590000000003</v>
      </c>
      <c r="AS415">
        <v>1</v>
      </c>
      <c r="AT415" t="s">
        <v>118</v>
      </c>
      <c r="AU415" t="b">
        <v>1</v>
      </c>
      <c r="AV415">
        <v>239.06</v>
      </c>
      <c r="AW415">
        <v>13.125</v>
      </c>
      <c r="AX415">
        <v>1</v>
      </c>
      <c r="AZ415">
        <v>7205</v>
      </c>
      <c r="BA415">
        <v>1</v>
      </c>
      <c r="BB415" t="str">
        <f t="shared" si="20"/>
        <v xml:space="preserve">KAP400  </v>
      </c>
      <c r="BC415">
        <v>1</v>
      </c>
      <c r="BE415">
        <v>0</v>
      </c>
      <c r="BF415">
        <v>0</v>
      </c>
      <c r="BG415">
        <v>0</v>
      </c>
      <c r="BI415">
        <v>1</v>
      </c>
      <c r="BJ415">
        <v>1</v>
      </c>
      <c r="BK415">
        <v>1</v>
      </c>
      <c r="BL415">
        <v>0</v>
      </c>
      <c r="BO415">
        <v>0</v>
      </c>
      <c r="BP415">
        <v>0</v>
      </c>
      <c r="BW415" t="str">
        <f>"19:09:21.342"</f>
        <v>19:09:21.342</v>
      </c>
      <c r="BX415" t="s">
        <v>119</v>
      </c>
      <c r="BY415" t="s">
        <v>120</v>
      </c>
      <c r="CJ415">
        <v>0</v>
      </c>
      <c r="CK415">
        <v>0</v>
      </c>
      <c r="CL415">
        <v>0</v>
      </c>
      <c r="CM415">
        <v>2</v>
      </c>
      <c r="CN415">
        <v>0</v>
      </c>
      <c r="CO415">
        <v>7</v>
      </c>
      <c r="CP415" t="s">
        <v>121</v>
      </c>
      <c r="CQ415">
        <v>580</v>
      </c>
      <c r="CR415">
        <v>0</v>
      </c>
      <c r="CW415">
        <v>16713839</v>
      </c>
      <c r="CY415">
        <v>0</v>
      </c>
      <c r="CZ415">
        <v>0</v>
      </c>
      <c r="DA415">
        <v>0</v>
      </c>
      <c r="DB415">
        <v>1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</row>
    <row r="416" spans="1:113" x14ac:dyDescent="0.3">
      <c r="A416" t="str">
        <f>"06/16/2022 19:09:22.438"</f>
        <v>06/16/2022 19:09:22.438</v>
      </c>
      <c r="C416" t="str">
        <f t="shared" si="18"/>
        <v>FFBF5BC0</v>
      </c>
      <c r="D416" t="s">
        <v>113</v>
      </c>
      <c r="E416">
        <v>8</v>
      </c>
      <c r="H416">
        <v>206</v>
      </c>
      <c r="I416" t="s">
        <v>114</v>
      </c>
      <c r="J416" t="s">
        <v>115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>"19:09:22.250"</f>
        <v>19:09:22.250</v>
      </c>
      <c r="T416" t="str">
        <f>"19:09:22.250"</f>
        <v>19:09:22.250</v>
      </c>
      <c r="U416" t="str">
        <f t="shared" si="19"/>
        <v>AB63B2</v>
      </c>
      <c r="V416">
        <v>0</v>
      </c>
      <c r="W416">
        <v>0</v>
      </c>
      <c r="X416">
        <v>6</v>
      </c>
      <c r="Z416">
        <v>0</v>
      </c>
      <c r="AA416">
        <v>9</v>
      </c>
      <c r="AB416">
        <v>3</v>
      </c>
      <c r="AC416">
        <v>0</v>
      </c>
      <c r="AD416">
        <v>10</v>
      </c>
      <c r="AE416">
        <v>0</v>
      </c>
      <c r="AF416">
        <v>0</v>
      </c>
      <c r="AG416">
        <v>2</v>
      </c>
      <c r="AH416">
        <v>0</v>
      </c>
      <c r="AI416" t="s">
        <v>437</v>
      </c>
      <c r="AJ416">
        <v>41.973008999999998</v>
      </c>
      <c r="AK416" t="s">
        <v>439</v>
      </c>
      <c r="AL416">
        <v>-87.896654999999996</v>
      </c>
      <c r="AS416">
        <v>1</v>
      </c>
      <c r="AT416" t="s">
        <v>118</v>
      </c>
      <c r="AU416" t="b">
        <v>1</v>
      </c>
      <c r="AV416">
        <v>241.88</v>
      </c>
      <c r="AW416">
        <v>13.125</v>
      </c>
      <c r="AX416">
        <v>1</v>
      </c>
      <c r="AZ416">
        <v>7205</v>
      </c>
      <c r="BA416">
        <v>1</v>
      </c>
      <c r="BB416" t="str">
        <f t="shared" si="20"/>
        <v xml:space="preserve">KAP400  </v>
      </c>
      <c r="BC416">
        <v>1</v>
      </c>
      <c r="BE416">
        <v>0</v>
      </c>
      <c r="BF416">
        <v>0</v>
      </c>
      <c r="BG416">
        <v>0</v>
      </c>
      <c r="BI416">
        <v>1</v>
      </c>
      <c r="BJ416">
        <v>1</v>
      </c>
      <c r="BK416">
        <v>1</v>
      </c>
      <c r="BL416">
        <v>0</v>
      </c>
      <c r="BO416">
        <v>0</v>
      </c>
      <c r="BP416">
        <v>0</v>
      </c>
      <c r="BW416" t="str">
        <f>"19:09:22.258"</f>
        <v>19:09:22.258</v>
      </c>
      <c r="BX416" t="s">
        <v>119</v>
      </c>
      <c r="BY416" t="s">
        <v>120</v>
      </c>
      <c r="CJ416">
        <v>0</v>
      </c>
      <c r="CK416">
        <v>0</v>
      </c>
      <c r="CL416">
        <v>0</v>
      </c>
      <c r="CM416">
        <v>2</v>
      </c>
      <c r="CN416">
        <v>0</v>
      </c>
      <c r="CO416">
        <v>7</v>
      </c>
      <c r="CP416" t="s">
        <v>121</v>
      </c>
      <c r="CQ416">
        <v>580</v>
      </c>
      <c r="CR416">
        <v>0</v>
      </c>
      <c r="CW416">
        <v>16715666</v>
      </c>
      <c r="CY416">
        <v>0</v>
      </c>
      <c r="CZ416">
        <v>0</v>
      </c>
      <c r="DA416">
        <v>0</v>
      </c>
      <c r="DB416">
        <v>1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</row>
    <row r="417" spans="1:113" x14ac:dyDescent="0.3">
      <c r="A417" t="str">
        <f>"06/16/2022 19:09:23.548"</f>
        <v>06/16/2022 19:09:23.548</v>
      </c>
      <c r="C417" t="str">
        <f t="shared" si="18"/>
        <v>FFBF5BC0</v>
      </c>
      <c r="D417" t="s">
        <v>113</v>
      </c>
      <c r="E417">
        <v>8</v>
      </c>
      <c r="H417">
        <v>206</v>
      </c>
      <c r="I417" t="s">
        <v>114</v>
      </c>
      <c r="J417" t="s">
        <v>115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>"19:09:23.219"</f>
        <v>19:09:23.219</v>
      </c>
      <c r="T417" t="str">
        <f>"19:09:23.219"</f>
        <v>19:09:23.219</v>
      </c>
      <c r="U417" t="str">
        <f t="shared" si="19"/>
        <v>AB63B2</v>
      </c>
      <c r="V417">
        <v>0</v>
      </c>
      <c r="W417">
        <v>0</v>
      </c>
      <c r="X417">
        <v>6</v>
      </c>
      <c r="Z417">
        <v>0</v>
      </c>
      <c r="AA417">
        <v>9</v>
      </c>
      <c r="AB417">
        <v>3</v>
      </c>
      <c r="AC417">
        <v>0</v>
      </c>
      <c r="AD417">
        <v>10</v>
      </c>
      <c r="AE417">
        <v>0</v>
      </c>
      <c r="AF417">
        <v>0</v>
      </c>
      <c r="AG417">
        <v>2</v>
      </c>
      <c r="AH417">
        <v>0</v>
      </c>
      <c r="AI417" t="s">
        <v>440</v>
      </c>
      <c r="AJ417">
        <v>41.972966</v>
      </c>
      <c r="AK417" t="s">
        <v>441</v>
      </c>
      <c r="AL417">
        <v>-87.896719000000004</v>
      </c>
      <c r="AS417">
        <v>1</v>
      </c>
      <c r="AT417" t="s">
        <v>118</v>
      </c>
      <c r="AU417" t="b">
        <v>1</v>
      </c>
      <c r="AV417">
        <v>239.06</v>
      </c>
      <c r="AW417">
        <v>12.625</v>
      </c>
      <c r="AX417">
        <v>1</v>
      </c>
      <c r="AZ417">
        <v>7205</v>
      </c>
      <c r="BA417">
        <v>1</v>
      </c>
      <c r="BB417" t="str">
        <f t="shared" si="20"/>
        <v xml:space="preserve">KAP400  </v>
      </c>
      <c r="BC417">
        <v>1</v>
      </c>
      <c r="BE417">
        <v>0</v>
      </c>
      <c r="BF417">
        <v>0</v>
      </c>
      <c r="BG417">
        <v>0</v>
      </c>
      <c r="BI417">
        <v>1</v>
      </c>
      <c r="BJ417">
        <v>1</v>
      </c>
      <c r="BK417">
        <v>1</v>
      </c>
      <c r="BL417">
        <v>0</v>
      </c>
      <c r="BO417">
        <v>0</v>
      </c>
      <c r="BP417">
        <v>0</v>
      </c>
      <c r="BW417" t="str">
        <f>"19:09:23.223"</f>
        <v>19:09:23.223</v>
      </c>
      <c r="BX417" t="s">
        <v>119</v>
      </c>
      <c r="BY417" t="s">
        <v>120</v>
      </c>
      <c r="CJ417">
        <v>0</v>
      </c>
      <c r="CK417">
        <v>0</v>
      </c>
      <c r="CL417">
        <v>0</v>
      </c>
      <c r="CM417">
        <v>2</v>
      </c>
      <c r="CN417">
        <v>0</v>
      </c>
      <c r="CO417">
        <v>7</v>
      </c>
      <c r="CP417" t="s">
        <v>121</v>
      </c>
      <c r="CQ417">
        <v>580</v>
      </c>
      <c r="CR417">
        <v>0</v>
      </c>
      <c r="CW417">
        <v>16717469</v>
      </c>
      <c r="CY417">
        <v>0</v>
      </c>
      <c r="CZ417">
        <v>0</v>
      </c>
      <c r="DA417">
        <v>0</v>
      </c>
      <c r="DB417">
        <v>1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</row>
    <row r="418" spans="1:113" x14ac:dyDescent="0.3">
      <c r="A418" t="str">
        <f>"06/16/2022 19:09:24.579"</f>
        <v>06/16/2022 19:09:24.579</v>
      </c>
      <c r="C418" t="str">
        <f t="shared" si="18"/>
        <v>FFBF5BC0</v>
      </c>
      <c r="D418" t="s">
        <v>113</v>
      </c>
      <c r="E418">
        <v>8</v>
      </c>
      <c r="H418">
        <v>206</v>
      </c>
      <c r="I418" t="s">
        <v>114</v>
      </c>
      <c r="J418" t="s">
        <v>115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>"19:09:24.281"</f>
        <v>19:09:24.281</v>
      </c>
      <c r="T418" t="str">
        <f>"19:09:24.281"</f>
        <v>19:09:24.281</v>
      </c>
      <c r="U418" t="str">
        <f t="shared" si="19"/>
        <v>AB63B2</v>
      </c>
      <c r="V418">
        <v>0</v>
      </c>
      <c r="W418">
        <v>0</v>
      </c>
      <c r="X418">
        <v>6</v>
      </c>
      <c r="Z418">
        <v>0</v>
      </c>
      <c r="AA418">
        <v>9</v>
      </c>
      <c r="AB418">
        <v>3</v>
      </c>
      <c r="AC418">
        <v>0</v>
      </c>
      <c r="AD418">
        <v>10</v>
      </c>
      <c r="AE418">
        <v>0</v>
      </c>
      <c r="AF418">
        <v>0</v>
      </c>
      <c r="AG418">
        <v>2</v>
      </c>
      <c r="AH418">
        <v>0</v>
      </c>
      <c r="AI418" t="s">
        <v>442</v>
      </c>
      <c r="AJ418">
        <v>41.972945000000003</v>
      </c>
      <c r="AK418" t="s">
        <v>443</v>
      </c>
      <c r="AL418">
        <v>-87.896782999999999</v>
      </c>
      <c r="AS418">
        <v>1</v>
      </c>
      <c r="AT418" t="s">
        <v>118</v>
      </c>
      <c r="AU418" t="b">
        <v>1</v>
      </c>
      <c r="AV418">
        <v>239.06</v>
      </c>
      <c r="AW418">
        <v>12.625</v>
      </c>
      <c r="AX418">
        <v>1</v>
      </c>
      <c r="AZ418">
        <v>7205</v>
      </c>
      <c r="BA418">
        <v>1</v>
      </c>
      <c r="BB418" t="str">
        <f t="shared" si="20"/>
        <v xml:space="preserve">KAP400  </v>
      </c>
      <c r="BC418">
        <v>1</v>
      </c>
      <c r="BE418">
        <v>0</v>
      </c>
      <c r="BF418">
        <v>0</v>
      </c>
      <c r="BG418">
        <v>0</v>
      </c>
      <c r="BI418">
        <v>1</v>
      </c>
      <c r="BJ418">
        <v>1</v>
      </c>
      <c r="BK418">
        <v>1</v>
      </c>
      <c r="BL418">
        <v>0</v>
      </c>
      <c r="BO418">
        <v>0</v>
      </c>
      <c r="BP418">
        <v>0</v>
      </c>
      <c r="BW418" t="str">
        <f>"19:09:24.286"</f>
        <v>19:09:24.286</v>
      </c>
      <c r="BX418" t="s">
        <v>119</v>
      </c>
      <c r="BY418" t="s">
        <v>120</v>
      </c>
      <c r="CJ418">
        <v>0</v>
      </c>
      <c r="CK418">
        <v>0</v>
      </c>
      <c r="CL418">
        <v>0</v>
      </c>
      <c r="CM418">
        <v>2</v>
      </c>
      <c r="CN418">
        <v>0</v>
      </c>
      <c r="CO418">
        <v>7</v>
      </c>
      <c r="CP418" t="s">
        <v>121</v>
      </c>
      <c r="CQ418">
        <v>580</v>
      </c>
      <c r="CR418">
        <v>0</v>
      </c>
      <c r="CW418">
        <v>16719526</v>
      </c>
      <c r="CY418">
        <v>0</v>
      </c>
      <c r="CZ418">
        <v>0</v>
      </c>
      <c r="DA418">
        <v>0</v>
      </c>
      <c r="DB418">
        <v>1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</row>
    <row r="419" spans="1:113" x14ac:dyDescent="0.3">
      <c r="A419" t="str">
        <f>"06/16/2022 19:09:25.517"</f>
        <v>06/16/2022 19:09:25.517</v>
      </c>
      <c r="C419" t="str">
        <f t="shared" si="18"/>
        <v>FFBF5BC0</v>
      </c>
      <c r="D419" t="s">
        <v>113</v>
      </c>
      <c r="E419">
        <v>8</v>
      </c>
      <c r="H419">
        <v>206</v>
      </c>
      <c r="I419" t="s">
        <v>114</v>
      </c>
      <c r="J419" t="s">
        <v>115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>"19:09:25.266"</f>
        <v>19:09:25.266</v>
      </c>
      <c r="T419" t="str">
        <f>"19:09:25.266"</f>
        <v>19:09:25.266</v>
      </c>
      <c r="U419" t="str">
        <f t="shared" si="19"/>
        <v>AB63B2</v>
      </c>
      <c r="V419">
        <v>0</v>
      </c>
      <c r="W419">
        <v>0</v>
      </c>
      <c r="X419">
        <v>6</v>
      </c>
      <c r="Z419">
        <v>0</v>
      </c>
      <c r="AA419">
        <v>9</v>
      </c>
      <c r="AB419">
        <v>3</v>
      </c>
      <c r="AC419">
        <v>0</v>
      </c>
      <c r="AD419">
        <v>10</v>
      </c>
      <c r="AE419">
        <v>0</v>
      </c>
      <c r="AF419">
        <v>0</v>
      </c>
      <c r="AG419">
        <v>2</v>
      </c>
      <c r="AH419">
        <v>0</v>
      </c>
      <c r="AI419" t="s">
        <v>444</v>
      </c>
      <c r="AJ419">
        <v>41.972901999999998</v>
      </c>
      <c r="AK419" t="s">
        <v>445</v>
      </c>
      <c r="AL419">
        <v>-87.896868999999995</v>
      </c>
      <c r="AS419">
        <v>1</v>
      </c>
      <c r="AT419" t="s">
        <v>118</v>
      </c>
      <c r="AU419" t="b">
        <v>1</v>
      </c>
      <c r="AV419">
        <v>239.06</v>
      </c>
      <c r="AW419">
        <v>12.625</v>
      </c>
      <c r="AX419">
        <v>1</v>
      </c>
      <c r="AZ419">
        <v>7205</v>
      </c>
      <c r="BA419">
        <v>1</v>
      </c>
      <c r="BB419" t="str">
        <f t="shared" si="20"/>
        <v xml:space="preserve">KAP400  </v>
      </c>
      <c r="BC419">
        <v>1</v>
      </c>
      <c r="BE419">
        <v>0</v>
      </c>
      <c r="BF419">
        <v>0</v>
      </c>
      <c r="BG419">
        <v>0</v>
      </c>
      <c r="BI419">
        <v>1</v>
      </c>
      <c r="BJ419">
        <v>1</v>
      </c>
      <c r="BK419">
        <v>1</v>
      </c>
      <c r="BL419">
        <v>0</v>
      </c>
      <c r="BO419">
        <v>0</v>
      </c>
      <c r="BP419">
        <v>0</v>
      </c>
      <c r="BW419" t="str">
        <f>"19:09:25.267"</f>
        <v>19:09:25.267</v>
      </c>
      <c r="BX419" t="s">
        <v>119</v>
      </c>
      <c r="BY419" t="s">
        <v>120</v>
      </c>
      <c r="CJ419">
        <v>0</v>
      </c>
      <c r="CK419">
        <v>0</v>
      </c>
      <c r="CL419">
        <v>0</v>
      </c>
      <c r="CM419">
        <v>2</v>
      </c>
      <c r="CN419">
        <v>0</v>
      </c>
      <c r="CO419">
        <v>7</v>
      </c>
      <c r="CP419" t="s">
        <v>121</v>
      </c>
      <c r="CQ419">
        <v>580</v>
      </c>
      <c r="CR419">
        <v>0</v>
      </c>
      <c r="CW419">
        <v>16721338</v>
      </c>
      <c r="CY419">
        <v>0</v>
      </c>
      <c r="CZ419">
        <v>0</v>
      </c>
      <c r="DA419">
        <v>0</v>
      </c>
      <c r="DB419">
        <v>1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</row>
    <row r="420" spans="1:113" x14ac:dyDescent="0.3">
      <c r="A420" t="str">
        <f>"06/16/2022 19:09:26.596"</f>
        <v>06/16/2022 19:09:26.596</v>
      </c>
      <c r="C420" t="str">
        <f t="shared" si="18"/>
        <v>FFBF5BC0</v>
      </c>
      <c r="D420" t="s">
        <v>113</v>
      </c>
      <c r="E420">
        <v>8</v>
      </c>
      <c r="H420">
        <v>206</v>
      </c>
      <c r="I420" t="s">
        <v>114</v>
      </c>
      <c r="J420" t="s">
        <v>115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>"19:09:26.344"</f>
        <v>19:09:26.344</v>
      </c>
      <c r="T420" t="str">
        <f>"19:09:26.344"</f>
        <v>19:09:26.344</v>
      </c>
      <c r="U420" t="str">
        <f t="shared" si="19"/>
        <v>AB63B2</v>
      </c>
      <c r="V420">
        <v>0</v>
      </c>
      <c r="W420">
        <v>0</v>
      </c>
      <c r="X420">
        <v>6</v>
      </c>
      <c r="Z420">
        <v>0</v>
      </c>
      <c r="AA420">
        <v>9</v>
      </c>
      <c r="AB420">
        <v>3</v>
      </c>
      <c r="AC420">
        <v>0</v>
      </c>
      <c r="AD420">
        <v>10</v>
      </c>
      <c r="AE420">
        <v>0</v>
      </c>
      <c r="AF420">
        <v>0</v>
      </c>
      <c r="AG420">
        <v>2</v>
      </c>
      <c r="AH420">
        <v>0</v>
      </c>
      <c r="AI420" t="s">
        <v>446</v>
      </c>
      <c r="AJ420">
        <v>41.972880000000004</v>
      </c>
      <c r="AK420" t="s">
        <v>447</v>
      </c>
      <c r="AL420">
        <v>-87.896934000000002</v>
      </c>
      <c r="AS420">
        <v>1</v>
      </c>
      <c r="AT420" t="s">
        <v>118</v>
      </c>
      <c r="AU420" t="b">
        <v>1</v>
      </c>
      <c r="AV420">
        <v>241.88</v>
      </c>
      <c r="AW420">
        <v>13.125</v>
      </c>
      <c r="AX420">
        <v>1</v>
      </c>
      <c r="AZ420">
        <v>7205</v>
      </c>
      <c r="BA420">
        <v>1</v>
      </c>
      <c r="BB420" t="str">
        <f t="shared" si="20"/>
        <v xml:space="preserve">KAP400  </v>
      </c>
      <c r="BC420">
        <v>1</v>
      </c>
      <c r="BE420">
        <v>0</v>
      </c>
      <c r="BF420">
        <v>0</v>
      </c>
      <c r="BG420">
        <v>0</v>
      </c>
      <c r="BI420">
        <v>1</v>
      </c>
      <c r="BJ420">
        <v>1</v>
      </c>
      <c r="BK420">
        <v>1</v>
      </c>
      <c r="BL420">
        <v>0</v>
      </c>
      <c r="BO420">
        <v>0</v>
      </c>
      <c r="BP420">
        <v>0</v>
      </c>
      <c r="BW420" t="str">
        <f>"19:09:26.344"</f>
        <v>19:09:26.344</v>
      </c>
      <c r="BX420" t="s">
        <v>119</v>
      </c>
      <c r="BY420" t="s">
        <v>120</v>
      </c>
      <c r="CJ420">
        <v>0</v>
      </c>
      <c r="CK420">
        <v>0</v>
      </c>
      <c r="CL420">
        <v>0</v>
      </c>
      <c r="CM420">
        <v>2</v>
      </c>
      <c r="CN420">
        <v>0</v>
      </c>
      <c r="CO420">
        <v>7</v>
      </c>
      <c r="CP420" t="s">
        <v>121</v>
      </c>
      <c r="CQ420">
        <v>580</v>
      </c>
      <c r="CR420">
        <v>0</v>
      </c>
      <c r="CW420">
        <v>16723607</v>
      </c>
      <c r="CY420">
        <v>0</v>
      </c>
      <c r="CZ420">
        <v>0</v>
      </c>
      <c r="DA420">
        <v>0</v>
      </c>
      <c r="DB420">
        <v>1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</row>
    <row r="421" spans="1:113" x14ac:dyDescent="0.3">
      <c r="A421" t="str">
        <f>"06/16/2022 19:09:27.485"</f>
        <v>06/16/2022 19:09:27.485</v>
      </c>
      <c r="C421" t="str">
        <f t="shared" si="18"/>
        <v>FFBF5BC0</v>
      </c>
      <c r="D421" t="s">
        <v>113</v>
      </c>
      <c r="E421">
        <v>8</v>
      </c>
      <c r="H421">
        <v>206</v>
      </c>
      <c r="I421" t="s">
        <v>114</v>
      </c>
      <c r="J421" t="s">
        <v>115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>"19:09:27.305"</f>
        <v>19:09:27.305</v>
      </c>
      <c r="T421" t="str">
        <f>"19:09:27.305"</f>
        <v>19:09:27.305</v>
      </c>
      <c r="U421" t="str">
        <f t="shared" si="19"/>
        <v>AB63B2</v>
      </c>
      <c r="V421">
        <v>0</v>
      </c>
      <c r="W421">
        <v>0</v>
      </c>
      <c r="X421">
        <v>6</v>
      </c>
      <c r="Z421">
        <v>0</v>
      </c>
      <c r="AA421">
        <v>9</v>
      </c>
      <c r="AB421">
        <v>3</v>
      </c>
      <c r="AC421">
        <v>0</v>
      </c>
      <c r="AD421">
        <v>10</v>
      </c>
      <c r="AE421">
        <v>0</v>
      </c>
      <c r="AF421">
        <v>0</v>
      </c>
      <c r="AG421">
        <v>2</v>
      </c>
      <c r="AH421">
        <v>0</v>
      </c>
      <c r="AI421" t="s">
        <v>448</v>
      </c>
      <c r="AJ421">
        <v>41.972859</v>
      </c>
      <c r="AK421" t="s">
        <v>449</v>
      </c>
      <c r="AL421">
        <v>-87.896997999999996</v>
      </c>
      <c r="AS421">
        <v>1</v>
      </c>
      <c r="AT421" t="s">
        <v>118</v>
      </c>
      <c r="AU421" t="b">
        <v>1</v>
      </c>
      <c r="AV421">
        <v>241.88</v>
      </c>
      <c r="AW421">
        <v>13.125</v>
      </c>
      <c r="AX421">
        <v>1</v>
      </c>
      <c r="AZ421">
        <v>7205</v>
      </c>
      <c r="BA421">
        <v>1</v>
      </c>
      <c r="BB421" t="str">
        <f t="shared" si="20"/>
        <v xml:space="preserve">KAP400  </v>
      </c>
      <c r="BC421">
        <v>1</v>
      </c>
      <c r="BE421">
        <v>0</v>
      </c>
      <c r="BF421">
        <v>0</v>
      </c>
      <c r="BG421">
        <v>0</v>
      </c>
      <c r="BI421">
        <v>1</v>
      </c>
      <c r="BJ421">
        <v>1</v>
      </c>
      <c r="BK421">
        <v>1</v>
      </c>
      <c r="BL421">
        <v>0</v>
      </c>
      <c r="BO421">
        <v>0</v>
      </c>
      <c r="BP421">
        <v>0</v>
      </c>
      <c r="BW421" t="str">
        <f>"19:09:27.306"</f>
        <v>19:09:27.306</v>
      </c>
      <c r="BX421" t="s">
        <v>119</v>
      </c>
      <c r="BY421" t="s">
        <v>120</v>
      </c>
      <c r="CJ421">
        <v>0</v>
      </c>
      <c r="CK421">
        <v>0</v>
      </c>
      <c r="CL421">
        <v>0</v>
      </c>
      <c r="CM421">
        <v>2</v>
      </c>
      <c r="CN421">
        <v>0</v>
      </c>
      <c r="CO421">
        <v>7</v>
      </c>
      <c r="CP421" t="s">
        <v>121</v>
      </c>
      <c r="CQ421">
        <v>580</v>
      </c>
      <c r="CR421">
        <v>0</v>
      </c>
      <c r="CW421">
        <v>16725390</v>
      </c>
      <c r="CY421">
        <v>0</v>
      </c>
      <c r="CZ421">
        <v>0</v>
      </c>
      <c r="DA421">
        <v>0</v>
      </c>
      <c r="DB421">
        <v>1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</row>
    <row r="422" spans="1:113" x14ac:dyDescent="0.3">
      <c r="A422" t="str">
        <f>"06/16/2022 19:09:28.485"</f>
        <v>06/16/2022 19:09:28.485</v>
      </c>
      <c r="C422" t="str">
        <f t="shared" si="18"/>
        <v>FFBF5BC0</v>
      </c>
      <c r="D422" t="s">
        <v>113</v>
      </c>
      <c r="E422">
        <v>8</v>
      </c>
      <c r="H422">
        <v>206</v>
      </c>
      <c r="I422" t="s">
        <v>114</v>
      </c>
      <c r="J422" t="s">
        <v>115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>"19:09:28.227"</f>
        <v>19:09:28.227</v>
      </c>
      <c r="T422" t="str">
        <f>"19:09:28.227"</f>
        <v>19:09:28.227</v>
      </c>
      <c r="U422" t="str">
        <f t="shared" si="19"/>
        <v>AB63B2</v>
      </c>
      <c r="V422">
        <v>0</v>
      </c>
      <c r="W422">
        <v>0</v>
      </c>
      <c r="X422">
        <v>6</v>
      </c>
      <c r="Z422">
        <v>0</v>
      </c>
      <c r="AA422">
        <v>9</v>
      </c>
      <c r="AB422">
        <v>3</v>
      </c>
      <c r="AC422">
        <v>0</v>
      </c>
      <c r="AD422">
        <v>10</v>
      </c>
      <c r="AE422">
        <v>0</v>
      </c>
      <c r="AF422">
        <v>0</v>
      </c>
      <c r="AG422">
        <v>2</v>
      </c>
      <c r="AH422">
        <v>0</v>
      </c>
      <c r="AI422" t="s">
        <v>450</v>
      </c>
      <c r="AJ422">
        <v>41.972816000000002</v>
      </c>
      <c r="AK422" t="s">
        <v>451</v>
      </c>
      <c r="AL422">
        <v>-87.897062000000005</v>
      </c>
      <c r="AS422">
        <v>1</v>
      </c>
      <c r="AT422" t="s">
        <v>118</v>
      </c>
      <c r="AU422" t="b">
        <v>1</v>
      </c>
      <c r="AV422">
        <v>241.88</v>
      </c>
      <c r="AW422">
        <v>13.125</v>
      </c>
      <c r="AX422">
        <v>1</v>
      </c>
      <c r="AZ422">
        <v>7205</v>
      </c>
      <c r="BA422">
        <v>1</v>
      </c>
      <c r="BB422" t="str">
        <f t="shared" si="20"/>
        <v xml:space="preserve">KAP400  </v>
      </c>
      <c r="BC422">
        <v>1</v>
      </c>
      <c r="BE422">
        <v>0</v>
      </c>
      <c r="BF422">
        <v>0</v>
      </c>
      <c r="BG422">
        <v>0</v>
      </c>
      <c r="BI422">
        <v>1</v>
      </c>
      <c r="BJ422">
        <v>1</v>
      </c>
      <c r="BK422">
        <v>1</v>
      </c>
      <c r="BL422">
        <v>0</v>
      </c>
      <c r="BO422">
        <v>0</v>
      </c>
      <c r="BP422">
        <v>0</v>
      </c>
      <c r="BW422" t="str">
        <f>"19:09:28.230"</f>
        <v>19:09:28.230</v>
      </c>
      <c r="BX422" t="s">
        <v>119</v>
      </c>
      <c r="BY422" t="s">
        <v>120</v>
      </c>
      <c r="CJ422">
        <v>0</v>
      </c>
      <c r="CK422">
        <v>0</v>
      </c>
      <c r="CL422">
        <v>0</v>
      </c>
      <c r="CM422">
        <v>2</v>
      </c>
      <c r="CN422">
        <v>0</v>
      </c>
      <c r="CO422">
        <v>7</v>
      </c>
      <c r="CP422" t="s">
        <v>121</v>
      </c>
      <c r="CQ422">
        <v>580</v>
      </c>
      <c r="CR422">
        <v>0</v>
      </c>
      <c r="CW422">
        <v>16727088</v>
      </c>
      <c r="CY422">
        <v>0</v>
      </c>
      <c r="CZ422">
        <v>0</v>
      </c>
      <c r="DA422">
        <v>0</v>
      </c>
      <c r="DB422">
        <v>1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</row>
    <row r="423" spans="1:113" x14ac:dyDescent="0.3">
      <c r="A423" t="str">
        <f>"06/16/2022 19:09:29.486"</f>
        <v>06/16/2022 19:09:29.486</v>
      </c>
      <c r="C423" t="str">
        <f t="shared" si="18"/>
        <v>FFBF5BC0</v>
      </c>
      <c r="D423" t="s">
        <v>113</v>
      </c>
      <c r="E423">
        <v>8</v>
      </c>
      <c r="H423">
        <v>206</v>
      </c>
      <c r="I423" t="s">
        <v>114</v>
      </c>
      <c r="J423" t="s">
        <v>115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>"19:09:29.273"</f>
        <v>19:09:29.273</v>
      </c>
      <c r="T423" t="str">
        <f>"19:09:29.273"</f>
        <v>19:09:29.273</v>
      </c>
      <c r="U423" t="str">
        <f t="shared" si="19"/>
        <v>AB63B2</v>
      </c>
      <c r="V423">
        <v>0</v>
      </c>
      <c r="W423">
        <v>0</v>
      </c>
      <c r="X423">
        <v>6</v>
      </c>
      <c r="Z423">
        <v>0</v>
      </c>
      <c r="AA423">
        <v>9</v>
      </c>
      <c r="AB423">
        <v>3</v>
      </c>
      <c r="AC423">
        <v>0</v>
      </c>
      <c r="AD423">
        <v>10</v>
      </c>
      <c r="AE423">
        <v>0</v>
      </c>
      <c r="AF423">
        <v>0</v>
      </c>
      <c r="AG423">
        <v>2</v>
      </c>
      <c r="AH423">
        <v>0</v>
      </c>
      <c r="AI423" t="s">
        <v>452</v>
      </c>
      <c r="AJ423">
        <v>41.972794999999998</v>
      </c>
      <c r="AK423" t="s">
        <v>453</v>
      </c>
      <c r="AL423">
        <v>-87.897126999999998</v>
      </c>
      <c r="AS423">
        <v>1</v>
      </c>
      <c r="AT423" t="s">
        <v>118</v>
      </c>
      <c r="AU423" t="b">
        <v>1</v>
      </c>
      <c r="AV423">
        <v>241.88</v>
      </c>
      <c r="AW423">
        <v>13.125</v>
      </c>
      <c r="AX423">
        <v>1</v>
      </c>
      <c r="AZ423">
        <v>7205</v>
      </c>
      <c r="BA423">
        <v>1</v>
      </c>
      <c r="BB423" t="str">
        <f t="shared" si="20"/>
        <v xml:space="preserve">KAP400  </v>
      </c>
      <c r="BC423">
        <v>1</v>
      </c>
      <c r="BE423">
        <v>0</v>
      </c>
      <c r="BF423">
        <v>0</v>
      </c>
      <c r="BG423">
        <v>0</v>
      </c>
      <c r="BI423">
        <v>1</v>
      </c>
      <c r="BJ423">
        <v>1</v>
      </c>
      <c r="BK423">
        <v>1</v>
      </c>
      <c r="BL423">
        <v>0</v>
      </c>
      <c r="BO423">
        <v>0</v>
      </c>
      <c r="BP423">
        <v>0</v>
      </c>
      <c r="BW423" t="str">
        <f>"19:09:29.275"</f>
        <v>19:09:29.275</v>
      </c>
      <c r="BX423" t="s">
        <v>119</v>
      </c>
      <c r="BY423" t="s">
        <v>120</v>
      </c>
      <c r="CJ423">
        <v>0</v>
      </c>
      <c r="CK423">
        <v>0</v>
      </c>
      <c r="CL423">
        <v>0</v>
      </c>
      <c r="CM423">
        <v>2</v>
      </c>
      <c r="CN423">
        <v>0</v>
      </c>
      <c r="CO423">
        <v>7</v>
      </c>
      <c r="CP423" t="s">
        <v>121</v>
      </c>
      <c r="CQ423">
        <v>580</v>
      </c>
      <c r="CR423">
        <v>0</v>
      </c>
      <c r="CW423">
        <v>16728949</v>
      </c>
      <c r="CY423">
        <v>0</v>
      </c>
      <c r="CZ423">
        <v>0</v>
      </c>
      <c r="DA423">
        <v>0</v>
      </c>
      <c r="DB423">
        <v>1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</row>
    <row r="424" spans="1:113" x14ac:dyDescent="0.3">
      <c r="A424" t="str">
        <f>"06/16/2022 19:09:30.642"</f>
        <v>06/16/2022 19:09:30.642</v>
      </c>
      <c r="C424" t="str">
        <f t="shared" si="18"/>
        <v>FFBF5BC0</v>
      </c>
      <c r="D424" t="s">
        <v>113</v>
      </c>
      <c r="E424">
        <v>8</v>
      </c>
      <c r="H424">
        <v>206</v>
      </c>
      <c r="I424" t="s">
        <v>114</v>
      </c>
      <c r="J424" t="s">
        <v>115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>"19:09:30.430"</f>
        <v>19:09:30.430</v>
      </c>
      <c r="T424" t="str">
        <f>"19:09:30.430"</f>
        <v>19:09:30.430</v>
      </c>
      <c r="U424" t="str">
        <f t="shared" si="19"/>
        <v>AB63B2</v>
      </c>
      <c r="V424">
        <v>0</v>
      </c>
      <c r="W424">
        <v>0</v>
      </c>
      <c r="X424">
        <v>6</v>
      </c>
      <c r="Z424">
        <v>0</v>
      </c>
      <c r="AA424">
        <v>9</v>
      </c>
      <c r="AB424">
        <v>3</v>
      </c>
      <c r="AC424">
        <v>0</v>
      </c>
      <c r="AD424">
        <v>10</v>
      </c>
      <c r="AE424">
        <v>0</v>
      </c>
      <c r="AF424">
        <v>0</v>
      </c>
      <c r="AG424">
        <v>2</v>
      </c>
      <c r="AH424">
        <v>0</v>
      </c>
      <c r="AI424" t="s">
        <v>454</v>
      </c>
      <c r="AJ424">
        <v>41.972772999999997</v>
      </c>
      <c r="AK424" t="s">
        <v>455</v>
      </c>
      <c r="AL424">
        <v>-87.897212999999994</v>
      </c>
      <c r="AS424">
        <v>1</v>
      </c>
      <c r="AT424" t="s">
        <v>118</v>
      </c>
      <c r="AU424" t="b">
        <v>1</v>
      </c>
      <c r="AV424">
        <v>241.88</v>
      </c>
      <c r="AW424">
        <v>13.125</v>
      </c>
      <c r="AX424">
        <v>1</v>
      </c>
      <c r="AZ424">
        <v>7205</v>
      </c>
      <c r="BA424">
        <v>1</v>
      </c>
      <c r="BB424" t="str">
        <f t="shared" si="20"/>
        <v xml:space="preserve">KAP400  </v>
      </c>
      <c r="BC424">
        <v>1</v>
      </c>
      <c r="BE424">
        <v>0</v>
      </c>
      <c r="BF424">
        <v>0</v>
      </c>
      <c r="BG424">
        <v>0</v>
      </c>
      <c r="BI424">
        <v>1</v>
      </c>
      <c r="BJ424">
        <v>1</v>
      </c>
      <c r="BK424">
        <v>1</v>
      </c>
      <c r="BL424">
        <v>0</v>
      </c>
      <c r="BO424">
        <v>0</v>
      </c>
      <c r="BP424">
        <v>0</v>
      </c>
      <c r="BW424" t="str">
        <f>"19:09:30.437"</f>
        <v>19:09:30.437</v>
      </c>
      <c r="BX424" t="s">
        <v>119</v>
      </c>
      <c r="BY424" t="s">
        <v>120</v>
      </c>
      <c r="CJ424">
        <v>0</v>
      </c>
      <c r="CK424">
        <v>0</v>
      </c>
      <c r="CL424">
        <v>0</v>
      </c>
      <c r="CM424">
        <v>2</v>
      </c>
      <c r="CN424">
        <v>0</v>
      </c>
      <c r="CO424">
        <v>7</v>
      </c>
      <c r="CP424" t="s">
        <v>121</v>
      </c>
      <c r="CQ424">
        <v>580</v>
      </c>
      <c r="CR424">
        <v>0</v>
      </c>
      <c r="CW424">
        <v>16731205</v>
      </c>
      <c r="CY424">
        <v>0</v>
      </c>
      <c r="CZ424">
        <v>0</v>
      </c>
      <c r="DA424">
        <v>0</v>
      </c>
      <c r="DB424">
        <v>1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</row>
    <row r="425" spans="1:113" x14ac:dyDescent="0.3">
      <c r="A425" t="str">
        <f>"06/16/2022 19:09:31.907"</f>
        <v>06/16/2022 19:09:31.907</v>
      </c>
      <c r="C425" t="str">
        <f t="shared" si="18"/>
        <v>FFBF5BC0</v>
      </c>
      <c r="D425" t="s">
        <v>113</v>
      </c>
      <c r="E425">
        <v>8</v>
      </c>
      <c r="H425">
        <v>206</v>
      </c>
      <c r="I425" t="s">
        <v>114</v>
      </c>
      <c r="J425" t="s">
        <v>115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>"19:09:31.531"</f>
        <v>19:09:31.531</v>
      </c>
      <c r="T425" t="str">
        <f>"19:09:31.531"</f>
        <v>19:09:31.531</v>
      </c>
      <c r="U425" t="str">
        <f t="shared" si="19"/>
        <v>AB63B2</v>
      </c>
      <c r="V425">
        <v>0</v>
      </c>
      <c r="W425">
        <v>0</v>
      </c>
      <c r="X425">
        <v>6</v>
      </c>
      <c r="Z425">
        <v>0</v>
      </c>
      <c r="AA425">
        <v>9</v>
      </c>
      <c r="AB425">
        <v>3</v>
      </c>
      <c r="AC425">
        <v>0</v>
      </c>
      <c r="AD425">
        <v>10</v>
      </c>
      <c r="AE425">
        <v>0</v>
      </c>
      <c r="AF425">
        <v>0</v>
      </c>
      <c r="AG425">
        <v>2</v>
      </c>
      <c r="AH425">
        <v>0</v>
      </c>
      <c r="AI425" t="s">
        <v>456</v>
      </c>
      <c r="AJ425">
        <v>41.972729999999999</v>
      </c>
      <c r="AK425" t="s">
        <v>457</v>
      </c>
      <c r="AL425">
        <v>-87.897298000000006</v>
      </c>
      <c r="AS425">
        <v>1</v>
      </c>
      <c r="AT425" t="s">
        <v>118</v>
      </c>
      <c r="AU425" t="b">
        <v>1</v>
      </c>
      <c r="AV425">
        <v>241.88</v>
      </c>
      <c r="AW425">
        <v>13.625</v>
      </c>
      <c r="AX425">
        <v>1</v>
      </c>
      <c r="AZ425">
        <v>7205</v>
      </c>
      <c r="BA425">
        <v>1</v>
      </c>
      <c r="BB425" t="str">
        <f t="shared" si="20"/>
        <v xml:space="preserve">KAP400  </v>
      </c>
      <c r="BC425">
        <v>1</v>
      </c>
      <c r="BE425">
        <v>0</v>
      </c>
      <c r="BF425">
        <v>0</v>
      </c>
      <c r="BG425">
        <v>0</v>
      </c>
      <c r="BI425">
        <v>1</v>
      </c>
      <c r="BJ425">
        <v>1</v>
      </c>
      <c r="BK425">
        <v>1</v>
      </c>
      <c r="BL425">
        <v>0</v>
      </c>
      <c r="BO425">
        <v>0</v>
      </c>
      <c r="BP425">
        <v>0</v>
      </c>
      <c r="BW425" t="str">
        <f>"19:09:31.536"</f>
        <v>19:09:31.536</v>
      </c>
      <c r="BX425" t="s">
        <v>119</v>
      </c>
      <c r="BY425" t="s">
        <v>120</v>
      </c>
      <c r="CJ425">
        <v>0</v>
      </c>
      <c r="CK425">
        <v>0</v>
      </c>
      <c r="CL425">
        <v>0</v>
      </c>
      <c r="CM425">
        <v>2</v>
      </c>
      <c r="CN425">
        <v>0</v>
      </c>
      <c r="CO425">
        <v>7</v>
      </c>
      <c r="CP425" t="s">
        <v>121</v>
      </c>
      <c r="CQ425">
        <v>580</v>
      </c>
      <c r="CR425">
        <v>0</v>
      </c>
      <c r="CW425">
        <v>16733422</v>
      </c>
      <c r="CY425">
        <v>0</v>
      </c>
      <c r="CZ425">
        <v>0</v>
      </c>
      <c r="DA425">
        <v>0</v>
      </c>
      <c r="DB425">
        <v>1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</row>
    <row r="426" spans="1:113" x14ac:dyDescent="0.3">
      <c r="A426" t="str">
        <f>"06/16/2022 19:09:32.767"</f>
        <v>06/16/2022 19:09:32.767</v>
      </c>
      <c r="C426" t="str">
        <f t="shared" si="18"/>
        <v>FFBF5BC0</v>
      </c>
      <c r="D426" t="s">
        <v>113</v>
      </c>
      <c r="E426">
        <v>8</v>
      </c>
      <c r="H426">
        <v>206</v>
      </c>
      <c r="I426" t="s">
        <v>114</v>
      </c>
      <c r="J426" t="s">
        <v>115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>"19:09:32.492"</f>
        <v>19:09:32.492</v>
      </c>
      <c r="T426" t="str">
        <f>"19:09:32.492"</f>
        <v>19:09:32.492</v>
      </c>
      <c r="U426" t="str">
        <f t="shared" si="19"/>
        <v>AB63B2</v>
      </c>
      <c r="V426">
        <v>0</v>
      </c>
      <c r="W426">
        <v>0</v>
      </c>
      <c r="X426">
        <v>6</v>
      </c>
      <c r="Z426">
        <v>0</v>
      </c>
      <c r="AA426">
        <v>9</v>
      </c>
      <c r="AB426">
        <v>3</v>
      </c>
      <c r="AC426">
        <v>0</v>
      </c>
      <c r="AD426">
        <v>10</v>
      </c>
      <c r="AE426">
        <v>0</v>
      </c>
      <c r="AF426">
        <v>0</v>
      </c>
      <c r="AG426">
        <v>2</v>
      </c>
      <c r="AH426">
        <v>0</v>
      </c>
      <c r="AI426" t="s">
        <v>458</v>
      </c>
      <c r="AJ426">
        <v>41.972709000000002</v>
      </c>
      <c r="AK426" t="s">
        <v>459</v>
      </c>
      <c r="AL426">
        <v>-87.897362999999999</v>
      </c>
      <c r="AS426">
        <v>1</v>
      </c>
      <c r="AT426" t="s">
        <v>118</v>
      </c>
      <c r="AU426" t="b">
        <v>1</v>
      </c>
      <c r="AV426">
        <v>241.88</v>
      </c>
      <c r="AW426">
        <v>13.625</v>
      </c>
      <c r="AX426">
        <v>1</v>
      </c>
      <c r="AZ426">
        <v>7205</v>
      </c>
      <c r="BA426">
        <v>1</v>
      </c>
      <c r="BB426" t="str">
        <f t="shared" si="20"/>
        <v xml:space="preserve">KAP400  </v>
      </c>
      <c r="BC426">
        <v>1</v>
      </c>
      <c r="BE426">
        <v>0</v>
      </c>
      <c r="BF426">
        <v>0</v>
      </c>
      <c r="BG426">
        <v>0</v>
      </c>
      <c r="BI426">
        <v>1</v>
      </c>
      <c r="BJ426">
        <v>1</v>
      </c>
      <c r="BK426">
        <v>1</v>
      </c>
      <c r="BL426">
        <v>0</v>
      </c>
      <c r="BO426">
        <v>0</v>
      </c>
      <c r="BP426">
        <v>0</v>
      </c>
      <c r="BW426" t="str">
        <f>"19:09:32.493"</f>
        <v>19:09:32.493</v>
      </c>
      <c r="BX426" t="s">
        <v>119</v>
      </c>
      <c r="BY426" t="s">
        <v>120</v>
      </c>
      <c r="CJ426">
        <v>0</v>
      </c>
      <c r="CK426">
        <v>0</v>
      </c>
      <c r="CL426">
        <v>0</v>
      </c>
      <c r="CM426">
        <v>2</v>
      </c>
      <c r="CN426">
        <v>0</v>
      </c>
      <c r="CO426">
        <v>7</v>
      </c>
      <c r="CP426" t="s">
        <v>121</v>
      </c>
      <c r="CQ426">
        <v>580</v>
      </c>
      <c r="CR426">
        <v>0</v>
      </c>
      <c r="CW426">
        <v>16735153</v>
      </c>
      <c r="CY426">
        <v>0</v>
      </c>
      <c r="CZ426">
        <v>0</v>
      </c>
      <c r="DA426">
        <v>0</v>
      </c>
      <c r="DB426">
        <v>1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</row>
    <row r="427" spans="1:113" x14ac:dyDescent="0.3">
      <c r="A427" t="str">
        <f>"06/16/2022 19:09:33.908"</f>
        <v>06/16/2022 19:09:33.908</v>
      </c>
      <c r="C427" t="str">
        <f t="shared" si="18"/>
        <v>FFBF5BC0</v>
      </c>
      <c r="D427" t="s">
        <v>113</v>
      </c>
      <c r="E427">
        <v>8</v>
      </c>
      <c r="H427">
        <v>206</v>
      </c>
      <c r="I427" t="s">
        <v>114</v>
      </c>
      <c r="J427" t="s">
        <v>115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>"19:09:33.578"</f>
        <v>19:09:33.578</v>
      </c>
      <c r="T427" t="str">
        <f>"19:09:33.578"</f>
        <v>19:09:33.578</v>
      </c>
      <c r="U427" t="str">
        <f t="shared" si="19"/>
        <v>AB63B2</v>
      </c>
      <c r="V427">
        <v>0</v>
      </c>
      <c r="W427">
        <v>0</v>
      </c>
      <c r="X427">
        <v>6</v>
      </c>
      <c r="Z427">
        <v>0</v>
      </c>
      <c r="AA427">
        <v>9</v>
      </c>
      <c r="AB427">
        <v>3</v>
      </c>
      <c r="AC427">
        <v>0</v>
      </c>
      <c r="AD427">
        <v>10</v>
      </c>
      <c r="AE427">
        <v>0</v>
      </c>
      <c r="AF427">
        <v>0</v>
      </c>
      <c r="AG427">
        <v>2</v>
      </c>
      <c r="AH427">
        <v>0</v>
      </c>
      <c r="AI427" t="s">
        <v>460</v>
      </c>
      <c r="AJ427">
        <v>41.972665999999997</v>
      </c>
      <c r="AK427" t="s">
        <v>461</v>
      </c>
      <c r="AL427">
        <v>-87.897448999999995</v>
      </c>
      <c r="AS427">
        <v>1</v>
      </c>
      <c r="AT427" t="s">
        <v>118</v>
      </c>
      <c r="AU427" t="b">
        <v>1</v>
      </c>
      <c r="AV427">
        <v>241.88</v>
      </c>
      <c r="AW427">
        <v>13.625</v>
      </c>
      <c r="AX427">
        <v>1</v>
      </c>
      <c r="AZ427">
        <v>7205</v>
      </c>
      <c r="BA427">
        <v>1</v>
      </c>
      <c r="BB427" t="str">
        <f t="shared" si="20"/>
        <v xml:space="preserve">KAP400  </v>
      </c>
      <c r="BC427">
        <v>1</v>
      </c>
      <c r="BE427">
        <v>0</v>
      </c>
      <c r="BF427">
        <v>0</v>
      </c>
      <c r="BG427">
        <v>0</v>
      </c>
      <c r="BI427">
        <v>1</v>
      </c>
      <c r="BJ427">
        <v>1</v>
      </c>
      <c r="BK427">
        <v>1</v>
      </c>
      <c r="BL427">
        <v>0</v>
      </c>
      <c r="BO427">
        <v>0</v>
      </c>
      <c r="BP427">
        <v>0</v>
      </c>
      <c r="BW427" t="str">
        <f>"19:09:33.579"</f>
        <v>19:09:33.579</v>
      </c>
      <c r="BX427" t="s">
        <v>119</v>
      </c>
      <c r="BY427" t="s">
        <v>120</v>
      </c>
      <c r="CJ427">
        <v>0</v>
      </c>
      <c r="CK427">
        <v>0</v>
      </c>
      <c r="CL427">
        <v>0</v>
      </c>
      <c r="CM427">
        <v>2</v>
      </c>
      <c r="CN427">
        <v>0</v>
      </c>
      <c r="CO427">
        <v>7</v>
      </c>
      <c r="CP427" t="s">
        <v>121</v>
      </c>
      <c r="CQ427">
        <v>580</v>
      </c>
      <c r="CR427">
        <v>0</v>
      </c>
      <c r="CW427">
        <v>16737173</v>
      </c>
      <c r="CY427">
        <v>0</v>
      </c>
      <c r="CZ427">
        <v>0</v>
      </c>
      <c r="DA427">
        <v>0</v>
      </c>
      <c r="DB427">
        <v>1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</row>
    <row r="428" spans="1:113" x14ac:dyDescent="0.3">
      <c r="A428" t="str">
        <f>"06/16/2022 19:09:34.845"</f>
        <v>06/16/2022 19:09:34.845</v>
      </c>
      <c r="C428" t="str">
        <f t="shared" si="18"/>
        <v>FFBF5BC0</v>
      </c>
      <c r="D428" t="s">
        <v>113</v>
      </c>
      <c r="E428">
        <v>8</v>
      </c>
      <c r="H428">
        <v>206</v>
      </c>
      <c r="I428" t="s">
        <v>114</v>
      </c>
      <c r="J428" t="s">
        <v>115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>"19:09:34.648"</f>
        <v>19:09:34.648</v>
      </c>
      <c r="T428" t="str">
        <f>"19:09:34.648"</f>
        <v>19:09:34.648</v>
      </c>
      <c r="U428" t="str">
        <f t="shared" si="19"/>
        <v>AB63B2</v>
      </c>
      <c r="V428">
        <v>0</v>
      </c>
      <c r="W428">
        <v>0</v>
      </c>
      <c r="X428">
        <v>6</v>
      </c>
      <c r="Z428">
        <v>0</v>
      </c>
      <c r="AA428">
        <v>9</v>
      </c>
      <c r="AB428">
        <v>3</v>
      </c>
      <c r="AC428">
        <v>0</v>
      </c>
      <c r="AD428">
        <v>10</v>
      </c>
      <c r="AE428">
        <v>0</v>
      </c>
      <c r="AF428">
        <v>0</v>
      </c>
      <c r="AG428">
        <v>2</v>
      </c>
      <c r="AH428">
        <v>0</v>
      </c>
      <c r="AI428" t="s">
        <v>462</v>
      </c>
      <c r="AJ428">
        <v>41.972644000000003</v>
      </c>
      <c r="AK428" t="s">
        <v>463</v>
      </c>
      <c r="AL428">
        <v>-87.897513000000004</v>
      </c>
      <c r="AS428">
        <v>1</v>
      </c>
      <c r="AT428" t="s">
        <v>118</v>
      </c>
      <c r="AU428" t="b">
        <v>1</v>
      </c>
      <c r="AV428">
        <v>239.06</v>
      </c>
      <c r="AW428">
        <v>13.625</v>
      </c>
      <c r="AX428">
        <v>1</v>
      </c>
      <c r="AZ428">
        <v>7205</v>
      </c>
      <c r="BA428">
        <v>1</v>
      </c>
      <c r="BB428" t="str">
        <f t="shared" si="20"/>
        <v xml:space="preserve">KAP400  </v>
      </c>
      <c r="BC428">
        <v>1</v>
      </c>
      <c r="BE428">
        <v>0</v>
      </c>
      <c r="BF428">
        <v>0</v>
      </c>
      <c r="BG428">
        <v>0</v>
      </c>
      <c r="BI428">
        <v>1</v>
      </c>
      <c r="BJ428">
        <v>1</v>
      </c>
      <c r="BK428">
        <v>1</v>
      </c>
      <c r="BL428">
        <v>0</v>
      </c>
      <c r="BO428">
        <v>0</v>
      </c>
      <c r="BP428">
        <v>0</v>
      </c>
      <c r="BW428" t="str">
        <f>"19:09:34.654"</f>
        <v>19:09:34.654</v>
      </c>
      <c r="BX428" t="s">
        <v>119</v>
      </c>
      <c r="BY428" t="s">
        <v>120</v>
      </c>
      <c r="CJ428">
        <v>0</v>
      </c>
      <c r="CK428">
        <v>0</v>
      </c>
      <c r="CL428">
        <v>0</v>
      </c>
      <c r="CM428">
        <v>2</v>
      </c>
      <c r="CN428">
        <v>0</v>
      </c>
      <c r="CO428">
        <v>7</v>
      </c>
      <c r="CP428" t="s">
        <v>121</v>
      </c>
      <c r="CQ428">
        <v>580</v>
      </c>
      <c r="CR428">
        <v>0</v>
      </c>
      <c r="CW428">
        <v>16739202</v>
      </c>
      <c r="CY428">
        <v>0</v>
      </c>
      <c r="CZ428">
        <v>0</v>
      </c>
      <c r="DA428">
        <v>0</v>
      </c>
      <c r="DB428">
        <v>1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</row>
    <row r="429" spans="1:113" x14ac:dyDescent="0.3">
      <c r="A429" t="str">
        <f>"06/16/2022 19:09:36.033"</f>
        <v>06/16/2022 19:09:36.033</v>
      </c>
      <c r="C429" t="str">
        <f t="shared" si="18"/>
        <v>FFBF5BC0</v>
      </c>
      <c r="D429" t="s">
        <v>113</v>
      </c>
      <c r="E429">
        <v>8</v>
      </c>
      <c r="H429">
        <v>206</v>
      </c>
      <c r="I429" t="s">
        <v>114</v>
      </c>
      <c r="J429" t="s">
        <v>115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>"19:09:35.773"</f>
        <v>19:09:35.773</v>
      </c>
      <c r="T429" t="str">
        <f>"19:09:35.773"</f>
        <v>19:09:35.773</v>
      </c>
      <c r="U429" t="str">
        <f t="shared" si="19"/>
        <v>AB63B2</v>
      </c>
      <c r="V429">
        <v>0</v>
      </c>
      <c r="W429">
        <v>0</v>
      </c>
      <c r="X429">
        <v>6</v>
      </c>
      <c r="Z429">
        <v>0</v>
      </c>
      <c r="AA429">
        <v>9</v>
      </c>
      <c r="AB429">
        <v>3</v>
      </c>
      <c r="AC429">
        <v>0</v>
      </c>
      <c r="AD429">
        <v>10</v>
      </c>
      <c r="AE429">
        <v>0</v>
      </c>
      <c r="AF429">
        <v>0</v>
      </c>
      <c r="AG429">
        <v>2</v>
      </c>
      <c r="AH429">
        <v>0</v>
      </c>
      <c r="AI429" t="s">
        <v>464</v>
      </c>
      <c r="AJ429">
        <v>41.972600999999997</v>
      </c>
      <c r="AK429" t="s">
        <v>465</v>
      </c>
      <c r="AL429">
        <v>-87.897599</v>
      </c>
      <c r="AS429">
        <v>1</v>
      </c>
      <c r="AT429" t="s">
        <v>118</v>
      </c>
      <c r="AU429" t="b">
        <v>1</v>
      </c>
      <c r="AV429">
        <v>239.06</v>
      </c>
      <c r="AW429">
        <v>13.625</v>
      </c>
      <c r="AX429">
        <v>1</v>
      </c>
      <c r="AZ429">
        <v>7205</v>
      </c>
      <c r="BA429">
        <v>1</v>
      </c>
      <c r="BB429" t="str">
        <f t="shared" si="20"/>
        <v xml:space="preserve">KAP400  </v>
      </c>
      <c r="BC429">
        <v>1</v>
      </c>
      <c r="BE429">
        <v>0</v>
      </c>
      <c r="BF429">
        <v>0</v>
      </c>
      <c r="BG429">
        <v>0</v>
      </c>
      <c r="BI429">
        <v>1</v>
      </c>
      <c r="BJ429">
        <v>1</v>
      </c>
      <c r="BK429">
        <v>1</v>
      </c>
      <c r="BL429">
        <v>0</v>
      </c>
      <c r="BO429">
        <v>0</v>
      </c>
      <c r="BP429">
        <v>0</v>
      </c>
      <c r="BW429" t="str">
        <f>"19:09:35.780"</f>
        <v>19:09:35.780</v>
      </c>
      <c r="BX429" t="s">
        <v>119</v>
      </c>
      <c r="BY429" t="s">
        <v>120</v>
      </c>
      <c r="CJ429">
        <v>0</v>
      </c>
      <c r="CK429">
        <v>0</v>
      </c>
      <c r="CL429">
        <v>0</v>
      </c>
      <c r="CM429">
        <v>2</v>
      </c>
      <c r="CN429">
        <v>0</v>
      </c>
      <c r="CO429">
        <v>7</v>
      </c>
      <c r="CP429" t="s">
        <v>121</v>
      </c>
      <c r="CQ429">
        <v>580</v>
      </c>
      <c r="CR429">
        <v>0</v>
      </c>
      <c r="CW429">
        <v>16741510</v>
      </c>
      <c r="CY429">
        <v>0</v>
      </c>
      <c r="CZ429">
        <v>0</v>
      </c>
      <c r="DA429">
        <v>0</v>
      </c>
      <c r="DB429">
        <v>1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</row>
    <row r="430" spans="1:113" x14ac:dyDescent="0.3">
      <c r="A430" t="str">
        <f>"06/16/2022 19:09:36.954"</f>
        <v>06/16/2022 19:09:36.954</v>
      </c>
      <c r="C430" t="str">
        <f t="shared" si="18"/>
        <v>FFBF5BC0</v>
      </c>
      <c r="D430" t="s">
        <v>113</v>
      </c>
      <c r="E430">
        <v>8</v>
      </c>
      <c r="H430">
        <v>206</v>
      </c>
      <c r="I430" t="s">
        <v>114</v>
      </c>
      <c r="J430" t="s">
        <v>115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>"19:09:36.742"</f>
        <v>19:09:36.742</v>
      </c>
      <c r="T430" t="str">
        <f>"19:09:36.742"</f>
        <v>19:09:36.742</v>
      </c>
      <c r="U430" t="str">
        <f t="shared" si="19"/>
        <v>AB63B2</v>
      </c>
      <c r="V430">
        <v>0</v>
      </c>
      <c r="W430">
        <v>0</v>
      </c>
      <c r="X430">
        <v>6</v>
      </c>
      <c r="Z430">
        <v>0</v>
      </c>
      <c r="AA430">
        <v>9</v>
      </c>
      <c r="AB430">
        <v>3</v>
      </c>
      <c r="AC430">
        <v>0</v>
      </c>
      <c r="AD430">
        <v>10</v>
      </c>
      <c r="AE430">
        <v>0</v>
      </c>
      <c r="AF430">
        <v>0</v>
      </c>
      <c r="AG430">
        <v>2</v>
      </c>
      <c r="AH430">
        <v>0</v>
      </c>
      <c r="AI430" t="s">
        <v>466</v>
      </c>
      <c r="AJ430">
        <v>41.972580000000001</v>
      </c>
      <c r="AK430" t="s">
        <v>467</v>
      </c>
      <c r="AL430">
        <v>-87.897662999999994</v>
      </c>
      <c r="AS430">
        <v>1</v>
      </c>
      <c r="AT430" t="s">
        <v>118</v>
      </c>
      <c r="AU430" t="b">
        <v>1</v>
      </c>
      <c r="AV430">
        <v>239.06</v>
      </c>
      <c r="AW430">
        <v>14.125</v>
      </c>
      <c r="AX430">
        <v>1</v>
      </c>
      <c r="AZ430">
        <v>7205</v>
      </c>
      <c r="BA430">
        <v>1</v>
      </c>
      <c r="BB430" t="str">
        <f t="shared" si="20"/>
        <v xml:space="preserve">KAP400  </v>
      </c>
      <c r="BC430">
        <v>1</v>
      </c>
      <c r="BE430">
        <v>0</v>
      </c>
      <c r="BF430">
        <v>0</v>
      </c>
      <c r="BG430">
        <v>0</v>
      </c>
      <c r="BI430">
        <v>1</v>
      </c>
      <c r="BJ430">
        <v>1</v>
      </c>
      <c r="BK430">
        <v>1</v>
      </c>
      <c r="BL430">
        <v>0</v>
      </c>
      <c r="BO430">
        <v>0</v>
      </c>
      <c r="BP430">
        <v>0</v>
      </c>
      <c r="BW430" t="str">
        <f>"19:09:36.748"</f>
        <v>19:09:36.748</v>
      </c>
      <c r="BX430" t="s">
        <v>119</v>
      </c>
      <c r="BY430" t="s">
        <v>120</v>
      </c>
      <c r="CJ430">
        <v>0</v>
      </c>
      <c r="CK430">
        <v>0</v>
      </c>
      <c r="CL430">
        <v>0</v>
      </c>
      <c r="CM430">
        <v>2</v>
      </c>
      <c r="CN430">
        <v>0</v>
      </c>
      <c r="CO430">
        <v>7</v>
      </c>
      <c r="CP430" t="s">
        <v>121</v>
      </c>
      <c r="CQ430">
        <v>580</v>
      </c>
      <c r="CR430">
        <v>0</v>
      </c>
      <c r="CW430">
        <v>16743376</v>
      </c>
      <c r="CY430">
        <v>0</v>
      </c>
      <c r="CZ430">
        <v>0</v>
      </c>
      <c r="DA430">
        <v>0</v>
      </c>
      <c r="DB430">
        <v>1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</row>
    <row r="431" spans="1:113" x14ac:dyDescent="0.3">
      <c r="A431" t="str">
        <f>"06/16/2022 19:09:38.048"</f>
        <v>06/16/2022 19:09:38.048</v>
      </c>
      <c r="C431" t="str">
        <f t="shared" si="18"/>
        <v>FFBF5BC0</v>
      </c>
      <c r="D431" t="s">
        <v>113</v>
      </c>
      <c r="E431">
        <v>8</v>
      </c>
      <c r="H431">
        <v>206</v>
      </c>
      <c r="I431" t="s">
        <v>114</v>
      </c>
      <c r="J431" t="s">
        <v>115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>"19:09:37.727"</f>
        <v>19:09:37.727</v>
      </c>
      <c r="T431" t="str">
        <f>"19:09:37.727"</f>
        <v>19:09:37.727</v>
      </c>
      <c r="U431" t="str">
        <f t="shared" si="19"/>
        <v>AB63B2</v>
      </c>
      <c r="V431">
        <v>0</v>
      </c>
      <c r="W431">
        <v>0</v>
      </c>
      <c r="X431">
        <v>6</v>
      </c>
      <c r="Z431">
        <v>0</v>
      </c>
      <c r="AA431">
        <v>9</v>
      </c>
      <c r="AB431">
        <v>3</v>
      </c>
      <c r="AC431">
        <v>0</v>
      </c>
      <c r="AD431">
        <v>10</v>
      </c>
      <c r="AE431">
        <v>0</v>
      </c>
      <c r="AF431">
        <v>0</v>
      </c>
      <c r="AG431">
        <v>2</v>
      </c>
      <c r="AH431">
        <v>0</v>
      </c>
      <c r="AI431" t="s">
        <v>468</v>
      </c>
      <c r="AJ431">
        <v>41.972537000000003</v>
      </c>
      <c r="AK431" t="s">
        <v>469</v>
      </c>
      <c r="AL431">
        <v>-87.897749000000005</v>
      </c>
      <c r="AS431">
        <v>1</v>
      </c>
      <c r="AT431" t="s">
        <v>118</v>
      </c>
      <c r="AU431" t="b">
        <v>1</v>
      </c>
      <c r="AV431">
        <v>239.06</v>
      </c>
      <c r="AW431">
        <v>14.125</v>
      </c>
      <c r="AX431">
        <v>1</v>
      </c>
      <c r="AZ431">
        <v>7205</v>
      </c>
      <c r="BA431">
        <v>1</v>
      </c>
      <c r="BB431" t="str">
        <f t="shared" si="20"/>
        <v xml:space="preserve">KAP400  </v>
      </c>
      <c r="BC431">
        <v>1</v>
      </c>
      <c r="BE431">
        <v>0</v>
      </c>
      <c r="BF431">
        <v>0</v>
      </c>
      <c r="BG431">
        <v>0</v>
      </c>
      <c r="BI431">
        <v>1</v>
      </c>
      <c r="BJ431">
        <v>1</v>
      </c>
      <c r="BK431">
        <v>1</v>
      </c>
      <c r="BL431">
        <v>0</v>
      </c>
      <c r="BO431">
        <v>0</v>
      </c>
      <c r="BP431">
        <v>0</v>
      </c>
      <c r="BW431" t="str">
        <f>"19:09:37.733"</f>
        <v>19:09:37.733</v>
      </c>
      <c r="BX431" t="s">
        <v>119</v>
      </c>
      <c r="BY431" t="s">
        <v>120</v>
      </c>
      <c r="CJ431">
        <v>0</v>
      </c>
      <c r="CK431">
        <v>0</v>
      </c>
      <c r="CL431">
        <v>0</v>
      </c>
      <c r="CM431">
        <v>2</v>
      </c>
      <c r="CN431">
        <v>0</v>
      </c>
      <c r="CO431">
        <v>7</v>
      </c>
      <c r="CP431" t="s">
        <v>121</v>
      </c>
      <c r="CQ431">
        <v>580</v>
      </c>
      <c r="CR431">
        <v>0</v>
      </c>
      <c r="CW431">
        <v>16745203</v>
      </c>
      <c r="CY431">
        <v>0</v>
      </c>
      <c r="CZ431">
        <v>0</v>
      </c>
      <c r="DA431">
        <v>0</v>
      </c>
      <c r="DB431">
        <v>1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</row>
    <row r="432" spans="1:113" x14ac:dyDescent="0.3">
      <c r="A432" t="str">
        <f>"06/16/2022 19:09:38.985"</f>
        <v>06/16/2022 19:09:38.985</v>
      </c>
      <c r="C432" t="str">
        <f t="shared" si="18"/>
        <v>FFBF5BC0</v>
      </c>
      <c r="D432" t="s">
        <v>113</v>
      </c>
      <c r="E432">
        <v>8</v>
      </c>
      <c r="H432">
        <v>206</v>
      </c>
      <c r="I432" t="s">
        <v>114</v>
      </c>
      <c r="J432" t="s">
        <v>115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>"19:09:38.781"</f>
        <v>19:09:38.781</v>
      </c>
      <c r="T432" t="str">
        <f>"19:09:38.781"</f>
        <v>19:09:38.781</v>
      </c>
      <c r="U432" t="str">
        <f t="shared" si="19"/>
        <v>AB63B2</v>
      </c>
      <c r="V432">
        <v>0</v>
      </c>
      <c r="W432">
        <v>0</v>
      </c>
      <c r="X432">
        <v>6</v>
      </c>
      <c r="Z432">
        <v>0</v>
      </c>
      <c r="AA432">
        <v>9</v>
      </c>
      <c r="AB432">
        <v>3</v>
      </c>
      <c r="AC432">
        <v>0</v>
      </c>
      <c r="AD432">
        <v>10</v>
      </c>
      <c r="AE432">
        <v>0</v>
      </c>
      <c r="AF432">
        <v>0</v>
      </c>
      <c r="AG432">
        <v>2</v>
      </c>
      <c r="AH432">
        <v>0</v>
      </c>
      <c r="AI432" t="s">
        <v>470</v>
      </c>
      <c r="AJ432">
        <v>41.972515999999999</v>
      </c>
      <c r="AK432" t="s">
        <v>471</v>
      </c>
      <c r="AL432">
        <v>-87.897835000000001</v>
      </c>
      <c r="AS432">
        <v>1</v>
      </c>
      <c r="AT432" t="s">
        <v>118</v>
      </c>
      <c r="AU432" t="b">
        <v>1</v>
      </c>
      <c r="AV432">
        <v>239.06</v>
      </c>
      <c r="AW432">
        <v>14.625</v>
      </c>
      <c r="AX432">
        <v>1</v>
      </c>
      <c r="AZ432">
        <v>7205</v>
      </c>
      <c r="BA432">
        <v>1</v>
      </c>
      <c r="BB432" t="str">
        <f t="shared" si="20"/>
        <v xml:space="preserve">KAP400  </v>
      </c>
      <c r="BC432">
        <v>1</v>
      </c>
      <c r="BE432">
        <v>0</v>
      </c>
      <c r="BF432">
        <v>0</v>
      </c>
      <c r="BG432">
        <v>0</v>
      </c>
      <c r="BI432">
        <v>1</v>
      </c>
      <c r="BJ432">
        <v>1</v>
      </c>
      <c r="BK432">
        <v>1</v>
      </c>
      <c r="BL432">
        <v>0</v>
      </c>
      <c r="BO432">
        <v>0</v>
      </c>
      <c r="BP432">
        <v>0</v>
      </c>
      <c r="BW432" t="str">
        <f>"19:09:38.784"</f>
        <v>19:09:38.784</v>
      </c>
      <c r="BX432" t="s">
        <v>119</v>
      </c>
      <c r="BY432" t="s">
        <v>120</v>
      </c>
      <c r="CJ432">
        <v>0</v>
      </c>
      <c r="CK432">
        <v>0</v>
      </c>
      <c r="CL432">
        <v>0</v>
      </c>
      <c r="CM432">
        <v>2</v>
      </c>
      <c r="CN432">
        <v>0</v>
      </c>
      <c r="CO432">
        <v>4</v>
      </c>
      <c r="CP432" t="s">
        <v>121</v>
      </c>
      <c r="CQ432">
        <v>581</v>
      </c>
      <c r="CR432">
        <v>0</v>
      </c>
      <c r="CW432">
        <v>14983572</v>
      </c>
      <c r="CY432">
        <v>0</v>
      </c>
      <c r="CZ432">
        <v>0</v>
      </c>
      <c r="DA432">
        <v>0</v>
      </c>
      <c r="DB432">
        <v>1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</row>
    <row r="433" spans="1:113" x14ac:dyDescent="0.3">
      <c r="A433" t="str">
        <f>"06/16/2022 19:09:40.079"</f>
        <v>06/16/2022 19:09:40.079</v>
      </c>
      <c r="C433" t="str">
        <f t="shared" si="18"/>
        <v>FFBF5BC0</v>
      </c>
      <c r="D433" t="s">
        <v>113</v>
      </c>
      <c r="E433">
        <v>8</v>
      </c>
      <c r="H433">
        <v>206</v>
      </c>
      <c r="I433" t="s">
        <v>114</v>
      </c>
      <c r="J433" t="s">
        <v>115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>"19:09:39.820"</f>
        <v>19:09:39.820</v>
      </c>
      <c r="T433" t="str">
        <f>"19:09:39.820"</f>
        <v>19:09:39.820</v>
      </c>
      <c r="U433" t="str">
        <f t="shared" si="19"/>
        <v>AB63B2</v>
      </c>
      <c r="V433">
        <v>0</v>
      </c>
      <c r="W433">
        <v>0</v>
      </c>
      <c r="X433">
        <v>6</v>
      </c>
      <c r="Z433">
        <v>0</v>
      </c>
      <c r="AA433">
        <v>9</v>
      </c>
      <c r="AB433">
        <v>3</v>
      </c>
      <c r="AC433">
        <v>0</v>
      </c>
      <c r="AD433">
        <v>10</v>
      </c>
      <c r="AE433">
        <v>0</v>
      </c>
      <c r="AF433">
        <v>0</v>
      </c>
      <c r="AG433">
        <v>2</v>
      </c>
      <c r="AH433">
        <v>0</v>
      </c>
      <c r="AI433" t="s">
        <v>472</v>
      </c>
      <c r="AJ433">
        <v>41.972473000000001</v>
      </c>
      <c r="AK433" t="s">
        <v>473</v>
      </c>
      <c r="AL433">
        <v>-87.897898999999995</v>
      </c>
      <c r="AS433">
        <v>1</v>
      </c>
      <c r="AT433" t="s">
        <v>118</v>
      </c>
      <c r="AU433" t="b">
        <v>1</v>
      </c>
      <c r="AV433">
        <v>241.88</v>
      </c>
      <c r="AW433">
        <v>14.625</v>
      </c>
      <c r="AX433">
        <v>1</v>
      </c>
      <c r="AZ433">
        <v>7205</v>
      </c>
      <c r="BA433">
        <v>1</v>
      </c>
      <c r="BB433" t="str">
        <f t="shared" si="20"/>
        <v xml:space="preserve">KAP400  </v>
      </c>
      <c r="BC433">
        <v>1</v>
      </c>
      <c r="BE433">
        <v>0</v>
      </c>
      <c r="BF433">
        <v>0</v>
      </c>
      <c r="BG433">
        <v>0</v>
      </c>
      <c r="BI433">
        <v>1</v>
      </c>
      <c r="BJ433">
        <v>1</v>
      </c>
      <c r="BK433">
        <v>1</v>
      </c>
      <c r="BL433">
        <v>0</v>
      </c>
      <c r="BO433">
        <v>0</v>
      </c>
      <c r="BP433">
        <v>0</v>
      </c>
      <c r="BW433" t="str">
        <f>"19:09:39.822"</f>
        <v>19:09:39.822</v>
      </c>
      <c r="BX433" t="s">
        <v>119</v>
      </c>
      <c r="BY433" t="s">
        <v>120</v>
      </c>
      <c r="CJ433">
        <v>0</v>
      </c>
      <c r="CK433">
        <v>0</v>
      </c>
      <c r="CL433">
        <v>0</v>
      </c>
      <c r="CM433">
        <v>2</v>
      </c>
      <c r="CN433">
        <v>0</v>
      </c>
      <c r="CO433">
        <v>3</v>
      </c>
      <c r="CP433" t="s">
        <v>121</v>
      </c>
      <c r="CQ433">
        <v>581</v>
      </c>
      <c r="CR433">
        <v>0</v>
      </c>
      <c r="CW433">
        <v>14985284</v>
      </c>
      <c r="CY433">
        <v>0</v>
      </c>
      <c r="CZ433">
        <v>0</v>
      </c>
      <c r="DA433">
        <v>0</v>
      </c>
      <c r="DB433">
        <v>1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</row>
    <row r="434" spans="1:113" x14ac:dyDescent="0.3">
      <c r="A434" t="str">
        <f>"06/16/2022 19:09:41.048"</f>
        <v>06/16/2022 19:09:41.048</v>
      </c>
      <c r="C434" t="str">
        <f t="shared" si="18"/>
        <v>FFBF5BC0</v>
      </c>
      <c r="D434" t="s">
        <v>113</v>
      </c>
      <c r="E434">
        <v>8</v>
      </c>
      <c r="H434">
        <v>206</v>
      </c>
      <c r="I434" t="s">
        <v>114</v>
      </c>
      <c r="J434" t="s">
        <v>115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>"19:09:40.813"</f>
        <v>19:09:40.813</v>
      </c>
      <c r="T434" t="str">
        <f>"19:09:40.813"</f>
        <v>19:09:40.813</v>
      </c>
      <c r="U434" t="str">
        <f t="shared" si="19"/>
        <v>AB63B2</v>
      </c>
      <c r="V434">
        <v>0</v>
      </c>
      <c r="W434">
        <v>0</v>
      </c>
      <c r="X434">
        <v>6</v>
      </c>
      <c r="Z434">
        <v>0</v>
      </c>
      <c r="AA434">
        <v>9</v>
      </c>
      <c r="AB434">
        <v>3</v>
      </c>
      <c r="AC434">
        <v>0</v>
      </c>
      <c r="AD434">
        <v>10</v>
      </c>
      <c r="AE434">
        <v>0</v>
      </c>
      <c r="AF434">
        <v>0</v>
      </c>
      <c r="AG434">
        <v>2</v>
      </c>
      <c r="AH434">
        <v>0</v>
      </c>
      <c r="AI434" t="s">
        <v>474</v>
      </c>
      <c r="AJ434">
        <v>41.972430000000003</v>
      </c>
      <c r="AK434" t="s">
        <v>475</v>
      </c>
      <c r="AL434">
        <v>-87.897964000000002</v>
      </c>
      <c r="AS434">
        <v>1</v>
      </c>
      <c r="AT434" t="s">
        <v>118</v>
      </c>
      <c r="AU434" t="b">
        <v>1</v>
      </c>
      <c r="AV434">
        <v>241.88</v>
      </c>
      <c r="AW434">
        <v>14.625</v>
      </c>
      <c r="AX434">
        <v>1</v>
      </c>
      <c r="AZ434">
        <v>7205</v>
      </c>
      <c r="BA434">
        <v>1</v>
      </c>
      <c r="BB434" t="str">
        <f t="shared" si="20"/>
        <v xml:space="preserve">KAP400  </v>
      </c>
      <c r="BC434">
        <v>1</v>
      </c>
      <c r="BE434">
        <v>0</v>
      </c>
      <c r="BF434">
        <v>0</v>
      </c>
      <c r="BG434">
        <v>0</v>
      </c>
      <c r="BI434">
        <v>1</v>
      </c>
      <c r="BJ434">
        <v>1</v>
      </c>
      <c r="BK434">
        <v>1</v>
      </c>
      <c r="BL434">
        <v>0</v>
      </c>
      <c r="BO434">
        <v>0</v>
      </c>
      <c r="BP434">
        <v>0</v>
      </c>
      <c r="BW434" t="str">
        <f>"19:09:40.814"</f>
        <v>19:09:40.814</v>
      </c>
      <c r="BX434" t="s">
        <v>119</v>
      </c>
      <c r="BY434" t="s">
        <v>120</v>
      </c>
      <c r="CJ434">
        <v>0</v>
      </c>
      <c r="CK434">
        <v>0</v>
      </c>
      <c r="CL434">
        <v>0</v>
      </c>
      <c r="CM434">
        <v>2</v>
      </c>
      <c r="CN434">
        <v>0</v>
      </c>
      <c r="CO434">
        <v>7</v>
      </c>
      <c r="CP434" t="s">
        <v>121</v>
      </c>
      <c r="CQ434">
        <v>580</v>
      </c>
      <c r="CR434">
        <v>0</v>
      </c>
      <c r="CW434">
        <v>16751260</v>
      </c>
      <c r="CY434">
        <v>0</v>
      </c>
      <c r="CZ434">
        <v>0</v>
      </c>
      <c r="DA434">
        <v>0</v>
      </c>
      <c r="DB434">
        <v>1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</row>
    <row r="435" spans="1:113" x14ac:dyDescent="0.3">
      <c r="A435" t="str">
        <f>"06/16/2022 19:09:42.126"</f>
        <v>06/16/2022 19:09:42.126</v>
      </c>
      <c r="C435" t="str">
        <f t="shared" si="18"/>
        <v>FFBF5BC0</v>
      </c>
      <c r="D435" t="s">
        <v>113</v>
      </c>
      <c r="E435">
        <v>8</v>
      </c>
      <c r="H435">
        <v>206</v>
      </c>
      <c r="I435" t="s">
        <v>114</v>
      </c>
      <c r="J435" t="s">
        <v>115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>"19:09:41.766"</f>
        <v>19:09:41.766</v>
      </c>
      <c r="T435" t="str">
        <f>"19:09:41.766"</f>
        <v>19:09:41.766</v>
      </c>
      <c r="U435" t="str">
        <f t="shared" si="19"/>
        <v>AB63B2</v>
      </c>
      <c r="V435">
        <v>0</v>
      </c>
      <c r="W435">
        <v>0</v>
      </c>
      <c r="X435">
        <v>6</v>
      </c>
      <c r="Z435">
        <v>0</v>
      </c>
      <c r="AA435">
        <v>9</v>
      </c>
      <c r="AB435">
        <v>3</v>
      </c>
      <c r="AC435">
        <v>0</v>
      </c>
      <c r="AD435">
        <v>10</v>
      </c>
      <c r="AE435">
        <v>0</v>
      </c>
      <c r="AF435">
        <v>0</v>
      </c>
      <c r="AG435">
        <v>2</v>
      </c>
      <c r="AH435">
        <v>0</v>
      </c>
      <c r="AI435" t="s">
        <v>476</v>
      </c>
      <c r="AJ435">
        <v>41.972408000000001</v>
      </c>
      <c r="AK435" t="s">
        <v>477</v>
      </c>
      <c r="AL435">
        <v>-87.898049</v>
      </c>
      <c r="AS435">
        <v>1</v>
      </c>
      <c r="AT435" t="s">
        <v>118</v>
      </c>
      <c r="AU435" t="b">
        <v>1</v>
      </c>
      <c r="AV435">
        <v>241.88</v>
      </c>
      <c r="AW435">
        <v>15.125</v>
      </c>
      <c r="AX435">
        <v>1</v>
      </c>
      <c r="AZ435">
        <v>7205</v>
      </c>
      <c r="BA435">
        <v>1</v>
      </c>
      <c r="BB435" t="str">
        <f t="shared" si="20"/>
        <v xml:space="preserve">KAP400  </v>
      </c>
      <c r="BC435">
        <v>1</v>
      </c>
      <c r="BE435">
        <v>0</v>
      </c>
      <c r="BF435">
        <v>0</v>
      </c>
      <c r="BG435">
        <v>0</v>
      </c>
      <c r="BI435">
        <v>1</v>
      </c>
      <c r="BJ435">
        <v>1</v>
      </c>
      <c r="BK435">
        <v>1</v>
      </c>
      <c r="BL435">
        <v>0</v>
      </c>
      <c r="BO435">
        <v>0</v>
      </c>
      <c r="BP435">
        <v>0</v>
      </c>
      <c r="BW435" t="str">
        <f>"19:09:41.770"</f>
        <v>19:09:41.770</v>
      </c>
      <c r="BX435" t="s">
        <v>119</v>
      </c>
      <c r="BY435" t="s">
        <v>120</v>
      </c>
      <c r="CJ435">
        <v>0</v>
      </c>
      <c r="CK435">
        <v>0</v>
      </c>
      <c r="CL435">
        <v>0</v>
      </c>
      <c r="CM435">
        <v>2</v>
      </c>
      <c r="CN435">
        <v>0</v>
      </c>
      <c r="CO435">
        <v>7</v>
      </c>
      <c r="CP435" t="s">
        <v>121</v>
      </c>
      <c r="CQ435">
        <v>580</v>
      </c>
      <c r="CR435">
        <v>0</v>
      </c>
      <c r="CW435">
        <v>16753025</v>
      </c>
      <c r="CY435">
        <v>0</v>
      </c>
      <c r="CZ435">
        <v>0</v>
      </c>
      <c r="DA435">
        <v>0</v>
      </c>
      <c r="DB435">
        <v>1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</row>
    <row r="436" spans="1:113" x14ac:dyDescent="0.3">
      <c r="A436" t="str">
        <f>"06/16/2022 19:09:43.139"</f>
        <v>06/16/2022 19:09:43.139</v>
      </c>
      <c r="C436" t="str">
        <f t="shared" si="18"/>
        <v>FFBF5BC0</v>
      </c>
      <c r="D436" t="s">
        <v>113</v>
      </c>
      <c r="E436">
        <v>8</v>
      </c>
      <c r="H436">
        <v>206</v>
      </c>
      <c r="I436" t="s">
        <v>114</v>
      </c>
      <c r="J436" t="s">
        <v>115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>"19:09:42.891"</f>
        <v>19:09:42.891</v>
      </c>
      <c r="T436" t="str">
        <f>"19:09:42.891"</f>
        <v>19:09:42.891</v>
      </c>
      <c r="U436" t="str">
        <f t="shared" si="19"/>
        <v>AB63B2</v>
      </c>
      <c r="V436">
        <v>0</v>
      </c>
      <c r="W436">
        <v>0</v>
      </c>
      <c r="X436">
        <v>6</v>
      </c>
      <c r="Z436">
        <v>0</v>
      </c>
      <c r="AA436">
        <v>9</v>
      </c>
      <c r="AB436">
        <v>3</v>
      </c>
      <c r="AC436">
        <v>0</v>
      </c>
      <c r="AD436">
        <v>10</v>
      </c>
      <c r="AE436">
        <v>0</v>
      </c>
      <c r="AF436">
        <v>0</v>
      </c>
      <c r="AG436">
        <v>2</v>
      </c>
      <c r="AH436">
        <v>0</v>
      </c>
      <c r="AI436" t="s">
        <v>478</v>
      </c>
      <c r="AJ436">
        <v>41.972365000000003</v>
      </c>
      <c r="AK436" t="s">
        <v>479</v>
      </c>
      <c r="AL436">
        <v>-87.898156999999998</v>
      </c>
      <c r="AS436">
        <v>1</v>
      </c>
      <c r="AT436" t="s">
        <v>118</v>
      </c>
      <c r="AU436" t="b">
        <v>1</v>
      </c>
      <c r="AV436">
        <v>241.88</v>
      </c>
      <c r="AW436">
        <v>15.125</v>
      </c>
      <c r="AX436">
        <v>1</v>
      </c>
      <c r="AZ436">
        <v>7205</v>
      </c>
      <c r="BA436">
        <v>1</v>
      </c>
      <c r="BB436" t="str">
        <f t="shared" si="20"/>
        <v xml:space="preserve">KAP400  </v>
      </c>
      <c r="BC436">
        <v>1</v>
      </c>
      <c r="BE436">
        <v>0</v>
      </c>
      <c r="BF436">
        <v>0</v>
      </c>
      <c r="BG436">
        <v>0</v>
      </c>
      <c r="BI436">
        <v>1</v>
      </c>
      <c r="BJ436">
        <v>1</v>
      </c>
      <c r="BK436">
        <v>1</v>
      </c>
      <c r="BL436">
        <v>0</v>
      </c>
      <c r="BO436">
        <v>0</v>
      </c>
      <c r="BP436">
        <v>0</v>
      </c>
      <c r="BW436" t="str">
        <f>"19:09:42.892"</f>
        <v>19:09:42.892</v>
      </c>
      <c r="BX436" t="s">
        <v>119</v>
      </c>
      <c r="BY436" t="s">
        <v>120</v>
      </c>
      <c r="CJ436">
        <v>0</v>
      </c>
      <c r="CK436">
        <v>0</v>
      </c>
      <c r="CL436">
        <v>0</v>
      </c>
      <c r="CM436">
        <v>2</v>
      </c>
      <c r="CN436">
        <v>0</v>
      </c>
      <c r="CO436">
        <v>7</v>
      </c>
      <c r="CP436" t="s">
        <v>121</v>
      </c>
      <c r="CQ436">
        <v>580</v>
      </c>
      <c r="CR436">
        <v>0</v>
      </c>
      <c r="CW436">
        <v>16755083</v>
      </c>
      <c r="CY436">
        <v>0</v>
      </c>
      <c r="CZ436">
        <v>0</v>
      </c>
      <c r="DA436">
        <v>0</v>
      </c>
      <c r="DB436">
        <v>1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</row>
    <row r="437" spans="1:113" x14ac:dyDescent="0.3">
      <c r="A437" t="str">
        <f>"06/16/2022 19:09:44.125"</f>
        <v>06/16/2022 19:09:44.125</v>
      </c>
      <c r="C437" t="str">
        <f t="shared" si="18"/>
        <v>FFBF5BC0</v>
      </c>
      <c r="D437" t="s">
        <v>113</v>
      </c>
      <c r="E437">
        <v>8</v>
      </c>
      <c r="H437">
        <v>206</v>
      </c>
      <c r="I437" t="s">
        <v>114</v>
      </c>
      <c r="J437" t="s">
        <v>115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>"19:09:43.852"</f>
        <v>19:09:43.852</v>
      </c>
      <c r="T437" t="str">
        <f>"19:09:43.852"</f>
        <v>19:09:43.852</v>
      </c>
      <c r="U437" t="str">
        <f t="shared" si="19"/>
        <v>AB63B2</v>
      </c>
      <c r="V437">
        <v>0</v>
      </c>
      <c r="W437">
        <v>0</v>
      </c>
      <c r="X437">
        <v>6</v>
      </c>
      <c r="Z437">
        <v>0</v>
      </c>
      <c r="AA437">
        <v>9</v>
      </c>
      <c r="AB437">
        <v>3</v>
      </c>
      <c r="AC437">
        <v>0</v>
      </c>
      <c r="AD437">
        <v>10</v>
      </c>
      <c r="AE437">
        <v>0</v>
      </c>
      <c r="AF437">
        <v>0</v>
      </c>
      <c r="AG437">
        <v>2</v>
      </c>
      <c r="AH437">
        <v>0</v>
      </c>
      <c r="AI437" t="s">
        <v>480</v>
      </c>
      <c r="AJ437">
        <v>41.972344</v>
      </c>
      <c r="AK437" t="s">
        <v>481</v>
      </c>
      <c r="AL437">
        <v>-87.898200000000003</v>
      </c>
      <c r="AS437">
        <v>1</v>
      </c>
      <c r="AT437" t="s">
        <v>118</v>
      </c>
      <c r="AU437" t="b">
        <v>1</v>
      </c>
      <c r="AV437">
        <v>241.88</v>
      </c>
      <c r="AW437">
        <v>15.125</v>
      </c>
      <c r="AX437">
        <v>1</v>
      </c>
      <c r="AZ437">
        <v>7205</v>
      </c>
      <c r="BA437">
        <v>1</v>
      </c>
      <c r="BB437" t="str">
        <f t="shared" si="20"/>
        <v xml:space="preserve">KAP400  </v>
      </c>
      <c r="BC437">
        <v>1</v>
      </c>
      <c r="BE437">
        <v>0</v>
      </c>
      <c r="BF437">
        <v>0</v>
      </c>
      <c r="BG437">
        <v>0</v>
      </c>
      <c r="BI437">
        <v>1</v>
      </c>
      <c r="BJ437">
        <v>1</v>
      </c>
      <c r="BK437">
        <v>1</v>
      </c>
      <c r="BL437">
        <v>0</v>
      </c>
      <c r="BO437">
        <v>0</v>
      </c>
      <c r="BP437">
        <v>0</v>
      </c>
      <c r="BW437" t="str">
        <f>"19:09:43.859"</f>
        <v>19:09:43.859</v>
      </c>
      <c r="BX437" t="s">
        <v>119</v>
      </c>
      <c r="BY437" t="s">
        <v>120</v>
      </c>
      <c r="CJ437">
        <v>0</v>
      </c>
      <c r="CK437">
        <v>0</v>
      </c>
      <c r="CL437">
        <v>0</v>
      </c>
      <c r="CM437">
        <v>2</v>
      </c>
      <c r="CN437">
        <v>0</v>
      </c>
      <c r="CO437">
        <v>7</v>
      </c>
      <c r="CP437" t="s">
        <v>121</v>
      </c>
      <c r="CQ437">
        <v>580</v>
      </c>
      <c r="CR437">
        <v>0</v>
      </c>
      <c r="CW437">
        <v>16756918</v>
      </c>
      <c r="CY437">
        <v>0</v>
      </c>
      <c r="CZ437">
        <v>0</v>
      </c>
      <c r="DA437">
        <v>0</v>
      </c>
      <c r="DB437">
        <v>1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</row>
    <row r="438" spans="1:113" x14ac:dyDescent="0.3">
      <c r="A438" t="str">
        <f>"06/16/2022 19:09:45.156"</f>
        <v>06/16/2022 19:09:45.156</v>
      </c>
      <c r="C438" t="str">
        <f t="shared" si="18"/>
        <v>FFBF5BC0</v>
      </c>
      <c r="D438" t="s">
        <v>113</v>
      </c>
      <c r="E438">
        <v>8</v>
      </c>
      <c r="H438">
        <v>206</v>
      </c>
      <c r="I438" t="s">
        <v>114</v>
      </c>
      <c r="J438" t="s">
        <v>115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>"19:09:44.891"</f>
        <v>19:09:44.891</v>
      </c>
      <c r="T438" t="str">
        <f>"19:09:44.891"</f>
        <v>19:09:44.891</v>
      </c>
      <c r="U438" t="str">
        <f t="shared" si="19"/>
        <v>AB63B2</v>
      </c>
      <c r="V438">
        <v>0</v>
      </c>
      <c r="W438">
        <v>0</v>
      </c>
      <c r="X438">
        <v>6</v>
      </c>
      <c r="Z438">
        <v>0</v>
      </c>
      <c r="AA438">
        <v>9</v>
      </c>
      <c r="AB438">
        <v>3</v>
      </c>
      <c r="AC438">
        <v>0</v>
      </c>
      <c r="AD438">
        <v>10</v>
      </c>
      <c r="AE438">
        <v>0</v>
      </c>
      <c r="AF438">
        <v>0</v>
      </c>
      <c r="AG438">
        <v>2</v>
      </c>
      <c r="AH438">
        <v>0</v>
      </c>
      <c r="AI438" t="s">
        <v>482</v>
      </c>
      <c r="AJ438">
        <v>41.972301000000002</v>
      </c>
      <c r="AK438" t="s">
        <v>483</v>
      </c>
      <c r="AL438">
        <v>-87.898307000000003</v>
      </c>
      <c r="AS438">
        <v>1</v>
      </c>
      <c r="AT438" t="s">
        <v>118</v>
      </c>
      <c r="AU438" t="b">
        <v>1</v>
      </c>
      <c r="AV438">
        <v>241.88</v>
      </c>
      <c r="AW438">
        <v>16.125</v>
      </c>
      <c r="AX438">
        <v>1</v>
      </c>
      <c r="AZ438">
        <v>7205</v>
      </c>
      <c r="BA438">
        <v>1</v>
      </c>
      <c r="BB438" t="str">
        <f t="shared" si="20"/>
        <v xml:space="preserve">KAP400  </v>
      </c>
      <c r="BC438">
        <v>1</v>
      </c>
      <c r="BE438">
        <v>0</v>
      </c>
      <c r="BF438">
        <v>0</v>
      </c>
      <c r="BG438">
        <v>0</v>
      </c>
      <c r="BI438">
        <v>1</v>
      </c>
      <c r="BJ438">
        <v>1</v>
      </c>
      <c r="BK438">
        <v>1</v>
      </c>
      <c r="BL438">
        <v>0</v>
      </c>
      <c r="BO438">
        <v>0</v>
      </c>
      <c r="BP438">
        <v>0</v>
      </c>
      <c r="BW438" t="str">
        <f>"19:09:44.896"</f>
        <v>19:09:44.896</v>
      </c>
      <c r="BX438" t="s">
        <v>119</v>
      </c>
      <c r="BY438" t="s">
        <v>120</v>
      </c>
      <c r="CJ438">
        <v>0</v>
      </c>
      <c r="CK438">
        <v>0</v>
      </c>
      <c r="CL438">
        <v>0</v>
      </c>
      <c r="CM438">
        <v>2</v>
      </c>
      <c r="CN438">
        <v>0</v>
      </c>
      <c r="CO438">
        <v>7</v>
      </c>
      <c r="CP438" t="s">
        <v>121</v>
      </c>
      <c r="CQ438">
        <v>580</v>
      </c>
      <c r="CR438">
        <v>0</v>
      </c>
      <c r="CW438">
        <v>16759092</v>
      </c>
      <c r="CY438">
        <v>0</v>
      </c>
      <c r="CZ438">
        <v>0</v>
      </c>
      <c r="DA438">
        <v>0</v>
      </c>
      <c r="DB438">
        <v>1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</row>
    <row r="439" spans="1:113" x14ac:dyDescent="0.3">
      <c r="A439" t="str">
        <f>"06/16/2022 19:09:46.125"</f>
        <v>06/16/2022 19:09:46.125</v>
      </c>
      <c r="C439" t="str">
        <f t="shared" si="18"/>
        <v>FFBF5BC0</v>
      </c>
      <c r="D439" t="s">
        <v>113</v>
      </c>
      <c r="E439">
        <v>8</v>
      </c>
      <c r="H439">
        <v>206</v>
      </c>
      <c r="I439" t="s">
        <v>114</v>
      </c>
      <c r="J439" t="s">
        <v>115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>"19:09:45.922"</f>
        <v>19:09:45.922</v>
      </c>
      <c r="T439" t="str">
        <f>"19:09:45.922"</f>
        <v>19:09:45.922</v>
      </c>
      <c r="U439" t="str">
        <f t="shared" si="19"/>
        <v>AB63B2</v>
      </c>
      <c r="V439">
        <v>0</v>
      </c>
      <c r="W439">
        <v>0</v>
      </c>
      <c r="X439">
        <v>6</v>
      </c>
      <c r="Z439">
        <v>0</v>
      </c>
      <c r="AA439">
        <v>9</v>
      </c>
      <c r="AB439">
        <v>3</v>
      </c>
      <c r="AC439">
        <v>0</v>
      </c>
      <c r="AD439">
        <v>10</v>
      </c>
      <c r="AE439">
        <v>0</v>
      </c>
      <c r="AF439">
        <v>0</v>
      </c>
      <c r="AG439">
        <v>2</v>
      </c>
      <c r="AH439">
        <v>0</v>
      </c>
      <c r="AI439" t="s">
        <v>484</v>
      </c>
      <c r="AJ439">
        <v>41.972279999999998</v>
      </c>
      <c r="AK439" t="s">
        <v>485</v>
      </c>
      <c r="AL439">
        <v>-87.898392999999999</v>
      </c>
      <c r="AS439">
        <v>1</v>
      </c>
      <c r="AT439" t="s">
        <v>118</v>
      </c>
      <c r="AU439" t="b">
        <v>1</v>
      </c>
      <c r="AV439">
        <v>241.88</v>
      </c>
      <c r="AW439">
        <v>16.125</v>
      </c>
      <c r="AX439">
        <v>1</v>
      </c>
      <c r="AZ439">
        <v>7205</v>
      </c>
      <c r="BA439">
        <v>1</v>
      </c>
      <c r="BB439" t="str">
        <f t="shared" si="20"/>
        <v xml:space="preserve">KAP400  </v>
      </c>
      <c r="BC439">
        <v>1</v>
      </c>
      <c r="BE439">
        <v>0</v>
      </c>
      <c r="BF439">
        <v>0</v>
      </c>
      <c r="BG439">
        <v>0</v>
      </c>
      <c r="BI439">
        <v>1</v>
      </c>
      <c r="BJ439">
        <v>1</v>
      </c>
      <c r="BK439">
        <v>1</v>
      </c>
      <c r="BL439">
        <v>0</v>
      </c>
      <c r="BO439">
        <v>0</v>
      </c>
      <c r="BP439">
        <v>0</v>
      </c>
      <c r="BW439" t="str">
        <f>"19:09:45.928"</f>
        <v>19:09:45.928</v>
      </c>
      <c r="BX439" t="s">
        <v>119</v>
      </c>
      <c r="BY439" t="s">
        <v>120</v>
      </c>
      <c r="CJ439">
        <v>0</v>
      </c>
      <c r="CK439">
        <v>0</v>
      </c>
      <c r="CL439">
        <v>0</v>
      </c>
      <c r="CM439">
        <v>2</v>
      </c>
      <c r="CN439">
        <v>0</v>
      </c>
      <c r="CO439">
        <v>7</v>
      </c>
      <c r="CP439" t="s">
        <v>121</v>
      </c>
      <c r="CQ439">
        <v>580</v>
      </c>
      <c r="CR439">
        <v>0</v>
      </c>
      <c r="CW439">
        <v>16761079</v>
      </c>
      <c r="CY439">
        <v>0</v>
      </c>
      <c r="CZ439">
        <v>0</v>
      </c>
      <c r="DA439">
        <v>0</v>
      </c>
      <c r="DB439">
        <v>1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</row>
    <row r="440" spans="1:113" x14ac:dyDescent="0.3">
      <c r="A440" t="str">
        <f>"06/16/2022 19:09:47.267"</f>
        <v>06/16/2022 19:09:47.267</v>
      </c>
      <c r="C440" t="str">
        <f t="shared" si="18"/>
        <v>FFBF5BC0</v>
      </c>
      <c r="D440" t="s">
        <v>113</v>
      </c>
      <c r="E440">
        <v>8</v>
      </c>
      <c r="H440">
        <v>206</v>
      </c>
      <c r="I440" t="s">
        <v>114</v>
      </c>
      <c r="J440" t="s">
        <v>115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>"19:09:46.938"</f>
        <v>19:09:46.938</v>
      </c>
      <c r="T440" t="str">
        <f>"19:09:46.938"</f>
        <v>19:09:46.938</v>
      </c>
      <c r="U440" t="str">
        <f t="shared" si="19"/>
        <v>AB63B2</v>
      </c>
      <c r="V440">
        <v>0</v>
      </c>
      <c r="W440">
        <v>0</v>
      </c>
      <c r="X440">
        <v>6</v>
      </c>
      <c r="Z440">
        <v>0</v>
      </c>
      <c r="AA440">
        <v>9</v>
      </c>
      <c r="AB440">
        <v>3</v>
      </c>
      <c r="AC440">
        <v>0</v>
      </c>
      <c r="AD440">
        <v>10</v>
      </c>
      <c r="AE440">
        <v>0</v>
      </c>
      <c r="AF440">
        <v>0</v>
      </c>
      <c r="AG440">
        <v>2</v>
      </c>
      <c r="AH440">
        <v>0</v>
      </c>
      <c r="AI440" t="s">
        <v>486</v>
      </c>
      <c r="AJ440">
        <v>41.972237</v>
      </c>
      <c r="AK440" t="s">
        <v>487</v>
      </c>
      <c r="AL440">
        <v>-87.898478999999995</v>
      </c>
      <c r="AS440">
        <v>1</v>
      </c>
      <c r="AT440" t="s">
        <v>118</v>
      </c>
      <c r="AU440" t="b">
        <v>1</v>
      </c>
      <c r="AV440">
        <v>244.69</v>
      </c>
      <c r="AW440">
        <v>16.125</v>
      </c>
      <c r="AX440">
        <v>1</v>
      </c>
      <c r="AZ440">
        <v>7205</v>
      </c>
      <c r="BA440">
        <v>1</v>
      </c>
      <c r="BB440" t="str">
        <f t="shared" si="20"/>
        <v xml:space="preserve">KAP400  </v>
      </c>
      <c r="BC440">
        <v>1</v>
      </c>
      <c r="BE440">
        <v>0</v>
      </c>
      <c r="BF440">
        <v>0</v>
      </c>
      <c r="BG440">
        <v>0</v>
      </c>
      <c r="BI440">
        <v>1</v>
      </c>
      <c r="BJ440">
        <v>1</v>
      </c>
      <c r="BK440">
        <v>1</v>
      </c>
      <c r="BL440">
        <v>0</v>
      </c>
      <c r="BO440">
        <v>0</v>
      </c>
      <c r="BP440">
        <v>0</v>
      </c>
      <c r="BW440" t="str">
        <f>"19:09:46.939"</f>
        <v>19:09:46.939</v>
      </c>
      <c r="BX440" t="s">
        <v>119</v>
      </c>
      <c r="BY440" t="s">
        <v>120</v>
      </c>
      <c r="CJ440">
        <v>0</v>
      </c>
      <c r="CK440">
        <v>0</v>
      </c>
      <c r="CL440">
        <v>0</v>
      </c>
      <c r="CM440">
        <v>2</v>
      </c>
      <c r="CN440">
        <v>0</v>
      </c>
      <c r="CO440">
        <v>7</v>
      </c>
      <c r="CP440" t="s">
        <v>121</v>
      </c>
      <c r="CQ440">
        <v>580</v>
      </c>
      <c r="CR440">
        <v>0</v>
      </c>
      <c r="CW440">
        <v>16762917</v>
      </c>
      <c r="CY440">
        <v>0</v>
      </c>
      <c r="CZ440">
        <v>0</v>
      </c>
      <c r="DA440">
        <v>0</v>
      </c>
      <c r="DB440">
        <v>1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</row>
    <row r="441" spans="1:113" x14ac:dyDescent="0.3">
      <c r="A441" t="str">
        <f>"06/16/2022 19:09:48.314"</f>
        <v>06/16/2022 19:09:48.314</v>
      </c>
      <c r="C441" t="str">
        <f t="shared" si="18"/>
        <v>FFBF5BC0</v>
      </c>
      <c r="D441" t="s">
        <v>113</v>
      </c>
      <c r="E441">
        <v>8</v>
      </c>
      <c r="H441">
        <v>206</v>
      </c>
      <c r="I441" t="s">
        <v>114</v>
      </c>
      <c r="J441" t="s">
        <v>115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>"19:09:47.914"</f>
        <v>19:09:47.914</v>
      </c>
      <c r="T441" t="str">
        <f>"19:09:47.914"</f>
        <v>19:09:47.914</v>
      </c>
      <c r="U441" t="str">
        <f t="shared" si="19"/>
        <v>AB63B2</v>
      </c>
      <c r="V441">
        <v>0</v>
      </c>
      <c r="W441">
        <v>0</v>
      </c>
      <c r="X441">
        <v>6</v>
      </c>
      <c r="Z441">
        <v>0</v>
      </c>
      <c r="AA441">
        <v>9</v>
      </c>
      <c r="AB441">
        <v>3</v>
      </c>
      <c r="AC441">
        <v>0</v>
      </c>
      <c r="AD441">
        <v>10</v>
      </c>
      <c r="AE441">
        <v>0</v>
      </c>
      <c r="AF441">
        <v>0</v>
      </c>
      <c r="AG441">
        <v>2</v>
      </c>
      <c r="AH441">
        <v>0</v>
      </c>
      <c r="AI441" t="s">
        <v>488</v>
      </c>
      <c r="AJ441">
        <v>41.972214999999998</v>
      </c>
      <c r="AK441" t="s">
        <v>489</v>
      </c>
      <c r="AL441">
        <v>-87.898543000000004</v>
      </c>
      <c r="AS441">
        <v>1</v>
      </c>
      <c r="AT441" t="s">
        <v>118</v>
      </c>
      <c r="AU441" t="b">
        <v>1</v>
      </c>
      <c r="AV441">
        <v>247.5</v>
      </c>
      <c r="AW441">
        <v>16.125</v>
      </c>
      <c r="AX441">
        <v>1</v>
      </c>
      <c r="AZ441">
        <v>7205</v>
      </c>
      <c r="BA441">
        <v>1</v>
      </c>
      <c r="BB441" t="str">
        <f t="shared" si="20"/>
        <v xml:space="preserve">KAP400  </v>
      </c>
      <c r="BC441">
        <v>1</v>
      </c>
      <c r="BE441">
        <v>0</v>
      </c>
      <c r="BF441">
        <v>0</v>
      </c>
      <c r="BG441">
        <v>0</v>
      </c>
      <c r="BI441">
        <v>1</v>
      </c>
      <c r="BJ441">
        <v>1</v>
      </c>
      <c r="BK441">
        <v>1</v>
      </c>
      <c r="BL441">
        <v>0</v>
      </c>
      <c r="BO441">
        <v>0</v>
      </c>
      <c r="BP441">
        <v>0</v>
      </c>
      <c r="BW441" t="str">
        <f>"19:09:47.917"</f>
        <v>19:09:47.917</v>
      </c>
      <c r="BX441" t="s">
        <v>119</v>
      </c>
      <c r="BY441" t="s">
        <v>120</v>
      </c>
      <c r="CJ441">
        <v>0</v>
      </c>
      <c r="CK441">
        <v>0</v>
      </c>
      <c r="CL441">
        <v>0</v>
      </c>
      <c r="CM441">
        <v>2</v>
      </c>
      <c r="CN441">
        <v>0</v>
      </c>
      <c r="CO441">
        <v>7</v>
      </c>
      <c r="CP441" t="s">
        <v>121</v>
      </c>
      <c r="CQ441">
        <v>579</v>
      </c>
      <c r="CR441">
        <v>0</v>
      </c>
      <c r="CW441">
        <v>1065061</v>
      </c>
      <c r="CY441">
        <v>0</v>
      </c>
      <c r="CZ441">
        <v>0</v>
      </c>
      <c r="DA441">
        <v>0</v>
      </c>
      <c r="DB441">
        <v>1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</row>
    <row r="442" spans="1:113" x14ac:dyDescent="0.3">
      <c r="A442" t="str">
        <f>"06/16/2022 19:09:49.111"</f>
        <v>06/16/2022 19:09:49.111</v>
      </c>
      <c r="C442" t="str">
        <f t="shared" si="18"/>
        <v>FFBF5BC0</v>
      </c>
      <c r="D442" t="s">
        <v>113</v>
      </c>
      <c r="E442">
        <v>8</v>
      </c>
      <c r="H442">
        <v>206</v>
      </c>
      <c r="I442" t="s">
        <v>114</v>
      </c>
      <c r="J442" t="s">
        <v>115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>"19:09:48.789"</f>
        <v>19:09:48.789</v>
      </c>
      <c r="T442" t="str">
        <f>"19:09:48.789"</f>
        <v>19:09:48.789</v>
      </c>
      <c r="U442" t="str">
        <f t="shared" si="19"/>
        <v>AB63B2</v>
      </c>
      <c r="V442">
        <v>0</v>
      </c>
      <c r="W442">
        <v>0</v>
      </c>
      <c r="X442">
        <v>6</v>
      </c>
      <c r="Z442">
        <v>0</v>
      </c>
      <c r="AA442">
        <v>9</v>
      </c>
      <c r="AB442">
        <v>3</v>
      </c>
      <c r="AC442">
        <v>0</v>
      </c>
      <c r="AD442">
        <v>10</v>
      </c>
      <c r="AE442">
        <v>0</v>
      </c>
      <c r="AF442">
        <v>0</v>
      </c>
      <c r="AG442">
        <v>2</v>
      </c>
      <c r="AH442">
        <v>0</v>
      </c>
      <c r="AI442" t="s">
        <v>490</v>
      </c>
      <c r="AJ442">
        <v>41.972194000000002</v>
      </c>
      <c r="AK442" t="s">
        <v>491</v>
      </c>
      <c r="AL442">
        <v>-87.898650000000004</v>
      </c>
      <c r="AS442">
        <v>1</v>
      </c>
      <c r="AT442" t="s">
        <v>118</v>
      </c>
      <c r="AU442" t="b">
        <v>1</v>
      </c>
      <c r="AV442">
        <v>250.31</v>
      </c>
      <c r="AW442">
        <v>16.125</v>
      </c>
      <c r="AX442">
        <v>1</v>
      </c>
      <c r="AZ442">
        <v>7205</v>
      </c>
      <c r="BA442">
        <v>1</v>
      </c>
      <c r="BB442" t="str">
        <f t="shared" si="20"/>
        <v xml:space="preserve">KAP400  </v>
      </c>
      <c r="BC442">
        <v>1</v>
      </c>
      <c r="BE442">
        <v>0</v>
      </c>
      <c r="BF442">
        <v>0</v>
      </c>
      <c r="BG442">
        <v>0</v>
      </c>
      <c r="BI442">
        <v>1</v>
      </c>
      <c r="BJ442">
        <v>1</v>
      </c>
      <c r="BK442">
        <v>1</v>
      </c>
      <c r="BL442">
        <v>0</v>
      </c>
      <c r="BO442">
        <v>0</v>
      </c>
      <c r="BP442">
        <v>0</v>
      </c>
      <c r="BW442" t="str">
        <f>"19:09:48.792"</f>
        <v>19:09:48.792</v>
      </c>
      <c r="BX442" t="s">
        <v>119</v>
      </c>
      <c r="BY442" t="s">
        <v>120</v>
      </c>
      <c r="CJ442">
        <v>0</v>
      </c>
      <c r="CK442">
        <v>0</v>
      </c>
      <c r="CL442">
        <v>0</v>
      </c>
      <c r="CM442">
        <v>2</v>
      </c>
      <c r="CN442">
        <v>0</v>
      </c>
      <c r="CO442">
        <v>6</v>
      </c>
      <c r="CP442" t="s">
        <v>121</v>
      </c>
      <c r="CQ442">
        <v>579</v>
      </c>
      <c r="CR442">
        <v>0</v>
      </c>
      <c r="CW442">
        <v>1066926</v>
      </c>
      <c r="CY442">
        <v>0</v>
      </c>
      <c r="CZ442">
        <v>0</v>
      </c>
      <c r="DA442">
        <v>0</v>
      </c>
      <c r="DB442">
        <v>1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</row>
    <row r="443" spans="1:113" x14ac:dyDescent="0.3">
      <c r="A443" t="str">
        <f>"06/16/2022 19:09:50.111"</f>
        <v>06/16/2022 19:09:50.111</v>
      </c>
      <c r="C443" t="str">
        <f t="shared" si="18"/>
        <v>FFBF5BC0</v>
      </c>
      <c r="D443" t="s">
        <v>113</v>
      </c>
      <c r="E443">
        <v>8</v>
      </c>
      <c r="H443">
        <v>206</v>
      </c>
      <c r="I443" t="s">
        <v>114</v>
      </c>
      <c r="J443" t="s">
        <v>115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>"19:09:49.828"</f>
        <v>19:09:49.828</v>
      </c>
      <c r="T443" t="str">
        <f>"19:09:49.828"</f>
        <v>19:09:49.828</v>
      </c>
      <c r="U443" t="str">
        <f t="shared" si="19"/>
        <v>AB63B2</v>
      </c>
      <c r="V443">
        <v>0</v>
      </c>
      <c r="W443">
        <v>0</v>
      </c>
      <c r="X443">
        <v>6</v>
      </c>
      <c r="Z443">
        <v>0</v>
      </c>
      <c r="AA443">
        <v>9</v>
      </c>
      <c r="AB443">
        <v>3</v>
      </c>
      <c r="AC443">
        <v>0</v>
      </c>
      <c r="AD443">
        <v>10</v>
      </c>
      <c r="AE443">
        <v>0</v>
      </c>
      <c r="AF443">
        <v>0</v>
      </c>
      <c r="AG443">
        <v>2</v>
      </c>
      <c r="AH443">
        <v>0</v>
      </c>
      <c r="AI443" t="s">
        <v>492</v>
      </c>
      <c r="AJ443">
        <v>41.972150999999997</v>
      </c>
      <c r="AK443" t="s">
        <v>493</v>
      </c>
      <c r="AL443">
        <v>-87.898714999999996</v>
      </c>
      <c r="AS443">
        <v>1</v>
      </c>
      <c r="AT443" t="s">
        <v>118</v>
      </c>
      <c r="AU443" t="b">
        <v>1</v>
      </c>
      <c r="AV443">
        <v>253.13</v>
      </c>
      <c r="AW443">
        <v>16.125</v>
      </c>
      <c r="AX443">
        <v>1</v>
      </c>
      <c r="AZ443">
        <v>7205</v>
      </c>
      <c r="BA443">
        <v>1</v>
      </c>
      <c r="BB443" t="str">
        <f t="shared" si="20"/>
        <v xml:space="preserve">KAP400  </v>
      </c>
      <c r="BC443">
        <v>1</v>
      </c>
      <c r="BE443">
        <v>0</v>
      </c>
      <c r="BF443">
        <v>0</v>
      </c>
      <c r="BG443">
        <v>0</v>
      </c>
      <c r="BI443">
        <v>1</v>
      </c>
      <c r="BJ443">
        <v>1</v>
      </c>
      <c r="BK443">
        <v>1</v>
      </c>
      <c r="BL443">
        <v>0</v>
      </c>
      <c r="BO443">
        <v>0</v>
      </c>
      <c r="BP443">
        <v>0</v>
      </c>
      <c r="BW443" t="str">
        <f>"19:09:49.836"</f>
        <v>19:09:49.836</v>
      </c>
      <c r="BX443" t="s">
        <v>119</v>
      </c>
      <c r="BY443" t="s">
        <v>120</v>
      </c>
      <c r="CJ443">
        <v>0</v>
      </c>
      <c r="CK443">
        <v>0</v>
      </c>
      <c r="CL443">
        <v>0</v>
      </c>
      <c r="CM443">
        <v>2</v>
      </c>
      <c r="CN443">
        <v>0</v>
      </c>
      <c r="CO443">
        <v>6</v>
      </c>
      <c r="CP443" t="s">
        <v>121</v>
      </c>
      <c r="CQ443">
        <v>579</v>
      </c>
      <c r="CR443">
        <v>0</v>
      </c>
      <c r="CW443">
        <v>1069362</v>
      </c>
      <c r="CY443">
        <v>0</v>
      </c>
      <c r="CZ443">
        <v>0</v>
      </c>
      <c r="DA443">
        <v>0</v>
      </c>
      <c r="DB443">
        <v>1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</row>
    <row r="444" spans="1:113" x14ac:dyDescent="0.3">
      <c r="A444" t="str">
        <f>"06/16/2022 19:09:51.126"</f>
        <v>06/16/2022 19:09:51.126</v>
      </c>
      <c r="C444" t="str">
        <f t="shared" si="18"/>
        <v>FFBF5BC0</v>
      </c>
      <c r="D444" t="s">
        <v>113</v>
      </c>
      <c r="E444">
        <v>8</v>
      </c>
      <c r="H444">
        <v>206</v>
      </c>
      <c r="I444" t="s">
        <v>114</v>
      </c>
      <c r="J444" t="s">
        <v>115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>"19:09:50.844"</f>
        <v>19:09:50.844</v>
      </c>
      <c r="T444" t="str">
        <f>"19:09:50.844"</f>
        <v>19:09:50.844</v>
      </c>
      <c r="U444" t="str">
        <f t="shared" si="19"/>
        <v>AB63B2</v>
      </c>
      <c r="V444">
        <v>0</v>
      </c>
      <c r="W444">
        <v>0</v>
      </c>
      <c r="X444">
        <v>6</v>
      </c>
      <c r="Z444">
        <v>0</v>
      </c>
      <c r="AA444">
        <v>9</v>
      </c>
      <c r="AB444">
        <v>3</v>
      </c>
      <c r="AC444">
        <v>0</v>
      </c>
      <c r="AD444">
        <v>10</v>
      </c>
      <c r="AE444">
        <v>0</v>
      </c>
      <c r="AF444">
        <v>0</v>
      </c>
      <c r="AG444">
        <v>2</v>
      </c>
      <c r="AH444">
        <v>0</v>
      </c>
      <c r="AI444" t="s">
        <v>494</v>
      </c>
      <c r="AJ444">
        <v>41.972129000000002</v>
      </c>
      <c r="AK444" t="s">
        <v>495</v>
      </c>
      <c r="AL444">
        <v>-87.898821999999996</v>
      </c>
      <c r="AS444">
        <v>1</v>
      </c>
      <c r="AT444" t="s">
        <v>118</v>
      </c>
      <c r="AU444" t="b">
        <v>1</v>
      </c>
      <c r="AV444">
        <v>253.13</v>
      </c>
      <c r="AW444">
        <v>16.125</v>
      </c>
      <c r="AX444">
        <v>1</v>
      </c>
      <c r="AZ444">
        <v>7205</v>
      </c>
      <c r="BA444">
        <v>1</v>
      </c>
      <c r="BB444" t="str">
        <f t="shared" si="20"/>
        <v xml:space="preserve">KAP400  </v>
      </c>
      <c r="BC444">
        <v>1</v>
      </c>
      <c r="BE444">
        <v>0</v>
      </c>
      <c r="BF444">
        <v>0</v>
      </c>
      <c r="BG444">
        <v>0</v>
      </c>
      <c r="BI444">
        <v>1</v>
      </c>
      <c r="BJ444">
        <v>1</v>
      </c>
      <c r="BK444">
        <v>1</v>
      </c>
      <c r="BL444">
        <v>0</v>
      </c>
      <c r="BO444">
        <v>0</v>
      </c>
      <c r="BP444">
        <v>0</v>
      </c>
      <c r="BW444" t="str">
        <f>"19:09:50.847"</f>
        <v>19:09:50.847</v>
      </c>
      <c r="BX444" t="s">
        <v>119</v>
      </c>
      <c r="BY444" t="s">
        <v>120</v>
      </c>
      <c r="CJ444">
        <v>0</v>
      </c>
      <c r="CK444">
        <v>0</v>
      </c>
      <c r="CL444">
        <v>0</v>
      </c>
      <c r="CM444">
        <v>2</v>
      </c>
      <c r="CN444">
        <v>0</v>
      </c>
      <c r="CO444">
        <v>7</v>
      </c>
      <c r="CP444" t="s">
        <v>121</v>
      </c>
      <c r="CQ444">
        <v>580</v>
      </c>
      <c r="CR444">
        <v>0</v>
      </c>
      <c r="CW444">
        <v>16770485</v>
      </c>
      <c r="CY444">
        <v>0</v>
      </c>
      <c r="CZ444">
        <v>0</v>
      </c>
      <c r="DA444">
        <v>0</v>
      </c>
      <c r="DB444">
        <v>1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</row>
    <row r="445" spans="1:113" x14ac:dyDescent="0.3">
      <c r="A445" t="str">
        <f>"06/16/2022 19:09:52.017"</f>
        <v>06/16/2022 19:09:52.017</v>
      </c>
      <c r="C445" t="str">
        <f t="shared" si="18"/>
        <v>FFBF5BC0</v>
      </c>
      <c r="D445" t="s">
        <v>113</v>
      </c>
      <c r="E445">
        <v>8</v>
      </c>
      <c r="H445">
        <v>206</v>
      </c>
      <c r="I445" t="s">
        <v>114</v>
      </c>
      <c r="J445" t="s">
        <v>115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>"19:09:51.836"</f>
        <v>19:09:51.836</v>
      </c>
      <c r="T445" t="str">
        <f>"19:09:51.836"</f>
        <v>19:09:51.836</v>
      </c>
      <c r="U445" t="str">
        <f t="shared" si="19"/>
        <v>AB63B2</v>
      </c>
      <c r="V445">
        <v>0</v>
      </c>
      <c r="W445">
        <v>0</v>
      </c>
      <c r="X445">
        <v>6</v>
      </c>
      <c r="Z445">
        <v>0</v>
      </c>
      <c r="AA445">
        <v>9</v>
      </c>
      <c r="AB445">
        <v>3</v>
      </c>
      <c r="AC445">
        <v>0</v>
      </c>
      <c r="AD445">
        <v>10</v>
      </c>
      <c r="AE445">
        <v>0</v>
      </c>
      <c r="AF445">
        <v>0</v>
      </c>
      <c r="AG445">
        <v>2</v>
      </c>
      <c r="AH445">
        <v>0</v>
      </c>
      <c r="AI445" t="s">
        <v>494</v>
      </c>
      <c r="AJ445">
        <v>41.972129000000002</v>
      </c>
      <c r="AK445" t="s">
        <v>496</v>
      </c>
      <c r="AL445">
        <v>-87.898908000000006</v>
      </c>
      <c r="AS445">
        <v>1</v>
      </c>
      <c r="AT445" t="s">
        <v>118</v>
      </c>
      <c r="AU445" t="b">
        <v>1</v>
      </c>
      <c r="AV445">
        <v>255.94</v>
      </c>
      <c r="AW445">
        <v>16.125</v>
      </c>
      <c r="AX445">
        <v>1</v>
      </c>
      <c r="AZ445">
        <v>7205</v>
      </c>
      <c r="BA445">
        <v>1</v>
      </c>
      <c r="BB445" t="str">
        <f t="shared" si="20"/>
        <v xml:space="preserve">KAP400  </v>
      </c>
      <c r="BC445">
        <v>1</v>
      </c>
      <c r="BE445">
        <v>0</v>
      </c>
      <c r="BF445">
        <v>0</v>
      </c>
      <c r="BG445">
        <v>0</v>
      </c>
      <c r="BI445">
        <v>1</v>
      </c>
      <c r="BJ445">
        <v>1</v>
      </c>
      <c r="BK445">
        <v>1</v>
      </c>
      <c r="BL445">
        <v>0</v>
      </c>
      <c r="BO445">
        <v>0</v>
      </c>
      <c r="BP445">
        <v>0</v>
      </c>
      <c r="BW445" t="str">
        <f>"19:09:51.836"</f>
        <v>19:09:51.836</v>
      </c>
      <c r="BX445" t="s">
        <v>119</v>
      </c>
      <c r="BY445" t="s">
        <v>120</v>
      </c>
      <c r="CJ445">
        <v>0</v>
      </c>
      <c r="CK445">
        <v>0</v>
      </c>
      <c r="CL445">
        <v>0</v>
      </c>
      <c r="CM445">
        <v>2</v>
      </c>
      <c r="CN445">
        <v>0</v>
      </c>
      <c r="CO445">
        <v>7</v>
      </c>
      <c r="CP445" t="s">
        <v>121</v>
      </c>
      <c r="CQ445">
        <v>579</v>
      </c>
      <c r="CR445">
        <v>0</v>
      </c>
      <c r="CW445">
        <v>1073448</v>
      </c>
      <c r="CY445">
        <v>0</v>
      </c>
      <c r="CZ445">
        <v>0</v>
      </c>
      <c r="DA445">
        <v>0</v>
      </c>
      <c r="DB445">
        <v>1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</row>
    <row r="446" spans="1:113" x14ac:dyDescent="0.3">
      <c r="A446" t="str">
        <f>"06/16/2022 19:09:53.048"</f>
        <v>06/16/2022 19:09:53.048</v>
      </c>
      <c r="C446" t="str">
        <f t="shared" si="18"/>
        <v>FFBF5BC0</v>
      </c>
      <c r="D446" t="s">
        <v>113</v>
      </c>
      <c r="E446">
        <v>8</v>
      </c>
      <c r="H446">
        <v>206</v>
      </c>
      <c r="I446" t="s">
        <v>114</v>
      </c>
      <c r="J446" t="s">
        <v>115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>"19:09:52.766"</f>
        <v>19:09:52.766</v>
      </c>
      <c r="T446" t="str">
        <f>"19:09:52.766"</f>
        <v>19:09:52.766</v>
      </c>
      <c r="U446" t="str">
        <f t="shared" si="19"/>
        <v>AB63B2</v>
      </c>
      <c r="V446">
        <v>0</v>
      </c>
      <c r="W446">
        <v>0</v>
      </c>
      <c r="X446">
        <v>6</v>
      </c>
      <c r="Z446">
        <v>0</v>
      </c>
      <c r="AA446">
        <v>9</v>
      </c>
      <c r="AB446">
        <v>3</v>
      </c>
      <c r="AC446">
        <v>0</v>
      </c>
      <c r="AD446">
        <v>10</v>
      </c>
      <c r="AE446">
        <v>0</v>
      </c>
      <c r="AF446">
        <v>0</v>
      </c>
      <c r="AG446">
        <v>2</v>
      </c>
      <c r="AH446">
        <v>0</v>
      </c>
      <c r="AI446" t="s">
        <v>497</v>
      </c>
      <c r="AJ446">
        <v>41.972107999999999</v>
      </c>
      <c r="AK446" t="s">
        <v>498</v>
      </c>
      <c r="AL446">
        <v>-87.898993000000004</v>
      </c>
      <c r="AS446">
        <v>1</v>
      </c>
      <c r="AT446" t="s">
        <v>118</v>
      </c>
      <c r="AU446" t="b">
        <v>1</v>
      </c>
      <c r="AV446">
        <v>258.75</v>
      </c>
      <c r="AW446">
        <v>16.125</v>
      </c>
      <c r="AX446">
        <v>1</v>
      </c>
      <c r="AZ446">
        <v>7205</v>
      </c>
      <c r="BA446">
        <v>1</v>
      </c>
      <c r="BB446" t="str">
        <f t="shared" si="20"/>
        <v xml:space="preserve">KAP400  </v>
      </c>
      <c r="BC446">
        <v>1</v>
      </c>
      <c r="BE446">
        <v>0</v>
      </c>
      <c r="BF446">
        <v>0</v>
      </c>
      <c r="BG446">
        <v>0</v>
      </c>
      <c r="BI446">
        <v>1</v>
      </c>
      <c r="BJ446">
        <v>1</v>
      </c>
      <c r="BK446">
        <v>1</v>
      </c>
      <c r="BL446">
        <v>0</v>
      </c>
      <c r="BO446">
        <v>0</v>
      </c>
      <c r="BP446">
        <v>0</v>
      </c>
      <c r="BW446" t="str">
        <f>"19:09:52.770"</f>
        <v>19:09:52.770</v>
      </c>
      <c r="BX446" t="s">
        <v>119</v>
      </c>
      <c r="BY446" t="s">
        <v>120</v>
      </c>
      <c r="CJ446">
        <v>0</v>
      </c>
      <c r="CK446">
        <v>0</v>
      </c>
      <c r="CL446">
        <v>0</v>
      </c>
      <c r="CM446">
        <v>2</v>
      </c>
      <c r="CN446">
        <v>0</v>
      </c>
      <c r="CO446">
        <v>7</v>
      </c>
      <c r="CP446" t="s">
        <v>121</v>
      </c>
      <c r="CQ446">
        <v>580</v>
      </c>
      <c r="CR446">
        <v>0</v>
      </c>
      <c r="CW446">
        <v>16773975</v>
      </c>
      <c r="CY446">
        <v>0</v>
      </c>
      <c r="CZ446">
        <v>0</v>
      </c>
      <c r="DA446">
        <v>0</v>
      </c>
      <c r="DB446">
        <v>1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</row>
    <row r="447" spans="1:113" x14ac:dyDescent="0.3">
      <c r="A447" t="str">
        <f>"06/16/2022 19:09:54.126"</f>
        <v>06/16/2022 19:09:54.126</v>
      </c>
      <c r="C447" t="str">
        <f t="shared" si="18"/>
        <v>FFBF5BC0</v>
      </c>
      <c r="D447" t="s">
        <v>113</v>
      </c>
      <c r="E447">
        <v>8</v>
      </c>
      <c r="H447">
        <v>206</v>
      </c>
      <c r="I447" t="s">
        <v>114</v>
      </c>
      <c r="J447" t="s">
        <v>115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>"19:09:53.844"</f>
        <v>19:09:53.844</v>
      </c>
      <c r="T447" t="str">
        <f>"19:09:53.844"</f>
        <v>19:09:53.844</v>
      </c>
      <c r="U447" t="str">
        <f t="shared" si="19"/>
        <v>AB63B2</v>
      </c>
      <c r="V447">
        <v>0</v>
      </c>
      <c r="W447">
        <v>0</v>
      </c>
      <c r="X447">
        <v>6</v>
      </c>
      <c r="Z447">
        <v>0</v>
      </c>
      <c r="AA447">
        <v>9</v>
      </c>
      <c r="AB447">
        <v>3</v>
      </c>
      <c r="AC447">
        <v>0</v>
      </c>
      <c r="AD447">
        <v>10</v>
      </c>
      <c r="AE447">
        <v>0</v>
      </c>
      <c r="AF447">
        <v>0</v>
      </c>
      <c r="AG447">
        <v>2</v>
      </c>
      <c r="AH447">
        <v>0</v>
      </c>
      <c r="AI447" t="s">
        <v>499</v>
      </c>
      <c r="AJ447">
        <v>41.972085999999997</v>
      </c>
      <c r="AK447" t="s">
        <v>500</v>
      </c>
      <c r="AL447">
        <v>-87.899079</v>
      </c>
      <c r="AS447">
        <v>1</v>
      </c>
      <c r="AT447" t="s">
        <v>118</v>
      </c>
      <c r="AU447" t="b">
        <v>1</v>
      </c>
      <c r="AV447">
        <v>261.56</v>
      </c>
      <c r="AW447">
        <v>16.125</v>
      </c>
      <c r="AX447">
        <v>1</v>
      </c>
      <c r="AZ447">
        <v>7205</v>
      </c>
      <c r="BA447">
        <v>1</v>
      </c>
      <c r="BB447" t="str">
        <f t="shared" si="20"/>
        <v xml:space="preserve">KAP400  </v>
      </c>
      <c r="BC447">
        <v>1</v>
      </c>
      <c r="BE447">
        <v>0</v>
      </c>
      <c r="BF447">
        <v>0</v>
      </c>
      <c r="BG447">
        <v>0</v>
      </c>
      <c r="BI447">
        <v>1</v>
      </c>
      <c r="BJ447">
        <v>1</v>
      </c>
      <c r="BK447">
        <v>1</v>
      </c>
      <c r="BL447">
        <v>0</v>
      </c>
      <c r="BO447">
        <v>0</v>
      </c>
      <c r="BP447">
        <v>0</v>
      </c>
      <c r="BW447" t="str">
        <f>"19:09:53.850"</f>
        <v>19:09:53.850</v>
      </c>
      <c r="BX447" t="s">
        <v>119</v>
      </c>
      <c r="BY447" t="s">
        <v>120</v>
      </c>
      <c r="CJ447">
        <v>0</v>
      </c>
      <c r="CK447">
        <v>0</v>
      </c>
      <c r="CL447">
        <v>0</v>
      </c>
      <c r="CM447">
        <v>2</v>
      </c>
      <c r="CN447">
        <v>0</v>
      </c>
      <c r="CO447">
        <v>7</v>
      </c>
      <c r="CP447" t="s">
        <v>121</v>
      </c>
      <c r="CQ447">
        <v>580</v>
      </c>
      <c r="CR447">
        <v>0</v>
      </c>
      <c r="CW447">
        <v>16776004</v>
      </c>
      <c r="CY447">
        <v>0</v>
      </c>
      <c r="CZ447">
        <v>0</v>
      </c>
      <c r="DA447">
        <v>0</v>
      </c>
      <c r="DB447">
        <v>1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</row>
    <row r="448" spans="1:113" x14ac:dyDescent="0.3">
      <c r="A448" t="str">
        <f>"06/16/2022 19:09:55.127"</f>
        <v>06/16/2022 19:09:55.127</v>
      </c>
      <c r="C448" t="str">
        <f t="shared" si="18"/>
        <v>FFBF5BC0</v>
      </c>
      <c r="D448" t="s">
        <v>113</v>
      </c>
      <c r="E448">
        <v>8</v>
      </c>
      <c r="H448">
        <v>206</v>
      </c>
      <c r="I448" t="s">
        <v>114</v>
      </c>
      <c r="J448" t="s">
        <v>115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>"19:09:54.813"</f>
        <v>19:09:54.813</v>
      </c>
      <c r="T448" t="str">
        <f>"19:09:54.813"</f>
        <v>19:09:54.813</v>
      </c>
      <c r="U448" t="str">
        <f t="shared" si="19"/>
        <v>AB63B2</v>
      </c>
      <c r="V448">
        <v>0</v>
      </c>
      <c r="W448">
        <v>0</v>
      </c>
      <c r="X448">
        <v>6</v>
      </c>
      <c r="Z448">
        <v>0</v>
      </c>
      <c r="AA448">
        <v>9</v>
      </c>
      <c r="AB448">
        <v>3</v>
      </c>
      <c r="AC448">
        <v>0</v>
      </c>
      <c r="AD448">
        <v>10</v>
      </c>
      <c r="AE448">
        <v>0</v>
      </c>
      <c r="AF448">
        <v>0</v>
      </c>
      <c r="AG448">
        <v>2</v>
      </c>
      <c r="AH448">
        <v>0</v>
      </c>
      <c r="AI448" t="s">
        <v>499</v>
      </c>
      <c r="AJ448">
        <v>41.972085999999997</v>
      </c>
      <c r="AK448" t="s">
        <v>501</v>
      </c>
      <c r="AL448">
        <v>-87.899186999999998</v>
      </c>
      <c r="AS448">
        <v>1</v>
      </c>
      <c r="AT448" t="s">
        <v>118</v>
      </c>
      <c r="AU448" t="b">
        <v>1</v>
      </c>
      <c r="AV448">
        <v>264.38</v>
      </c>
      <c r="AW448">
        <v>16.125</v>
      </c>
      <c r="AX448">
        <v>1</v>
      </c>
      <c r="AZ448">
        <v>7205</v>
      </c>
      <c r="BA448">
        <v>1</v>
      </c>
      <c r="BB448" t="str">
        <f t="shared" si="20"/>
        <v xml:space="preserve">KAP400  </v>
      </c>
      <c r="BC448">
        <v>1</v>
      </c>
      <c r="BE448">
        <v>0</v>
      </c>
      <c r="BF448">
        <v>0</v>
      </c>
      <c r="BG448">
        <v>0</v>
      </c>
      <c r="BI448">
        <v>1</v>
      </c>
      <c r="BJ448">
        <v>1</v>
      </c>
      <c r="BK448">
        <v>1</v>
      </c>
      <c r="BL448">
        <v>0</v>
      </c>
      <c r="BO448">
        <v>0</v>
      </c>
      <c r="BP448">
        <v>0</v>
      </c>
      <c r="BW448" t="str">
        <f>"19:09:54.820"</f>
        <v>19:09:54.820</v>
      </c>
      <c r="BX448" t="s">
        <v>119</v>
      </c>
      <c r="BY448" t="s">
        <v>120</v>
      </c>
      <c r="CJ448">
        <v>0</v>
      </c>
      <c r="CK448">
        <v>0</v>
      </c>
      <c r="CL448">
        <v>0</v>
      </c>
      <c r="CM448">
        <v>2</v>
      </c>
      <c r="CN448">
        <v>0</v>
      </c>
      <c r="CO448">
        <v>7</v>
      </c>
      <c r="CP448" t="s">
        <v>121</v>
      </c>
      <c r="CQ448">
        <v>579</v>
      </c>
      <c r="CR448">
        <v>0</v>
      </c>
      <c r="CW448">
        <v>1079927</v>
      </c>
      <c r="CY448">
        <v>0</v>
      </c>
      <c r="CZ448">
        <v>0</v>
      </c>
      <c r="DA448">
        <v>0</v>
      </c>
      <c r="DB448">
        <v>1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</row>
    <row r="449" spans="1:113" x14ac:dyDescent="0.3">
      <c r="A449" t="str">
        <f>"06/16/2022 19:09:56.049"</f>
        <v>06/16/2022 19:09:56.049</v>
      </c>
      <c r="C449" t="str">
        <f t="shared" si="18"/>
        <v>FFBF5BC0</v>
      </c>
      <c r="D449" t="s">
        <v>113</v>
      </c>
      <c r="E449">
        <v>8</v>
      </c>
      <c r="H449">
        <v>206</v>
      </c>
      <c r="I449" t="s">
        <v>114</v>
      </c>
      <c r="J449" t="s">
        <v>115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>"19:09:55.750"</f>
        <v>19:09:55.750</v>
      </c>
      <c r="T449" t="str">
        <f>"19:09:55.750"</f>
        <v>19:09:55.750</v>
      </c>
      <c r="U449" t="str">
        <f t="shared" si="19"/>
        <v>AB63B2</v>
      </c>
      <c r="V449">
        <v>0</v>
      </c>
      <c r="W449">
        <v>0</v>
      </c>
      <c r="X449">
        <v>6</v>
      </c>
      <c r="Z449">
        <v>0</v>
      </c>
      <c r="AA449">
        <v>9</v>
      </c>
      <c r="AB449">
        <v>3</v>
      </c>
      <c r="AC449">
        <v>0</v>
      </c>
      <c r="AD449">
        <v>10</v>
      </c>
      <c r="AE449">
        <v>0</v>
      </c>
      <c r="AF449">
        <v>0</v>
      </c>
      <c r="AG449">
        <v>2</v>
      </c>
      <c r="AH449">
        <v>0</v>
      </c>
      <c r="AI449" t="s">
        <v>499</v>
      </c>
      <c r="AJ449">
        <v>41.972085999999997</v>
      </c>
      <c r="AK449" t="s">
        <v>502</v>
      </c>
      <c r="AL449">
        <v>-87.899271999999996</v>
      </c>
      <c r="AS449">
        <v>1</v>
      </c>
      <c r="AT449" t="s">
        <v>118</v>
      </c>
      <c r="AU449" t="b">
        <v>1</v>
      </c>
      <c r="AV449">
        <v>264.38</v>
      </c>
      <c r="AW449">
        <v>16.125</v>
      </c>
      <c r="AX449">
        <v>1</v>
      </c>
      <c r="AZ449">
        <v>7205</v>
      </c>
      <c r="BA449">
        <v>1</v>
      </c>
      <c r="BB449" t="str">
        <f t="shared" si="20"/>
        <v xml:space="preserve">KAP400  </v>
      </c>
      <c r="BC449">
        <v>1</v>
      </c>
      <c r="BE449">
        <v>0</v>
      </c>
      <c r="BF449">
        <v>0</v>
      </c>
      <c r="BG449">
        <v>0</v>
      </c>
      <c r="BI449">
        <v>1</v>
      </c>
      <c r="BJ449">
        <v>1</v>
      </c>
      <c r="BK449">
        <v>1</v>
      </c>
      <c r="BL449">
        <v>0</v>
      </c>
      <c r="BO449">
        <v>0</v>
      </c>
      <c r="BP449">
        <v>0</v>
      </c>
      <c r="BW449" t="str">
        <f>"19:09:55.752"</f>
        <v>19:09:55.752</v>
      </c>
      <c r="BX449" t="s">
        <v>119</v>
      </c>
      <c r="BY449" t="s">
        <v>120</v>
      </c>
      <c r="CJ449">
        <v>0</v>
      </c>
      <c r="CK449">
        <v>0</v>
      </c>
      <c r="CL449">
        <v>0</v>
      </c>
      <c r="CM449">
        <v>2</v>
      </c>
      <c r="CN449">
        <v>0</v>
      </c>
      <c r="CO449">
        <v>6</v>
      </c>
      <c r="CP449" t="s">
        <v>121</v>
      </c>
      <c r="CQ449">
        <v>579</v>
      </c>
      <c r="CR449">
        <v>0</v>
      </c>
      <c r="CW449">
        <v>1081865</v>
      </c>
      <c r="CY449">
        <v>0</v>
      </c>
      <c r="CZ449">
        <v>0</v>
      </c>
      <c r="DA449">
        <v>0</v>
      </c>
      <c r="DB449">
        <v>1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</row>
    <row r="450" spans="1:113" x14ac:dyDescent="0.3">
      <c r="A450" t="str">
        <f>"06/16/2022 19:09:56.954"</f>
        <v>06/16/2022 19:09:56.954</v>
      </c>
      <c r="C450" t="str">
        <f t="shared" ref="C450:C513" si="21">"FFBF5BC0"</f>
        <v>FFBF5BC0</v>
      </c>
      <c r="D450" t="s">
        <v>113</v>
      </c>
      <c r="E450">
        <v>8</v>
      </c>
      <c r="H450">
        <v>206</v>
      </c>
      <c r="I450" t="s">
        <v>114</v>
      </c>
      <c r="J450" t="s">
        <v>115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>"19:09:56.672"</f>
        <v>19:09:56.672</v>
      </c>
      <c r="T450" t="str">
        <f>"19:09:56.672"</f>
        <v>19:09:56.672</v>
      </c>
      <c r="U450" t="str">
        <f t="shared" ref="U450:U513" si="22">"AB63B2"</f>
        <v>AB63B2</v>
      </c>
      <c r="V450">
        <v>0</v>
      </c>
      <c r="W450">
        <v>0</v>
      </c>
      <c r="X450">
        <v>6</v>
      </c>
      <c r="Z450">
        <v>0</v>
      </c>
      <c r="AA450">
        <v>9</v>
      </c>
      <c r="AB450">
        <v>3</v>
      </c>
      <c r="AC450">
        <v>0</v>
      </c>
      <c r="AD450">
        <v>10</v>
      </c>
      <c r="AE450">
        <v>0</v>
      </c>
      <c r="AF450">
        <v>0</v>
      </c>
      <c r="AG450">
        <v>2</v>
      </c>
      <c r="AH450">
        <v>0</v>
      </c>
      <c r="AI450" t="s">
        <v>503</v>
      </c>
      <c r="AJ450">
        <v>41.972065000000001</v>
      </c>
      <c r="AK450" t="s">
        <v>504</v>
      </c>
      <c r="AL450">
        <v>-87.899358000000007</v>
      </c>
      <c r="AS450">
        <v>1</v>
      </c>
      <c r="AT450" t="s">
        <v>118</v>
      </c>
      <c r="AU450" t="b">
        <v>1</v>
      </c>
      <c r="AV450">
        <v>267.19</v>
      </c>
      <c r="AW450">
        <v>16.125</v>
      </c>
      <c r="AX450">
        <v>1</v>
      </c>
      <c r="AZ450">
        <v>7205</v>
      </c>
      <c r="BA450">
        <v>1</v>
      </c>
      <c r="BB450" t="str">
        <f t="shared" ref="BB450:BB513" si="23">"KAP400  "</f>
        <v xml:space="preserve">KAP400  </v>
      </c>
      <c r="BC450">
        <v>1</v>
      </c>
      <c r="BE450">
        <v>0</v>
      </c>
      <c r="BF450">
        <v>0</v>
      </c>
      <c r="BG450">
        <v>0</v>
      </c>
      <c r="BI450">
        <v>1</v>
      </c>
      <c r="BJ450">
        <v>1</v>
      </c>
      <c r="BK450">
        <v>1</v>
      </c>
      <c r="BL450">
        <v>0</v>
      </c>
      <c r="BO450">
        <v>0</v>
      </c>
      <c r="BP450">
        <v>0</v>
      </c>
      <c r="BW450" t="str">
        <f>"19:09:56.679"</f>
        <v>19:09:56.679</v>
      </c>
      <c r="BX450" t="s">
        <v>119</v>
      </c>
      <c r="BY450" t="s">
        <v>120</v>
      </c>
      <c r="CJ450">
        <v>0</v>
      </c>
      <c r="CK450">
        <v>0</v>
      </c>
      <c r="CL450">
        <v>0</v>
      </c>
      <c r="CM450">
        <v>2</v>
      </c>
      <c r="CN450">
        <v>0</v>
      </c>
      <c r="CO450">
        <v>6</v>
      </c>
      <c r="CP450" t="s">
        <v>121</v>
      </c>
      <c r="CQ450">
        <v>579</v>
      </c>
      <c r="CR450">
        <v>0</v>
      </c>
      <c r="CW450">
        <v>1083759</v>
      </c>
      <c r="CY450">
        <v>0</v>
      </c>
      <c r="CZ450">
        <v>0</v>
      </c>
      <c r="DA450">
        <v>0</v>
      </c>
      <c r="DB450">
        <v>1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</row>
    <row r="451" spans="1:113" x14ac:dyDescent="0.3">
      <c r="A451" t="str">
        <f>"06/16/2022 19:09:57.969"</f>
        <v>06/16/2022 19:09:57.969</v>
      </c>
      <c r="C451" t="str">
        <f t="shared" si="21"/>
        <v>FFBF5BC0</v>
      </c>
      <c r="D451" t="s">
        <v>113</v>
      </c>
      <c r="E451">
        <v>8</v>
      </c>
      <c r="H451">
        <v>206</v>
      </c>
      <c r="I451" t="s">
        <v>114</v>
      </c>
      <c r="J451" t="s">
        <v>115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>"19:09:57.688"</f>
        <v>19:09:57.688</v>
      </c>
      <c r="T451" t="str">
        <f>"19:09:57.688"</f>
        <v>19:09:57.688</v>
      </c>
      <c r="U451" t="str">
        <f t="shared" si="22"/>
        <v>AB63B2</v>
      </c>
      <c r="V451">
        <v>0</v>
      </c>
      <c r="W451">
        <v>0</v>
      </c>
      <c r="X451">
        <v>6</v>
      </c>
      <c r="Z451">
        <v>0</v>
      </c>
      <c r="AA451">
        <v>9</v>
      </c>
      <c r="AB451">
        <v>3</v>
      </c>
      <c r="AC451">
        <v>0</v>
      </c>
      <c r="AD451">
        <v>10</v>
      </c>
      <c r="AE451">
        <v>0</v>
      </c>
      <c r="AF451">
        <v>0</v>
      </c>
      <c r="AG451">
        <v>2</v>
      </c>
      <c r="AH451">
        <v>0</v>
      </c>
      <c r="AI451" t="s">
        <v>503</v>
      </c>
      <c r="AJ451">
        <v>41.972065000000001</v>
      </c>
      <c r="AK451" t="s">
        <v>505</v>
      </c>
      <c r="AL451">
        <v>-87.899466000000004</v>
      </c>
      <c r="AS451">
        <v>1</v>
      </c>
      <c r="AT451" t="s">
        <v>118</v>
      </c>
      <c r="AU451" t="b">
        <v>1</v>
      </c>
      <c r="AV451">
        <v>267.19</v>
      </c>
      <c r="AW451">
        <v>16.125</v>
      </c>
      <c r="AX451">
        <v>1</v>
      </c>
      <c r="AZ451">
        <v>7205</v>
      </c>
      <c r="BA451">
        <v>1</v>
      </c>
      <c r="BB451" t="str">
        <f t="shared" si="23"/>
        <v xml:space="preserve">KAP400  </v>
      </c>
      <c r="BC451">
        <v>1</v>
      </c>
      <c r="BE451">
        <v>0</v>
      </c>
      <c r="BF451">
        <v>0</v>
      </c>
      <c r="BG451">
        <v>0</v>
      </c>
      <c r="BI451">
        <v>1</v>
      </c>
      <c r="BJ451">
        <v>1</v>
      </c>
      <c r="BK451">
        <v>1</v>
      </c>
      <c r="BL451">
        <v>0</v>
      </c>
      <c r="BO451">
        <v>0</v>
      </c>
      <c r="BP451">
        <v>0</v>
      </c>
      <c r="BW451" t="str">
        <f>"19:09:57.689"</f>
        <v>19:09:57.689</v>
      </c>
      <c r="BX451" t="s">
        <v>119</v>
      </c>
      <c r="BY451" t="s">
        <v>120</v>
      </c>
      <c r="CJ451">
        <v>0</v>
      </c>
      <c r="CK451">
        <v>0</v>
      </c>
      <c r="CL451">
        <v>0</v>
      </c>
      <c r="CM451">
        <v>2</v>
      </c>
      <c r="CN451">
        <v>0</v>
      </c>
      <c r="CO451">
        <v>6</v>
      </c>
      <c r="CP451" t="s">
        <v>121</v>
      </c>
      <c r="CQ451">
        <v>580</v>
      </c>
      <c r="CR451">
        <v>0</v>
      </c>
      <c r="CW451">
        <v>6037</v>
      </c>
      <c r="CY451">
        <v>0</v>
      </c>
      <c r="CZ451">
        <v>0</v>
      </c>
      <c r="DA451">
        <v>0</v>
      </c>
      <c r="DB451">
        <v>1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</row>
    <row r="452" spans="1:113" x14ac:dyDescent="0.3">
      <c r="A452" t="str">
        <f>"06/16/2022 19:09:58.751"</f>
        <v>06/16/2022 19:09:58.751</v>
      </c>
      <c r="C452" t="str">
        <f t="shared" si="21"/>
        <v>FFBF5BC0</v>
      </c>
      <c r="D452" t="s">
        <v>113</v>
      </c>
      <c r="E452">
        <v>8</v>
      </c>
      <c r="H452">
        <v>206</v>
      </c>
      <c r="I452" t="s">
        <v>114</v>
      </c>
      <c r="J452" t="s">
        <v>115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>"19:09:58.570"</f>
        <v>19:09:58.570</v>
      </c>
      <c r="T452" t="str">
        <f>"19:09:58.570"</f>
        <v>19:09:58.570</v>
      </c>
      <c r="U452" t="str">
        <f t="shared" si="22"/>
        <v>AB63B2</v>
      </c>
      <c r="V452">
        <v>0</v>
      </c>
      <c r="W452">
        <v>0</v>
      </c>
      <c r="X452">
        <v>6</v>
      </c>
      <c r="Z452">
        <v>0</v>
      </c>
      <c r="AA452">
        <v>9</v>
      </c>
      <c r="AB452">
        <v>3</v>
      </c>
      <c r="AC452">
        <v>0</v>
      </c>
      <c r="AD452">
        <v>10</v>
      </c>
      <c r="AE452">
        <v>0</v>
      </c>
      <c r="AF452">
        <v>0</v>
      </c>
      <c r="AG452">
        <v>2</v>
      </c>
      <c r="AH452">
        <v>0</v>
      </c>
      <c r="AI452" t="s">
        <v>503</v>
      </c>
      <c r="AJ452">
        <v>41.972065000000001</v>
      </c>
      <c r="AK452" t="s">
        <v>506</v>
      </c>
      <c r="AL452">
        <v>-87.899551000000002</v>
      </c>
      <c r="AS452">
        <v>1</v>
      </c>
      <c r="AT452" t="s">
        <v>118</v>
      </c>
      <c r="AU452" t="b">
        <v>1</v>
      </c>
      <c r="AV452">
        <v>267.19</v>
      </c>
      <c r="AW452">
        <v>15.125</v>
      </c>
      <c r="AX452">
        <v>1</v>
      </c>
      <c r="AZ452">
        <v>7205</v>
      </c>
      <c r="BA452">
        <v>1</v>
      </c>
      <c r="BB452" t="str">
        <f t="shared" si="23"/>
        <v xml:space="preserve">KAP400  </v>
      </c>
      <c r="BC452">
        <v>1</v>
      </c>
      <c r="BE452">
        <v>0</v>
      </c>
      <c r="BF452">
        <v>0</v>
      </c>
      <c r="BG452">
        <v>0</v>
      </c>
      <c r="BI452">
        <v>1</v>
      </c>
      <c r="BJ452">
        <v>1</v>
      </c>
      <c r="BK452">
        <v>1</v>
      </c>
      <c r="BL452">
        <v>0</v>
      </c>
      <c r="BO452">
        <v>0</v>
      </c>
      <c r="BP452">
        <v>0</v>
      </c>
      <c r="BW452" t="str">
        <f>"19:09:58.572"</f>
        <v>19:09:58.572</v>
      </c>
      <c r="BX452" t="s">
        <v>119</v>
      </c>
      <c r="BY452" t="s">
        <v>120</v>
      </c>
      <c r="CJ452">
        <v>0</v>
      </c>
      <c r="CK452">
        <v>0</v>
      </c>
      <c r="CL452">
        <v>0</v>
      </c>
      <c r="CM452">
        <v>2</v>
      </c>
      <c r="CN452">
        <v>0</v>
      </c>
      <c r="CO452">
        <v>5</v>
      </c>
      <c r="CP452" t="s">
        <v>121</v>
      </c>
      <c r="CQ452">
        <v>579</v>
      </c>
      <c r="CR452">
        <v>0</v>
      </c>
      <c r="CW452">
        <v>1087786</v>
      </c>
      <c r="CY452">
        <v>0</v>
      </c>
      <c r="CZ452">
        <v>0</v>
      </c>
      <c r="DA452">
        <v>0</v>
      </c>
      <c r="DB452">
        <v>1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</row>
    <row r="453" spans="1:113" x14ac:dyDescent="0.3">
      <c r="A453" t="str">
        <f>"06/16/2022 19:09:59.766"</f>
        <v>06/16/2022 19:09:59.766</v>
      </c>
      <c r="C453" t="str">
        <f t="shared" si="21"/>
        <v>FFBF5BC0</v>
      </c>
      <c r="D453" t="s">
        <v>113</v>
      </c>
      <c r="E453">
        <v>8</v>
      </c>
      <c r="H453">
        <v>206</v>
      </c>
      <c r="I453" t="s">
        <v>114</v>
      </c>
      <c r="J453" t="s">
        <v>115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>"19:09:59.500"</f>
        <v>19:09:59.500</v>
      </c>
      <c r="T453" t="str">
        <f>"19:09:59.500"</f>
        <v>19:09:59.500</v>
      </c>
      <c r="U453" t="str">
        <f t="shared" si="22"/>
        <v>AB63B2</v>
      </c>
      <c r="V453">
        <v>0</v>
      </c>
      <c r="W453">
        <v>0</v>
      </c>
      <c r="X453">
        <v>6</v>
      </c>
      <c r="Z453">
        <v>0</v>
      </c>
      <c r="AA453">
        <v>9</v>
      </c>
      <c r="AB453">
        <v>3</v>
      </c>
      <c r="AC453">
        <v>0</v>
      </c>
      <c r="AD453">
        <v>10</v>
      </c>
      <c r="AE453">
        <v>0</v>
      </c>
      <c r="AF453">
        <v>0</v>
      </c>
      <c r="AG453">
        <v>2</v>
      </c>
      <c r="AH453">
        <v>0</v>
      </c>
      <c r="AI453" t="s">
        <v>503</v>
      </c>
      <c r="AJ453">
        <v>41.972065000000001</v>
      </c>
      <c r="AK453" t="s">
        <v>507</v>
      </c>
      <c r="AL453">
        <v>-87.899636999999998</v>
      </c>
      <c r="AS453">
        <v>1</v>
      </c>
      <c r="AT453" t="s">
        <v>118</v>
      </c>
      <c r="AU453" t="b">
        <v>1</v>
      </c>
      <c r="AV453">
        <v>270</v>
      </c>
      <c r="AW453">
        <v>14.625</v>
      </c>
      <c r="AX453">
        <v>1</v>
      </c>
      <c r="AZ453">
        <v>7205</v>
      </c>
      <c r="BA453">
        <v>1</v>
      </c>
      <c r="BB453" t="str">
        <f t="shared" si="23"/>
        <v xml:space="preserve">KAP400  </v>
      </c>
      <c r="BC453">
        <v>1</v>
      </c>
      <c r="BE453">
        <v>0</v>
      </c>
      <c r="BF453">
        <v>0</v>
      </c>
      <c r="BG453">
        <v>0</v>
      </c>
      <c r="BI453">
        <v>1</v>
      </c>
      <c r="BJ453">
        <v>1</v>
      </c>
      <c r="BK453">
        <v>1</v>
      </c>
      <c r="BL453">
        <v>0</v>
      </c>
      <c r="BO453">
        <v>0</v>
      </c>
      <c r="BP453">
        <v>0</v>
      </c>
      <c r="BW453" t="str">
        <f>"19:09:59.506"</f>
        <v>19:09:59.506</v>
      </c>
      <c r="BX453" t="s">
        <v>119</v>
      </c>
      <c r="BY453" t="s">
        <v>120</v>
      </c>
      <c r="CJ453">
        <v>0</v>
      </c>
      <c r="CK453">
        <v>0</v>
      </c>
      <c r="CL453">
        <v>0</v>
      </c>
      <c r="CM453">
        <v>2</v>
      </c>
      <c r="CN453">
        <v>0</v>
      </c>
      <c r="CO453">
        <v>7</v>
      </c>
      <c r="CP453" t="s">
        <v>121</v>
      </c>
      <c r="CQ453">
        <v>579</v>
      </c>
      <c r="CR453">
        <v>0</v>
      </c>
      <c r="CW453">
        <v>1089830</v>
      </c>
      <c r="CY453">
        <v>0</v>
      </c>
      <c r="CZ453">
        <v>0</v>
      </c>
      <c r="DA453">
        <v>0</v>
      </c>
      <c r="DB453">
        <v>1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</row>
    <row r="454" spans="1:113" x14ac:dyDescent="0.3">
      <c r="A454" t="str">
        <f>"06/16/2022 19:10:00.782"</f>
        <v>06/16/2022 19:10:00.782</v>
      </c>
      <c r="C454" t="str">
        <f t="shared" si="21"/>
        <v>FFBF5BC0</v>
      </c>
      <c r="D454" t="s">
        <v>113</v>
      </c>
      <c r="E454">
        <v>8</v>
      </c>
      <c r="H454">
        <v>206</v>
      </c>
      <c r="I454" t="s">
        <v>114</v>
      </c>
      <c r="J454" t="s">
        <v>115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>"19:10:00.531"</f>
        <v>19:10:00.531</v>
      </c>
      <c r="T454" t="str">
        <f>"19:10:00.531"</f>
        <v>19:10:00.531</v>
      </c>
      <c r="U454" t="str">
        <f t="shared" si="22"/>
        <v>AB63B2</v>
      </c>
      <c r="V454">
        <v>0</v>
      </c>
      <c r="W454">
        <v>0</v>
      </c>
      <c r="X454">
        <v>6</v>
      </c>
      <c r="Z454">
        <v>0</v>
      </c>
      <c r="AA454">
        <v>9</v>
      </c>
      <c r="AB454">
        <v>3</v>
      </c>
      <c r="AC454">
        <v>0</v>
      </c>
      <c r="AD454">
        <v>10</v>
      </c>
      <c r="AE454">
        <v>0</v>
      </c>
      <c r="AF454">
        <v>0</v>
      </c>
      <c r="AG454">
        <v>2</v>
      </c>
      <c r="AH454">
        <v>0</v>
      </c>
      <c r="AI454" t="s">
        <v>503</v>
      </c>
      <c r="AJ454">
        <v>41.972065000000001</v>
      </c>
      <c r="AK454" t="s">
        <v>508</v>
      </c>
      <c r="AL454">
        <v>-87.899722999999994</v>
      </c>
      <c r="AS454">
        <v>1</v>
      </c>
      <c r="AT454" t="s">
        <v>118</v>
      </c>
      <c r="AU454" t="b">
        <v>1</v>
      </c>
      <c r="AV454">
        <v>270</v>
      </c>
      <c r="AW454">
        <v>14.625</v>
      </c>
      <c r="AX454">
        <v>1</v>
      </c>
      <c r="AZ454">
        <v>7205</v>
      </c>
      <c r="BA454">
        <v>1</v>
      </c>
      <c r="BB454" t="str">
        <f t="shared" si="23"/>
        <v xml:space="preserve">KAP400  </v>
      </c>
      <c r="BC454">
        <v>1</v>
      </c>
      <c r="BE454">
        <v>0</v>
      </c>
      <c r="BF454">
        <v>0</v>
      </c>
      <c r="BG454">
        <v>0</v>
      </c>
      <c r="BI454">
        <v>1</v>
      </c>
      <c r="BJ454">
        <v>1</v>
      </c>
      <c r="BK454">
        <v>1</v>
      </c>
      <c r="BL454">
        <v>0</v>
      </c>
      <c r="BO454">
        <v>0</v>
      </c>
      <c r="BP454">
        <v>0</v>
      </c>
      <c r="BW454" t="str">
        <f>"19:10:00.536"</f>
        <v>19:10:00.536</v>
      </c>
      <c r="BX454" t="s">
        <v>119</v>
      </c>
      <c r="BY454" t="s">
        <v>120</v>
      </c>
      <c r="CJ454">
        <v>0</v>
      </c>
      <c r="CK454">
        <v>0</v>
      </c>
      <c r="CL454">
        <v>0</v>
      </c>
      <c r="CM454">
        <v>2</v>
      </c>
      <c r="CN454">
        <v>0</v>
      </c>
      <c r="CO454">
        <v>7</v>
      </c>
      <c r="CP454" t="s">
        <v>121</v>
      </c>
      <c r="CQ454">
        <v>580</v>
      </c>
      <c r="CR454">
        <v>0</v>
      </c>
      <c r="CW454">
        <v>11567</v>
      </c>
      <c r="CY454">
        <v>0</v>
      </c>
      <c r="CZ454">
        <v>0</v>
      </c>
      <c r="DA454">
        <v>0</v>
      </c>
      <c r="DB454">
        <v>1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</row>
    <row r="455" spans="1:113" x14ac:dyDescent="0.3">
      <c r="A455" t="str">
        <f>"06/16/2022 19:10:01.923"</f>
        <v>06/16/2022 19:10:01.923</v>
      </c>
      <c r="C455" t="str">
        <f t="shared" si="21"/>
        <v>FFBF5BC0</v>
      </c>
      <c r="D455" t="s">
        <v>113</v>
      </c>
      <c r="E455">
        <v>8</v>
      </c>
      <c r="H455">
        <v>206</v>
      </c>
      <c r="I455" t="s">
        <v>114</v>
      </c>
      <c r="J455" t="s">
        <v>115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>"19:10:01.586"</f>
        <v>19:10:01.586</v>
      </c>
      <c r="T455" t="str">
        <f>"19:10:01.586"</f>
        <v>19:10:01.586</v>
      </c>
      <c r="U455" t="str">
        <f t="shared" si="22"/>
        <v>AB63B2</v>
      </c>
      <c r="V455">
        <v>0</v>
      </c>
      <c r="W455">
        <v>0</v>
      </c>
      <c r="X455">
        <v>6</v>
      </c>
      <c r="Z455">
        <v>0</v>
      </c>
      <c r="AA455">
        <v>9</v>
      </c>
      <c r="AB455">
        <v>3</v>
      </c>
      <c r="AC455">
        <v>0</v>
      </c>
      <c r="AD455">
        <v>10</v>
      </c>
      <c r="AE455">
        <v>0</v>
      </c>
      <c r="AF455">
        <v>0</v>
      </c>
      <c r="AG455">
        <v>2</v>
      </c>
      <c r="AH455">
        <v>0</v>
      </c>
      <c r="AI455" t="s">
        <v>503</v>
      </c>
      <c r="AJ455">
        <v>41.972065000000001</v>
      </c>
      <c r="AK455" t="s">
        <v>509</v>
      </c>
      <c r="AL455">
        <v>-87.899809000000005</v>
      </c>
      <c r="AS455">
        <v>1</v>
      </c>
      <c r="AT455" t="s">
        <v>118</v>
      </c>
      <c r="AU455" t="b">
        <v>1</v>
      </c>
      <c r="AV455">
        <v>270</v>
      </c>
      <c r="AW455">
        <v>14.125</v>
      </c>
      <c r="AX455">
        <v>1</v>
      </c>
      <c r="AZ455">
        <v>7205</v>
      </c>
      <c r="BA455">
        <v>1</v>
      </c>
      <c r="BB455" t="str">
        <f t="shared" si="23"/>
        <v xml:space="preserve">KAP400  </v>
      </c>
      <c r="BC455">
        <v>1</v>
      </c>
      <c r="BE455">
        <v>0</v>
      </c>
      <c r="BF455">
        <v>0</v>
      </c>
      <c r="BG455">
        <v>0</v>
      </c>
      <c r="BI455">
        <v>1</v>
      </c>
      <c r="BJ455">
        <v>1</v>
      </c>
      <c r="BK455">
        <v>1</v>
      </c>
      <c r="BL455">
        <v>0</v>
      </c>
      <c r="BO455">
        <v>0</v>
      </c>
      <c r="BP455">
        <v>0</v>
      </c>
      <c r="BW455" t="str">
        <f>"19:10:01.586"</f>
        <v>19:10:01.586</v>
      </c>
      <c r="BX455" t="s">
        <v>119</v>
      </c>
      <c r="BY455" t="s">
        <v>120</v>
      </c>
      <c r="CJ455">
        <v>0</v>
      </c>
      <c r="CK455">
        <v>0</v>
      </c>
      <c r="CL455">
        <v>0</v>
      </c>
      <c r="CM455">
        <v>2</v>
      </c>
      <c r="CN455">
        <v>0</v>
      </c>
      <c r="CO455">
        <v>7</v>
      </c>
      <c r="CP455" t="s">
        <v>121</v>
      </c>
      <c r="CQ455">
        <v>580</v>
      </c>
      <c r="CR455">
        <v>0</v>
      </c>
      <c r="CW455">
        <v>13552</v>
      </c>
      <c r="CY455">
        <v>0</v>
      </c>
      <c r="CZ455">
        <v>0</v>
      </c>
      <c r="DA455">
        <v>0</v>
      </c>
      <c r="DB455">
        <v>1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</row>
    <row r="456" spans="1:113" x14ac:dyDescent="0.3">
      <c r="A456" t="str">
        <f>"06/16/2022 19:10:02.813"</f>
        <v>06/16/2022 19:10:02.813</v>
      </c>
      <c r="C456" t="str">
        <f t="shared" si="21"/>
        <v>FFBF5BC0</v>
      </c>
      <c r="D456" t="s">
        <v>113</v>
      </c>
      <c r="E456">
        <v>8</v>
      </c>
      <c r="H456">
        <v>206</v>
      </c>
      <c r="I456" t="s">
        <v>114</v>
      </c>
      <c r="J456" t="s">
        <v>115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>"19:10:02.563"</f>
        <v>19:10:02.563</v>
      </c>
      <c r="T456" t="str">
        <f>"19:10:02.563"</f>
        <v>19:10:02.563</v>
      </c>
      <c r="U456" t="str">
        <f t="shared" si="22"/>
        <v>AB63B2</v>
      </c>
      <c r="V456">
        <v>0</v>
      </c>
      <c r="W456">
        <v>0</v>
      </c>
      <c r="X456">
        <v>6</v>
      </c>
      <c r="Z456">
        <v>0</v>
      </c>
      <c r="AA456">
        <v>9</v>
      </c>
      <c r="AB456">
        <v>3</v>
      </c>
      <c r="AC456">
        <v>0</v>
      </c>
      <c r="AD456">
        <v>10</v>
      </c>
      <c r="AE456">
        <v>0</v>
      </c>
      <c r="AF456">
        <v>0</v>
      </c>
      <c r="AG456">
        <v>2</v>
      </c>
      <c r="AH456">
        <v>0</v>
      </c>
      <c r="AI456" t="s">
        <v>503</v>
      </c>
      <c r="AJ456">
        <v>41.972065000000001</v>
      </c>
      <c r="AK456" t="s">
        <v>510</v>
      </c>
      <c r="AL456">
        <v>-87.899895000000001</v>
      </c>
      <c r="AS456">
        <v>1</v>
      </c>
      <c r="AT456" t="s">
        <v>118</v>
      </c>
      <c r="AU456" t="b">
        <v>1</v>
      </c>
      <c r="AV456">
        <v>270</v>
      </c>
      <c r="AW456">
        <v>13.625</v>
      </c>
      <c r="AX456">
        <v>1</v>
      </c>
      <c r="AZ456">
        <v>7205</v>
      </c>
      <c r="BA456">
        <v>1</v>
      </c>
      <c r="BB456" t="str">
        <f t="shared" si="23"/>
        <v xml:space="preserve">KAP400  </v>
      </c>
      <c r="BC456">
        <v>1</v>
      </c>
      <c r="BE456">
        <v>0</v>
      </c>
      <c r="BF456">
        <v>0</v>
      </c>
      <c r="BG456">
        <v>0</v>
      </c>
      <c r="BI456">
        <v>1</v>
      </c>
      <c r="BJ456">
        <v>1</v>
      </c>
      <c r="BK456">
        <v>1</v>
      </c>
      <c r="BL456">
        <v>0</v>
      </c>
      <c r="BO456">
        <v>0</v>
      </c>
      <c r="BP456">
        <v>0</v>
      </c>
      <c r="BW456" t="str">
        <f>"19:10:02.568"</f>
        <v>19:10:02.568</v>
      </c>
      <c r="BX456" t="s">
        <v>119</v>
      </c>
      <c r="BY456" t="s">
        <v>120</v>
      </c>
      <c r="CJ456">
        <v>0</v>
      </c>
      <c r="CK456">
        <v>0</v>
      </c>
      <c r="CL456">
        <v>0</v>
      </c>
      <c r="CM456">
        <v>2</v>
      </c>
      <c r="CN456">
        <v>0</v>
      </c>
      <c r="CO456">
        <v>6</v>
      </c>
      <c r="CP456" t="s">
        <v>121</v>
      </c>
      <c r="CQ456">
        <v>580</v>
      </c>
      <c r="CR456">
        <v>0</v>
      </c>
      <c r="CW456">
        <v>15467</v>
      </c>
      <c r="CY456">
        <v>0</v>
      </c>
      <c r="CZ456">
        <v>0</v>
      </c>
      <c r="DA456">
        <v>0</v>
      </c>
      <c r="DB456">
        <v>1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</row>
    <row r="457" spans="1:113" x14ac:dyDescent="0.3">
      <c r="A457" t="str">
        <f>"06/16/2022 19:10:03.954"</f>
        <v>06/16/2022 19:10:03.954</v>
      </c>
      <c r="C457" t="str">
        <f t="shared" si="21"/>
        <v>FFBF5BC0</v>
      </c>
      <c r="D457" t="s">
        <v>113</v>
      </c>
      <c r="E457">
        <v>8</v>
      </c>
      <c r="H457">
        <v>206</v>
      </c>
      <c r="I457" t="s">
        <v>114</v>
      </c>
      <c r="J457" t="s">
        <v>115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>"19:10:03.703"</f>
        <v>19:10:03.703</v>
      </c>
      <c r="T457" t="str">
        <f>"19:10:03.703"</f>
        <v>19:10:03.703</v>
      </c>
      <c r="U457" t="str">
        <f t="shared" si="22"/>
        <v>AB63B2</v>
      </c>
      <c r="V457">
        <v>0</v>
      </c>
      <c r="W457">
        <v>0</v>
      </c>
      <c r="X457">
        <v>6</v>
      </c>
      <c r="Z457">
        <v>0</v>
      </c>
      <c r="AA457">
        <v>9</v>
      </c>
      <c r="AB457">
        <v>3</v>
      </c>
      <c r="AC457">
        <v>0</v>
      </c>
      <c r="AD457">
        <v>10</v>
      </c>
      <c r="AE457">
        <v>0</v>
      </c>
      <c r="AF457">
        <v>0</v>
      </c>
      <c r="AG457">
        <v>2</v>
      </c>
      <c r="AH457">
        <v>0</v>
      </c>
      <c r="AI457" t="s">
        <v>503</v>
      </c>
      <c r="AJ457">
        <v>41.972065000000001</v>
      </c>
      <c r="AK457" t="s">
        <v>511</v>
      </c>
      <c r="AL457">
        <v>-87.899980999999997</v>
      </c>
      <c r="AS457">
        <v>1</v>
      </c>
      <c r="AT457" t="s">
        <v>118</v>
      </c>
      <c r="AU457" t="b">
        <v>1</v>
      </c>
      <c r="AV457">
        <v>270</v>
      </c>
      <c r="AW457">
        <v>13.625</v>
      </c>
      <c r="AX457">
        <v>1</v>
      </c>
      <c r="AZ457">
        <v>7205</v>
      </c>
      <c r="BA457">
        <v>1</v>
      </c>
      <c r="BB457" t="str">
        <f t="shared" si="23"/>
        <v xml:space="preserve">KAP400  </v>
      </c>
      <c r="BC457">
        <v>1</v>
      </c>
      <c r="BE457">
        <v>0</v>
      </c>
      <c r="BF457">
        <v>0</v>
      </c>
      <c r="BG457">
        <v>0</v>
      </c>
      <c r="BI457">
        <v>1</v>
      </c>
      <c r="BJ457">
        <v>1</v>
      </c>
      <c r="BK457">
        <v>1</v>
      </c>
      <c r="BL457">
        <v>0</v>
      </c>
      <c r="BO457">
        <v>0</v>
      </c>
      <c r="BP457">
        <v>0</v>
      </c>
      <c r="BW457" t="str">
        <f>"19:10:03.703"</f>
        <v>19:10:03.703</v>
      </c>
      <c r="BX457" t="s">
        <v>119</v>
      </c>
      <c r="BY457" t="s">
        <v>120</v>
      </c>
      <c r="CJ457">
        <v>0</v>
      </c>
      <c r="CK457">
        <v>0</v>
      </c>
      <c r="CL457">
        <v>0</v>
      </c>
      <c r="CM457">
        <v>2</v>
      </c>
      <c r="CN457">
        <v>0</v>
      </c>
      <c r="CO457">
        <v>6</v>
      </c>
      <c r="CP457" t="s">
        <v>121</v>
      </c>
      <c r="CQ457">
        <v>579</v>
      </c>
      <c r="CR457">
        <v>0</v>
      </c>
      <c r="CW457">
        <v>1098523</v>
      </c>
      <c r="CY457">
        <v>0</v>
      </c>
      <c r="CZ457">
        <v>0</v>
      </c>
      <c r="DA457">
        <v>0</v>
      </c>
      <c r="DB457">
        <v>1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</row>
    <row r="458" spans="1:113" x14ac:dyDescent="0.3">
      <c r="A458" t="str">
        <f>"06/16/2022 19:10:05.065"</f>
        <v>06/16/2022 19:10:05.065</v>
      </c>
      <c r="C458" t="str">
        <f t="shared" si="21"/>
        <v>FFBF5BC0</v>
      </c>
      <c r="D458" t="s">
        <v>113</v>
      </c>
      <c r="E458">
        <v>8</v>
      </c>
      <c r="H458">
        <v>206</v>
      </c>
      <c r="I458" t="s">
        <v>114</v>
      </c>
      <c r="J458" t="s">
        <v>115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>"19:10:04.789"</f>
        <v>19:10:04.789</v>
      </c>
      <c r="T458" t="str">
        <f>"19:10:04.789"</f>
        <v>19:10:04.789</v>
      </c>
      <c r="U458" t="str">
        <f t="shared" si="22"/>
        <v>AB63B2</v>
      </c>
      <c r="V458">
        <v>0</v>
      </c>
      <c r="W458">
        <v>0</v>
      </c>
      <c r="X458">
        <v>6</v>
      </c>
      <c r="Z458">
        <v>0</v>
      </c>
      <c r="AA458">
        <v>9</v>
      </c>
      <c r="AB458">
        <v>3</v>
      </c>
      <c r="AC458">
        <v>0</v>
      </c>
      <c r="AD458">
        <v>10</v>
      </c>
      <c r="AE458">
        <v>0</v>
      </c>
      <c r="AF458">
        <v>0</v>
      </c>
      <c r="AG458">
        <v>2</v>
      </c>
      <c r="AH458">
        <v>0</v>
      </c>
      <c r="AI458" t="s">
        <v>503</v>
      </c>
      <c r="AJ458">
        <v>41.972065000000001</v>
      </c>
      <c r="AK458" t="s">
        <v>512</v>
      </c>
      <c r="AL458">
        <v>-87.900065999999995</v>
      </c>
      <c r="AS458">
        <v>1</v>
      </c>
      <c r="AT458" t="s">
        <v>118</v>
      </c>
      <c r="AU458" t="b">
        <v>1</v>
      </c>
      <c r="AV458">
        <v>270</v>
      </c>
      <c r="AW458">
        <v>13.125</v>
      </c>
      <c r="AX458">
        <v>1</v>
      </c>
      <c r="AZ458">
        <v>7205</v>
      </c>
      <c r="BA458">
        <v>1</v>
      </c>
      <c r="BB458" t="str">
        <f t="shared" si="23"/>
        <v xml:space="preserve">KAP400  </v>
      </c>
      <c r="BC458">
        <v>1</v>
      </c>
      <c r="BE458">
        <v>0</v>
      </c>
      <c r="BF458">
        <v>0</v>
      </c>
      <c r="BG458">
        <v>0</v>
      </c>
      <c r="BI458">
        <v>1</v>
      </c>
      <c r="BJ458">
        <v>1</v>
      </c>
      <c r="BK458">
        <v>1</v>
      </c>
      <c r="BL458">
        <v>0</v>
      </c>
      <c r="BO458">
        <v>0</v>
      </c>
      <c r="BP458">
        <v>0</v>
      </c>
      <c r="BW458" t="str">
        <f>"19:10:04.793"</f>
        <v>19:10:04.793</v>
      </c>
      <c r="BX458" t="s">
        <v>119</v>
      </c>
      <c r="BY458" t="s">
        <v>120</v>
      </c>
      <c r="CJ458">
        <v>0</v>
      </c>
      <c r="CK458">
        <v>0</v>
      </c>
      <c r="CL458">
        <v>0</v>
      </c>
      <c r="CM458">
        <v>2</v>
      </c>
      <c r="CN458">
        <v>0</v>
      </c>
      <c r="CO458">
        <v>7</v>
      </c>
      <c r="CP458" t="s">
        <v>121</v>
      </c>
      <c r="CQ458">
        <v>580</v>
      </c>
      <c r="CR458">
        <v>0</v>
      </c>
      <c r="CW458">
        <v>19860</v>
      </c>
      <c r="CY458">
        <v>0</v>
      </c>
      <c r="CZ458">
        <v>0</v>
      </c>
      <c r="DA458">
        <v>0</v>
      </c>
      <c r="DB458">
        <v>1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</row>
    <row r="459" spans="1:113" x14ac:dyDescent="0.3">
      <c r="A459" t="str">
        <f>"06/16/2022 19:10:06.081"</f>
        <v>06/16/2022 19:10:06.081</v>
      </c>
      <c r="C459" t="str">
        <f t="shared" si="21"/>
        <v>FFBF5BC0</v>
      </c>
      <c r="D459" t="s">
        <v>113</v>
      </c>
      <c r="E459">
        <v>8</v>
      </c>
      <c r="H459">
        <v>206</v>
      </c>
      <c r="I459" t="s">
        <v>114</v>
      </c>
      <c r="J459" t="s">
        <v>115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>"19:10:05.797"</f>
        <v>19:10:05.797</v>
      </c>
      <c r="T459" t="str">
        <f>"19:10:05.797"</f>
        <v>19:10:05.797</v>
      </c>
      <c r="U459" t="str">
        <f t="shared" si="22"/>
        <v>AB63B2</v>
      </c>
      <c r="V459">
        <v>0</v>
      </c>
      <c r="W459">
        <v>0</v>
      </c>
      <c r="X459">
        <v>6</v>
      </c>
      <c r="Z459">
        <v>0</v>
      </c>
      <c r="AA459">
        <v>9</v>
      </c>
      <c r="AB459">
        <v>3</v>
      </c>
      <c r="AC459">
        <v>0</v>
      </c>
      <c r="AD459">
        <v>10</v>
      </c>
      <c r="AE459">
        <v>0</v>
      </c>
      <c r="AF459">
        <v>0</v>
      </c>
      <c r="AG459">
        <v>2</v>
      </c>
      <c r="AH459">
        <v>0</v>
      </c>
      <c r="AI459" t="s">
        <v>503</v>
      </c>
      <c r="AJ459">
        <v>41.972065000000001</v>
      </c>
      <c r="AK459" t="s">
        <v>513</v>
      </c>
      <c r="AL459">
        <v>-87.900152000000006</v>
      </c>
      <c r="AS459">
        <v>1</v>
      </c>
      <c r="AT459" t="s">
        <v>118</v>
      </c>
      <c r="AU459" t="b">
        <v>1</v>
      </c>
      <c r="AV459">
        <v>270</v>
      </c>
      <c r="AW459">
        <v>12.625</v>
      </c>
      <c r="AX459">
        <v>1</v>
      </c>
      <c r="AZ459">
        <v>7205</v>
      </c>
      <c r="BA459">
        <v>1</v>
      </c>
      <c r="BB459" t="str">
        <f t="shared" si="23"/>
        <v xml:space="preserve">KAP400  </v>
      </c>
      <c r="BC459">
        <v>1</v>
      </c>
      <c r="BE459">
        <v>0</v>
      </c>
      <c r="BF459">
        <v>0</v>
      </c>
      <c r="BG459">
        <v>0</v>
      </c>
      <c r="BI459">
        <v>1</v>
      </c>
      <c r="BJ459">
        <v>1</v>
      </c>
      <c r="BK459">
        <v>1</v>
      </c>
      <c r="BL459">
        <v>0</v>
      </c>
      <c r="BO459">
        <v>0</v>
      </c>
      <c r="BP459">
        <v>0</v>
      </c>
      <c r="BW459" t="str">
        <f>"19:10:05.799"</f>
        <v>19:10:05.799</v>
      </c>
      <c r="BX459" t="s">
        <v>119</v>
      </c>
      <c r="BY459" t="s">
        <v>120</v>
      </c>
      <c r="CJ459">
        <v>0</v>
      </c>
      <c r="CK459">
        <v>0</v>
      </c>
      <c r="CL459">
        <v>0</v>
      </c>
      <c r="CM459">
        <v>2</v>
      </c>
      <c r="CN459">
        <v>0</v>
      </c>
      <c r="CO459">
        <v>7</v>
      </c>
      <c r="CP459" t="s">
        <v>121</v>
      </c>
      <c r="CQ459">
        <v>580</v>
      </c>
      <c r="CR459">
        <v>0</v>
      </c>
      <c r="CW459">
        <v>21727</v>
      </c>
      <c r="CY459">
        <v>0</v>
      </c>
      <c r="CZ459">
        <v>0</v>
      </c>
      <c r="DA459">
        <v>0</v>
      </c>
      <c r="DB459">
        <v>1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</row>
    <row r="460" spans="1:113" x14ac:dyDescent="0.3">
      <c r="A460" t="str">
        <f>"06/16/2022 19:10:20.877"</f>
        <v>06/16/2022 19:10:20.877</v>
      </c>
      <c r="C460" t="str">
        <f t="shared" si="21"/>
        <v>FFBF5BC0</v>
      </c>
      <c r="D460" t="s">
        <v>113</v>
      </c>
      <c r="E460">
        <v>8</v>
      </c>
      <c r="H460">
        <v>206</v>
      </c>
      <c r="I460" t="s">
        <v>114</v>
      </c>
      <c r="J460" t="s">
        <v>115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>"19:10:20.633"</f>
        <v>19:10:20.633</v>
      </c>
      <c r="T460" t="str">
        <f>"19:10:20.633"</f>
        <v>19:10:20.633</v>
      </c>
      <c r="U460" t="str">
        <f t="shared" si="22"/>
        <v>AB63B2</v>
      </c>
      <c r="V460">
        <v>0</v>
      </c>
      <c r="W460">
        <v>0</v>
      </c>
      <c r="X460">
        <v>6</v>
      </c>
      <c r="Z460">
        <v>0</v>
      </c>
      <c r="AA460">
        <v>9</v>
      </c>
      <c r="AB460">
        <v>3</v>
      </c>
      <c r="AC460">
        <v>0</v>
      </c>
      <c r="AD460">
        <v>10</v>
      </c>
      <c r="AE460">
        <v>0</v>
      </c>
      <c r="AF460">
        <v>0</v>
      </c>
      <c r="AG460">
        <v>2</v>
      </c>
      <c r="AH460">
        <v>0</v>
      </c>
      <c r="AI460" t="s">
        <v>514</v>
      </c>
      <c r="AJ460">
        <v>41.972043999999997</v>
      </c>
      <c r="AK460" t="s">
        <v>515</v>
      </c>
      <c r="AL460">
        <v>-87.901032000000001</v>
      </c>
      <c r="AS460">
        <v>1</v>
      </c>
      <c r="AT460" t="s">
        <v>118</v>
      </c>
      <c r="AU460" t="b">
        <v>1</v>
      </c>
      <c r="AV460">
        <v>250.31</v>
      </c>
      <c r="AW460">
        <v>5.125</v>
      </c>
      <c r="AX460">
        <v>1</v>
      </c>
      <c r="AZ460">
        <v>7205</v>
      </c>
      <c r="BA460">
        <v>1</v>
      </c>
      <c r="BB460" t="str">
        <f t="shared" si="23"/>
        <v xml:space="preserve">KAP400  </v>
      </c>
      <c r="BC460">
        <v>1</v>
      </c>
      <c r="BE460">
        <v>0</v>
      </c>
      <c r="BF460">
        <v>0</v>
      </c>
      <c r="BG460">
        <v>0</v>
      </c>
      <c r="BI460">
        <v>1</v>
      </c>
      <c r="BJ460">
        <v>1</v>
      </c>
      <c r="BK460">
        <v>1</v>
      </c>
      <c r="BL460">
        <v>0</v>
      </c>
      <c r="BO460">
        <v>0</v>
      </c>
      <c r="BP460">
        <v>0</v>
      </c>
      <c r="BW460" t="str">
        <f>"19:10:20.636"</f>
        <v>19:10:20.636</v>
      </c>
      <c r="BX460" t="s">
        <v>119</v>
      </c>
      <c r="BY460" t="s">
        <v>120</v>
      </c>
      <c r="CJ460">
        <v>0</v>
      </c>
      <c r="CK460">
        <v>0</v>
      </c>
      <c r="CL460">
        <v>0</v>
      </c>
      <c r="CM460">
        <v>2</v>
      </c>
      <c r="CN460">
        <v>0</v>
      </c>
      <c r="CO460">
        <v>7</v>
      </c>
      <c r="CP460" t="s">
        <v>121</v>
      </c>
      <c r="CQ460">
        <v>580</v>
      </c>
      <c r="CR460">
        <v>0</v>
      </c>
      <c r="CW460">
        <v>50284</v>
      </c>
      <c r="CY460">
        <v>0</v>
      </c>
      <c r="CZ460">
        <v>0</v>
      </c>
      <c r="DA460">
        <v>0</v>
      </c>
      <c r="DB460">
        <v>1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</row>
    <row r="461" spans="1:113" x14ac:dyDescent="0.3">
      <c r="A461" t="str">
        <f>"06/16/2022 19:10:21.923"</f>
        <v>06/16/2022 19:10:21.923</v>
      </c>
      <c r="C461" t="str">
        <f t="shared" si="21"/>
        <v>FFBF5BC0</v>
      </c>
      <c r="D461" t="s">
        <v>113</v>
      </c>
      <c r="E461">
        <v>8</v>
      </c>
      <c r="H461">
        <v>206</v>
      </c>
      <c r="I461" t="s">
        <v>114</v>
      </c>
      <c r="J461" t="s">
        <v>115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>"19:10:21.602"</f>
        <v>19:10:21.602</v>
      </c>
      <c r="T461" t="str">
        <f>"19:10:21.602"</f>
        <v>19:10:21.602</v>
      </c>
      <c r="U461" t="str">
        <f t="shared" si="22"/>
        <v>AB63B2</v>
      </c>
      <c r="V461">
        <v>0</v>
      </c>
      <c r="W461">
        <v>0</v>
      </c>
      <c r="X461">
        <v>6</v>
      </c>
      <c r="Z461">
        <v>0</v>
      </c>
      <c r="AA461">
        <v>9</v>
      </c>
      <c r="AB461">
        <v>3</v>
      </c>
      <c r="AC461">
        <v>0</v>
      </c>
      <c r="AD461">
        <v>10</v>
      </c>
      <c r="AE461">
        <v>0</v>
      </c>
      <c r="AF461">
        <v>0</v>
      </c>
      <c r="AG461">
        <v>2</v>
      </c>
      <c r="AH461">
        <v>0</v>
      </c>
      <c r="AI461" t="s">
        <v>514</v>
      </c>
      <c r="AJ461">
        <v>41.972043999999997</v>
      </c>
      <c r="AK461" t="s">
        <v>516</v>
      </c>
      <c r="AL461">
        <v>-87.901075000000006</v>
      </c>
      <c r="AS461">
        <v>1</v>
      </c>
      <c r="AT461" t="s">
        <v>118</v>
      </c>
      <c r="AU461" t="b">
        <v>1</v>
      </c>
      <c r="AV461">
        <v>247.5</v>
      </c>
      <c r="AW461">
        <v>4.125</v>
      </c>
      <c r="AX461">
        <v>1</v>
      </c>
      <c r="AZ461">
        <v>7205</v>
      </c>
      <c r="BA461">
        <v>1</v>
      </c>
      <c r="BB461" t="str">
        <f t="shared" si="23"/>
        <v xml:space="preserve">KAP400  </v>
      </c>
      <c r="BC461">
        <v>1</v>
      </c>
      <c r="BE461">
        <v>0</v>
      </c>
      <c r="BF461">
        <v>0</v>
      </c>
      <c r="BG461">
        <v>0</v>
      </c>
      <c r="BI461">
        <v>1</v>
      </c>
      <c r="BJ461">
        <v>1</v>
      </c>
      <c r="BK461">
        <v>1</v>
      </c>
      <c r="BL461">
        <v>0</v>
      </c>
      <c r="BO461">
        <v>0</v>
      </c>
      <c r="BP461">
        <v>0</v>
      </c>
      <c r="BW461" t="str">
        <f>"19:10:21.608"</f>
        <v>19:10:21.608</v>
      </c>
      <c r="BX461" t="s">
        <v>119</v>
      </c>
      <c r="BY461" t="s">
        <v>120</v>
      </c>
      <c r="CJ461">
        <v>0</v>
      </c>
      <c r="CK461">
        <v>0</v>
      </c>
      <c r="CL461">
        <v>0</v>
      </c>
      <c r="CM461">
        <v>2</v>
      </c>
      <c r="CN461">
        <v>0</v>
      </c>
      <c r="CO461">
        <v>7</v>
      </c>
      <c r="CP461" t="s">
        <v>121</v>
      </c>
      <c r="CQ461">
        <v>580</v>
      </c>
      <c r="CR461">
        <v>0</v>
      </c>
      <c r="CW461">
        <v>52270</v>
      </c>
      <c r="CY461">
        <v>0</v>
      </c>
      <c r="CZ461">
        <v>0</v>
      </c>
      <c r="DA461">
        <v>0</v>
      </c>
      <c r="DB461">
        <v>1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</row>
    <row r="462" spans="1:113" x14ac:dyDescent="0.3">
      <c r="A462" t="str">
        <f>"06/16/2022 19:10:22.719"</f>
        <v>06/16/2022 19:10:22.719</v>
      </c>
      <c r="C462" t="str">
        <f t="shared" si="21"/>
        <v>FFBF5BC0</v>
      </c>
      <c r="D462" t="s">
        <v>113</v>
      </c>
      <c r="E462">
        <v>8</v>
      </c>
      <c r="H462">
        <v>206</v>
      </c>
      <c r="I462" t="s">
        <v>114</v>
      </c>
      <c r="J462" t="s">
        <v>115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>"19:10:22.477"</f>
        <v>19:10:22.477</v>
      </c>
      <c r="T462" t="str">
        <f>"19:10:22.477"</f>
        <v>19:10:22.477</v>
      </c>
      <c r="U462" t="str">
        <f t="shared" si="22"/>
        <v>AB63B2</v>
      </c>
      <c r="V462">
        <v>0</v>
      </c>
      <c r="W462">
        <v>0</v>
      </c>
      <c r="X462">
        <v>6</v>
      </c>
      <c r="Z462">
        <v>0</v>
      </c>
      <c r="AA462">
        <v>9</v>
      </c>
      <c r="AB462">
        <v>3</v>
      </c>
      <c r="AC462">
        <v>0</v>
      </c>
      <c r="AD462">
        <v>10</v>
      </c>
      <c r="AE462">
        <v>0</v>
      </c>
      <c r="AF462">
        <v>0</v>
      </c>
      <c r="AG462">
        <v>2</v>
      </c>
      <c r="AH462">
        <v>0</v>
      </c>
      <c r="AI462" t="s">
        <v>517</v>
      </c>
      <c r="AJ462">
        <v>41.972022000000003</v>
      </c>
      <c r="AK462" t="s">
        <v>516</v>
      </c>
      <c r="AL462">
        <v>-87.901075000000006</v>
      </c>
      <c r="AS462">
        <v>1</v>
      </c>
      <c r="AT462" t="s">
        <v>118</v>
      </c>
      <c r="AU462" t="b">
        <v>1</v>
      </c>
      <c r="AV462">
        <v>244.69</v>
      </c>
      <c r="AW462">
        <v>3.625</v>
      </c>
      <c r="AX462">
        <v>1</v>
      </c>
      <c r="AZ462">
        <v>7205</v>
      </c>
      <c r="BA462">
        <v>1</v>
      </c>
      <c r="BB462" t="str">
        <f t="shared" si="23"/>
        <v xml:space="preserve">KAP400  </v>
      </c>
      <c r="BC462">
        <v>1</v>
      </c>
      <c r="BE462">
        <v>0</v>
      </c>
      <c r="BF462">
        <v>0</v>
      </c>
      <c r="BG462">
        <v>0</v>
      </c>
      <c r="BI462">
        <v>1</v>
      </c>
      <c r="BJ462">
        <v>1</v>
      </c>
      <c r="BK462">
        <v>1</v>
      </c>
      <c r="BL462">
        <v>0</v>
      </c>
      <c r="BO462">
        <v>0</v>
      </c>
      <c r="BP462">
        <v>0</v>
      </c>
      <c r="BW462" t="str">
        <f>"19:10:22.480"</f>
        <v>19:10:22.480</v>
      </c>
      <c r="BX462" t="s">
        <v>119</v>
      </c>
      <c r="BY462" t="s">
        <v>120</v>
      </c>
      <c r="CJ462">
        <v>0</v>
      </c>
      <c r="CK462">
        <v>0</v>
      </c>
      <c r="CL462">
        <v>0</v>
      </c>
      <c r="CM462">
        <v>2</v>
      </c>
      <c r="CN462">
        <v>0</v>
      </c>
      <c r="CO462">
        <v>7</v>
      </c>
      <c r="CP462" t="s">
        <v>121</v>
      </c>
      <c r="CQ462">
        <v>580</v>
      </c>
      <c r="CR462">
        <v>0</v>
      </c>
      <c r="CW462">
        <v>54096</v>
      </c>
      <c r="CY462">
        <v>0</v>
      </c>
      <c r="CZ462">
        <v>0</v>
      </c>
      <c r="DA462">
        <v>0</v>
      </c>
      <c r="DB462">
        <v>1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</row>
    <row r="463" spans="1:113" x14ac:dyDescent="0.3">
      <c r="A463" t="str">
        <f>"06/16/2022 19:10:23.891"</f>
        <v>06/16/2022 19:10:23.891</v>
      </c>
      <c r="C463" t="str">
        <f t="shared" si="21"/>
        <v>FFBF5BC0</v>
      </c>
      <c r="D463" t="s">
        <v>113</v>
      </c>
      <c r="E463">
        <v>8</v>
      </c>
      <c r="H463">
        <v>206</v>
      </c>
      <c r="I463" t="s">
        <v>114</v>
      </c>
      <c r="J463" t="s">
        <v>115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>"19:10:23.578"</f>
        <v>19:10:23.578</v>
      </c>
      <c r="T463" t="str">
        <f>"19:10:23.578"</f>
        <v>19:10:23.578</v>
      </c>
      <c r="U463" t="str">
        <f t="shared" si="22"/>
        <v>AB63B2</v>
      </c>
      <c r="V463">
        <v>0</v>
      </c>
      <c r="W463">
        <v>0</v>
      </c>
      <c r="X463">
        <v>6</v>
      </c>
      <c r="Z463">
        <v>0</v>
      </c>
      <c r="AA463">
        <v>9</v>
      </c>
      <c r="AB463">
        <v>3</v>
      </c>
      <c r="AC463">
        <v>0</v>
      </c>
      <c r="AD463">
        <v>10</v>
      </c>
      <c r="AE463">
        <v>0</v>
      </c>
      <c r="AF463">
        <v>0</v>
      </c>
      <c r="AG463">
        <v>2</v>
      </c>
      <c r="AH463">
        <v>0</v>
      </c>
      <c r="AI463" t="s">
        <v>517</v>
      </c>
      <c r="AJ463">
        <v>41.972022000000003</v>
      </c>
      <c r="AK463" t="s">
        <v>518</v>
      </c>
      <c r="AL463">
        <v>-87.901095999999995</v>
      </c>
      <c r="AS463">
        <v>1</v>
      </c>
      <c r="AT463" t="s">
        <v>118</v>
      </c>
      <c r="AU463" t="b">
        <v>1</v>
      </c>
      <c r="AV463">
        <v>244.69</v>
      </c>
      <c r="AW463">
        <v>3.125</v>
      </c>
      <c r="AX463">
        <v>1</v>
      </c>
      <c r="AZ463">
        <v>7205</v>
      </c>
      <c r="BA463">
        <v>1</v>
      </c>
      <c r="BB463" t="str">
        <f t="shared" si="23"/>
        <v xml:space="preserve">KAP400  </v>
      </c>
      <c r="BC463">
        <v>1</v>
      </c>
      <c r="BE463">
        <v>0</v>
      </c>
      <c r="BF463">
        <v>0</v>
      </c>
      <c r="BG463">
        <v>0</v>
      </c>
      <c r="BI463">
        <v>1</v>
      </c>
      <c r="BJ463">
        <v>1</v>
      </c>
      <c r="BK463">
        <v>1</v>
      </c>
      <c r="BL463">
        <v>0</v>
      </c>
      <c r="BO463">
        <v>0</v>
      </c>
      <c r="BP463">
        <v>0</v>
      </c>
      <c r="BW463" t="str">
        <f>"19:10:23.586"</f>
        <v>19:10:23.586</v>
      </c>
      <c r="BX463" t="s">
        <v>119</v>
      </c>
      <c r="BY463" t="s">
        <v>120</v>
      </c>
      <c r="CJ463">
        <v>0</v>
      </c>
      <c r="CK463">
        <v>0</v>
      </c>
      <c r="CL463">
        <v>0</v>
      </c>
      <c r="CM463">
        <v>2</v>
      </c>
      <c r="CN463">
        <v>0</v>
      </c>
      <c r="CO463">
        <v>7</v>
      </c>
      <c r="CP463" t="s">
        <v>121</v>
      </c>
      <c r="CQ463">
        <v>580</v>
      </c>
      <c r="CR463">
        <v>0</v>
      </c>
      <c r="CW463">
        <v>56188</v>
      </c>
      <c r="CY463">
        <v>0</v>
      </c>
      <c r="CZ463">
        <v>0</v>
      </c>
      <c r="DA463">
        <v>0</v>
      </c>
      <c r="DB463">
        <v>1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</row>
    <row r="464" spans="1:113" x14ac:dyDescent="0.3">
      <c r="A464" t="str">
        <f>"06/16/2022 19:10:25.298"</f>
        <v>06/16/2022 19:10:25.298</v>
      </c>
      <c r="C464" t="str">
        <f t="shared" si="21"/>
        <v>FFBF5BC0</v>
      </c>
      <c r="D464" t="s">
        <v>113</v>
      </c>
      <c r="E464">
        <v>8</v>
      </c>
      <c r="H464">
        <v>206</v>
      </c>
      <c r="I464" t="s">
        <v>114</v>
      </c>
      <c r="J464" t="s">
        <v>115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>"19:10:25.055"</f>
        <v>19:10:25.055</v>
      </c>
      <c r="T464" t="str">
        <f>"19:10:25.055"</f>
        <v>19:10:25.055</v>
      </c>
      <c r="U464" t="str">
        <f t="shared" si="22"/>
        <v>AB63B2</v>
      </c>
      <c r="V464">
        <v>0</v>
      </c>
      <c r="W464">
        <v>0</v>
      </c>
      <c r="X464">
        <v>6</v>
      </c>
      <c r="Z464">
        <v>0</v>
      </c>
      <c r="AA464">
        <v>9</v>
      </c>
      <c r="AB464">
        <v>3</v>
      </c>
      <c r="AC464">
        <v>0</v>
      </c>
      <c r="AD464">
        <v>10</v>
      </c>
      <c r="AE464">
        <v>0</v>
      </c>
      <c r="AF464">
        <v>0</v>
      </c>
      <c r="AG464">
        <v>2</v>
      </c>
      <c r="AH464">
        <v>0</v>
      </c>
      <c r="AI464" t="s">
        <v>517</v>
      </c>
      <c r="AJ464">
        <v>41.972022000000003</v>
      </c>
      <c r="AK464" t="s">
        <v>519</v>
      </c>
      <c r="AL464">
        <v>-87.901117999999997</v>
      </c>
      <c r="AS464">
        <v>1</v>
      </c>
      <c r="AT464" t="s">
        <v>118</v>
      </c>
      <c r="AU464" t="b">
        <v>1</v>
      </c>
      <c r="AV464">
        <v>241.88</v>
      </c>
      <c r="AW464">
        <v>3.125</v>
      </c>
      <c r="AX464">
        <v>1</v>
      </c>
      <c r="AZ464">
        <v>7205</v>
      </c>
      <c r="BA464">
        <v>1</v>
      </c>
      <c r="BB464" t="str">
        <f t="shared" si="23"/>
        <v xml:space="preserve">KAP400  </v>
      </c>
      <c r="BC464">
        <v>1</v>
      </c>
      <c r="BE464">
        <v>0</v>
      </c>
      <c r="BF464">
        <v>0</v>
      </c>
      <c r="BG464">
        <v>0</v>
      </c>
      <c r="BI464">
        <v>1</v>
      </c>
      <c r="BJ464">
        <v>1</v>
      </c>
      <c r="BK464">
        <v>1</v>
      </c>
      <c r="BL464">
        <v>0</v>
      </c>
      <c r="BO464">
        <v>0</v>
      </c>
      <c r="BP464">
        <v>0</v>
      </c>
      <c r="BW464" t="str">
        <f>"19:10:25.060"</f>
        <v>19:10:25.060</v>
      </c>
      <c r="BX464" t="s">
        <v>119</v>
      </c>
      <c r="BY464" t="s">
        <v>120</v>
      </c>
      <c r="CJ464">
        <v>0</v>
      </c>
      <c r="CK464">
        <v>0</v>
      </c>
      <c r="CL464">
        <v>0</v>
      </c>
      <c r="CM464">
        <v>2</v>
      </c>
      <c r="CN464">
        <v>0</v>
      </c>
      <c r="CO464">
        <v>7</v>
      </c>
      <c r="CP464" t="s">
        <v>121</v>
      </c>
      <c r="CQ464">
        <v>580</v>
      </c>
      <c r="CR464">
        <v>0</v>
      </c>
      <c r="CW464">
        <v>58982</v>
      </c>
      <c r="CY464">
        <v>0</v>
      </c>
      <c r="CZ464">
        <v>0</v>
      </c>
      <c r="DA464">
        <v>0</v>
      </c>
      <c r="DB464">
        <v>1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</row>
    <row r="465" spans="1:113" x14ac:dyDescent="0.3">
      <c r="A465" t="str">
        <f>"06/16/2022 19:10:26.267"</f>
        <v>06/16/2022 19:10:26.267</v>
      </c>
      <c r="C465" t="str">
        <f t="shared" si="21"/>
        <v>FFBF5BC0</v>
      </c>
      <c r="D465" t="s">
        <v>113</v>
      </c>
      <c r="E465">
        <v>8</v>
      </c>
      <c r="H465">
        <v>206</v>
      </c>
      <c r="I465" t="s">
        <v>114</v>
      </c>
      <c r="J465" t="s">
        <v>115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>"19:10:26.055"</f>
        <v>19:10:26.055</v>
      </c>
      <c r="T465" t="str">
        <f>"19:10:26.055"</f>
        <v>19:10:26.055</v>
      </c>
      <c r="U465" t="str">
        <f t="shared" si="22"/>
        <v>AB63B2</v>
      </c>
      <c r="V465">
        <v>0</v>
      </c>
      <c r="W465">
        <v>0</v>
      </c>
      <c r="X465">
        <v>6</v>
      </c>
      <c r="Z465">
        <v>0</v>
      </c>
      <c r="AA465">
        <v>9</v>
      </c>
      <c r="AB465">
        <v>3</v>
      </c>
      <c r="AC465">
        <v>0</v>
      </c>
      <c r="AD465">
        <v>10</v>
      </c>
      <c r="AE465">
        <v>0</v>
      </c>
      <c r="AF465">
        <v>0</v>
      </c>
      <c r="AG465">
        <v>2</v>
      </c>
      <c r="AH465">
        <v>0</v>
      </c>
      <c r="AI465" t="s">
        <v>520</v>
      </c>
      <c r="AJ465">
        <v>41.972000999999999</v>
      </c>
      <c r="AK465" t="s">
        <v>521</v>
      </c>
      <c r="AL465">
        <v>-87.901139000000001</v>
      </c>
      <c r="AS465">
        <v>1</v>
      </c>
      <c r="AT465" t="s">
        <v>118</v>
      </c>
      <c r="AU465" t="b">
        <v>1</v>
      </c>
      <c r="AV465">
        <v>239.06</v>
      </c>
      <c r="AW465">
        <v>2.625</v>
      </c>
      <c r="AX465">
        <v>1</v>
      </c>
      <c r="AZ465">
        <v>7205</v>
      </c>
      <c r="BA465">
        <v>1</v>
      </c>
      <c r="BB465" t="str">
        <f t="shared" si="23"/>
        <v xml:space="preserve">KAP400  </v>
      </c>
      <c r="BC465">
        <v>1</v>
      </c>
      <c r="BE465">
        <v>0</v>
      </c>
      <c r="BF465">
        <v>0</v>
      </c>
      <c r="BG465">
        <v>0</v>
      </c>
      <c r="BI465">
        <v>1</v>
      </c>
      <c r="BJ465">
        <v>1</v>
      </c>
      <c r="BK465">
        <v>1</v>
      </c>
      <c r="BL465">
        <v>0</v>
      </c>
      <c r="BO465">
        <v>0</v>
      </c>
      <c r="BP465">
        <v>0</v>
      </c>
      <c r="BW465" t="str">
        <f>"19:10:26.058"</f>
        <v>19:10:26.058</v>
      </c>
      <c r="BX465" t="s">
        <v>119</v>
      </c>
      <c r="BY465" t="s">
        <v>120</v>
      </c>
      <c r="CJ465">
        <v>0</v>
      </c>
      <c r="CK465">
        <v>0</v>
      </c>
      <c r="CL465">
        <v>0</v>
      </c>
      <c r="CM465">
        <v>2</v>
      </c>
      <c r="CN465">
        <v>0</v>
      </c>
      <c r="CO465">
        <v>7</v>
      </c>
      <c r="CP465" t="s">
        <v>121</v>
      </c>
      <c r="CQ465">
        <v>580</v>
      </c>
      <c r="CR465">
        <v>0</v>
      </c>
      <c r="CW465">
        <v>60987</v>
      </c>
      <c r="CY465">
        <v>0</v>
      </c>
      <c r="CZ465">
        <v>0</v>
      </c>
      <c r="DA465">
        <v>0</v>
      </c>
      <c r="DB465">
        <v>1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</row>
    <row r="466" spans="1:113" x14ac:dyDescent="0.3">
      <c r="A466" t="str">
        <f>"06/16/2022 19:10:27.173"</f>
        <v>06/16/2022 19:10:27.173</v>
      </c>
      <c r="C466" t="str">
        <f t="shared" si="21"/>
        <v>FFBF5BC0</v>
      </c>
      <c r="D466" t="s">
        <v>113</v>
      </c>
      <c r="E466">
        <v>8</v>
      </c>
      <c r="H466">
        <v>206</v>
      </c>
      <c r="I466" t="s">
        <v>114</v>
      </c>
      <c r="J466" t="s">
        <v>115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>"19:10:26.898"</f>
        <v>19:10:26.898</v>
      </c>
      <c r="T466" t="str">
        <f>"19:10:26.898"</f>
        <v>19:10:26.898</v>
      </c>
      <c r="U466" t="str">
        <f t="shared" si="22"/>
        <v>AB63B2</v>
      </c>
      <c r="V466">
        <v>0</v>
      </c>
      <c r="W466">
        <v>0</v>
      </c>
      <c r="X466">
        <v>6</v>
      </c>
      <c r="Z466">
        <v>0</v>
      </c>
      <c r="AA466">
        <v>9</v>
      </c>
      <c r="AB466">
        <v>3</v>
      </c>
      <c r="AC466">
        <v>0</v>
      </c>
      <c r="AD466">
        <v>10</v>
      </c>
      <c r="AE466">
        <v>0</v>
      </c>
      <c r="AF466">
        <v>0</v>
      </c>
      <c r="AG466">
        <v>2</v>
      </c>
      <c r="AH466">
        <v>0</v>
      </c>
      <c r="AI466" t="s">
        <v>520</v>
      </c>
      <c r="AJ466">
        <v>41.972000999999999</v>
      </c>
      <c r="AK466" t="s">
        <v>521</v>
      </c>
      <c r="AL466">
        <v>-87.901139000000001</v>
      </c>
      <c r="AS466">
        <v>1</v>
      </c>
      <c r="AT466" t="s">
        <v>118</v>
      </c>
      <c r="AU466" t="b">
        <v>1</v>
      </c>
      <c r="AV466">
        <v>236.25</v>
      </c>
      <c r="AW466">
        <v>2.125</v>
      </c>
      <c r="AX466">
        <v>1</v>
      </c>
      <c r="AZ466">
        <v>7205</v>
      </c>
      <c r="BA466">
        <v>1</v>
      </c>
      <c r="BB466" t="str">
        <f t="shared" si="23"/>
        <v xml:space="preserve">KAP400  </v>
      </c>
      <c r="BC466">
        <v>1</v>
      </c>
      <c r="BE466">
        <v>0</v>
      </c>
      <c r="BF466">
        <v>0</v>
      </c>
      <c r="BG466">
        <v>0</v>
      </c>
      <c r="BI466">
        <v>1</v>
      </c>
      <c r="BJ466">
        <v>1</v>
      </c>
      <c r="BK466">
        <v>1</v>
      </c>
      <c r="BL466">
        <v>0</v>
      </c>
      <c r="BO466">
        <v>0</v>
      </c>
      <c r="BP466">
        <v>0</v>
      </c>
      <c r="BW466" t="str">
        <f>"19:10:26.898"</f>
        <v>19:10:26.898</v>
      </c>
      <c r="BX466" t="s">
        <v>119</v>
      </c>
      <c r="BY466" t="s">
        <v>120</v>
      </c>
      <c r="CJ466">
        <v>0</v>
      </c>
      <c r="CK466">
        <v>0</v>
      </c>
      <c r="CL466">
        <v>0</v>
      </c>
      <c r="CM466">
        <v>2</v>
      </c>
      <c r="CN466">
        <v>0</v>
      </c>
      <c r="CO466">
        <v>7</v>
      </c>
      <c r="CP466" t="s">
        <v>121</v>
      </c>
      <c r="CQ466">
        <v>580</v>
      </c>
      <c r="CR466">
        <v>0</v>
      </c>
      <c r="CW466">
        <v>62659</v>
      </c>
      <c r="CY466">
        <v>0</v>
      </c>
      <c r="CZ466">
        <v>0</v>
      </c>
      <c r="DA466">
        <v>0</v>
      </c>
      <c r="DB466">
        <v>1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</row>
    <row r="467" spans="1:113" x14ac:dyDescent="0.3">
      <c r="A467" t="str">
        <f>"06/16/2022 19:10:28.017"</f>
        <v>06/16/2022 19:10:28.017</v>
      </c>
      <c r="C467" t="str">
        <f t="shared" si="21"/>
        <v>FFBF5BC0</v>
      </c>
      <c r="D467" t="s">
        <v>113</v>
      </c>
      <c r="E467">
        <v>8</v>
      </c>
      <c r="H467">
        <v>206</v>
      </c>
      <c r="I467" t="s">
        <v>114</v>
      </c>
      <c r="J467" t="s">
        <v>115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>"19:10:27.750"</f>
        <v>19:10:27.750</v>
      </c>
      <c r="T467" t="str">
        <f>"19:10:27.750"</f>
        <v>19:10:27.750</v>
      </c>
      <c r="U467" t="str">
        <f t="shared" si="22"/>
        <v>AB63B2</v>
      </c>
      <c r="V467">
        <v>0</v>
      </c>
      <c r="W467">
        <v>0</v>
      </c>
      <c r="X467">
        <v>6</v>
      </c>
      <c r="Z467">
        <v>0</v>
      </c>
      <c r="AA467">
        <v>9</v>
      </c>
      <c r="AB467">
        <v>3</v>
      </c>
      <c r="AC467">
        <v>0</v>
      </c>
      <c r="AD467">
        <v>10</v>
      </c>
      <c r="AE467">
        <v>0</v>
      </c>
      <c r="AF467">
        <v>0</v>
      </c>
      <c r="AG467">
        <v>2</v>
      </c>
      <c r="AH467">
        <v>0</v>
      </c>
      <c r="AI467" t="s">
        <v>520</v>
      </c>
      <c r="AJ467">
        <v>41.972000999999999</v>
      </c>
      <c r="AK467" t="s">
        <v>521</v>
      </c>
      <c r="AL467">
        <v>-87.901139000000001</v>
      </c>
      <c r="AS467">
        <v>1</v>
      </c>
      <c r="AT467" t="s">
        <v>118</v>
      </c>
      <c r="AU467" t="b">
        <v>1</v>
      </c>
      <c r="AV467">
        <v>236.25</v>
      </c>
      <c r="AW467">
        <v>1.875</v>
      </c>
      <c r="AX467">
        <v>1</v>
      </c>
      <c r="AZ467">
        <v>7205</v>
      </c>
      <c r="BA467">
        <v>1</v>
      </c>
      <c r="BB467" t="str">
        <f t="shared" si="23"/>
        <v xml:space="preserve">KAP400  </v>
      </c>
      <c r="BC467">
        <v>1</v>
      </c>
      <c r="BE467">
        <v>0</v>
      </c>
      <c r="BF467">
        <v>0</v>
      </c>
      <c r="BG467">
        <v>0</v>
      </c>
      <c r="BI467">
        <v>1</v>
      </c>
      <c r="BJ467">
        <v>1</v>
      </c>
      <c r="BK467">
        <v>1</v>
      </c>
      <c r="BL467">
        <v>0</v>
      </c>
      <c r="BO467">
        <v>0</v>
      </c>
      <c r="BP467">
        <v>0</v>
      </c>
      <c r="BW467" t="str">
        <f>"19:10:27.755"</f>
        <v>19:10:27.755</v>
      </c>
      <c r="BX467" t="s">
        <v>119</v>
      </c>
      <c r="BY467" t="s">
        <v>120</v>
      </c>
      <c r="CJ467">
        <v>0</v>
      </c>
      <c r="CK467">
        <v>0</v>
      </c>
      <c r="CL467">
        <v>0</v>
      </c>
      <c r="CM467">
        <v>2</v>
      </c>
      <c r="CN467">
        <v>0</v>
      </c>
      <c r="CO467">
        <v>7</v>
      </c>
      <c r="CP467" t="s">
        <v>121</v>
      </c>
      <c r="CQ467">
        <v>579</v>
      </c>
      <c r="CR467">
        <v>0</v>
      </c>
      <c r="CW467">
        <v>1148345</v>
      </c>
      <c r="CY467">
        <v>0</v>
      </c>
      <c r="CZ467">
        <v>0</v>
      </c>
      <c r="DA467">
        <v>0</v>
      </c>
      <c r="DB467">
        <v>1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</row>
    <row r="468" spans="1:113" x14ac:dyDescent="0.3">
      <c r="A468" t="str">
        <f>"06/16/2022 19:10:28.892"</f>
        <v>06/16/2022 19:10:28.892</v>
      </c>
      <c r="C468" t="str">
        <f t="shared" si="21"/>
        <v>FFBF5BC0</v>
      </c>
      <c r="D468" t="s">
        <v>113</v>
      </c>
      <c r="E468">
        <v>8</v>
      </c>
      <c r="H468">
        <v>206</v>
      </c>
      <c r="I468" t="s">
        <v>114</v>
      </c>
      <c r="J468" t="s">
        <v>115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>"19:10:28.672"</f>
        <v>19:10:28.672</v>
      </c>
      <c r="T468" t="str">
        <f>"19:10:28.672"</f>
        <v>19:10:28.672</v>
      </c>
      <c r="U468" t="str">
        <f t="shared" si="22"/>
        <v>AB63B2</v>
      </c>
      <c r="V468">
        <v>0</v>
      </c>
      <c r="W468">
        <v>0</v>
      </c>
      <c r="X468">
        <v>6</v>
      </c>
      <c r="Z468">
        <v>0</v>
      </c>
      <c r="AA468">
        <v>9</v>
      </c>
      <c r="AB468">
        <v>3</v>
      </c>
      <c r="AC468">
        <v>0</v>
      </c>
      <c r="AD468">
        <v>10</v>
      </c>
      <c r="AE468">
        <v>0</v>
      </c>
      <c r="AF468">
        <v>0</v>
      </c>
      <c r="AG468">
        <v>2</v>
      </c>
      <c r="AH468">
        <v>0</v>
      </c>
      <c r="AI468" t="s">
        <v>520</v>
      </c>
      <c r="AJ468">
        <v>41.972000999999999</v>
      </c>
      <c r="AK468" t="s">
        <v>522</v>
      </c>
      <c r="AL468">
        <v>-87.901161000000002</v>
      </c>
      <c r="AS468">
        <v>1</v>
      </c>
      <c r="AT468" t="s">
        <v>118</v>
      </c>
      <c r="AU468" t="b">
        <v>1</v>
      </c>
      <c r="AV468">
        <v>233.44</v>
      </c>
      <c r="AW468">
        <v>1.875</v>
      </c>
      <c r="AX468">
        <v>1</v>
      </c>
      <c r="AZ468">
        <v>7205</v>
      </c>
      <c r="BA468">
        <v>1</v>
      </c>
      <c r="BB468" t="str">
        <f t="shared" si="23"/>
        <v xml:space="preserve">KAP400  </v>
      </c>
      <c r="BC468">
        <v>1</v>
      </c>
      <c r="BE468">
        <v>0</v>
      </c>
      <c r="BF468">
        <v>0</v>
      </c>
      <c r="BG468">
        <v>0</v>
      </c>
      <c r="BI468">
        <v>1</v>
      </c>
      <c r="BJ468">
        <v>1</v>
      </c>
      <c r="BK468">
        <v>1</v>
      </c>
      <c r="BL468">
        <v>0</v>
      </c>
      <c r="BO468">
        <v>0</v>
      </c>
      <c r="BP468">
        <v>0</v>
      </c>
      <c r="BW468" t="str">
        <f>"19:10:28.679"</f>
        <v>19:10:28.679</v>
      </c>
      <c r="BX468" t="s">
        <v>119</v>
      </c>
      <c r="BY468" t="s">
        <v>120</v>
      </c>
      <c r="CJ468">
        <v>0</v>
      </c>
      <c r="CK468">
        <v>0</v>
      </c>
      <c r="CL468">
        <v>0</v>
      </c>
      <c r="CM468">
        <v>2</v>
      </c>
      <c r="CN468">
        <v>0</v>
      </c>
      <c r="CO468">
        <v>7</v>
      </c>
      <c r="CP468" t="s">
        <v>121</v>
      </c>
      <c r="CQ468">
        <v>580</v>
      </c>
      <c r="CR468">
        <v>0</v>
      </c>
      <c r="CW468">
        <v>66033</v>
      </c>
      <c r="CY468">
        <v>0</v>
      </c>
      <c r="CZ468">
        <v>0</v>
      </c>
      <c r="DA468">
        <v>0</v>
      </c>
      <c r="DB468">
        <v>1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</row>
    <row r="469" spans="1:113" x14ac:dyDescent="0.3">
      <c r="A469" t="str">
        <f>"06/16/2022 19:10:29.923"</f>
        <v>06/16/2022 19:10:29.923</v>
      </c>
      <c r="C469" t="str">
        <f t="shared" si="21"/>
        <v>FFBF5BC0</v>
      </c>
      <c r="D469" t="s">
        <v>113</v>
      </c>
      <c r="E469">
        <v>8</v>
      </c>
      <c r="H469">
        <v>206</v>
      </c>
      <c r="I469" t="s">
        <v>114</v>
      </c>
      <c r="J469" t="s">
        <v>115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>"19:10:29.586"</f>
        <v>19:10:29.586</v>
      </c>
      <c r="T469" t="str">
        <f>"19:10:29.586"</f>
        <v>19:10:29.586</v>
      </c>
      <c r="U469" t="str">
        <f t="shared" si="22"/>
        <v>AB63B2</v>
      </c>
      <c r="V469">
        <v>0</v>
      </c>
      <c r="W469">
        <v>0</v>
      </c>
      <c r="X469">
        <v>6</v>
      </c>
      <c r="Z469">
        <v>0</v>
      </c>
      <c r="AA469">
        <v>9</v>
      </c>
      <c r="AB469">
        <v>3</v>
      </c>
      <c r="AC469">
        <v>0</v>
      </c>
      <c r="AD469">
        <v>10</v>
      </c>
      <c r="AE469">
        <v>0</v>
      </c>
      <c r="AF469">
        <v>0</v>
      </c>
      <c r="AG469">
        <v>2</v>
      </c>
      <c r="AH469">
        <v>0</v>
      </c>
      <c r="AI469" t="s">
        <v>520</v>
      </c>
      <c r="AJ469">
        <v>41.972000999999999</v>
      </c>
      <c r="AK469" t="s">
        <v>522</v>
      </c>
      <c r="AL469">
        <v>-87.901161000000002</v>
      </c>
      <c r="AS469">
        <v>1</v>
      </c>
      <c r="AT469" t="s">
        <v>118</v>
      </c>
      <c r="AU469" t="b">
        <v>1</v>
      </c>
      <c r="AV469">
        <v>233.44</v>
      </c>
      <c r="AW469">
        <v>1.625</v>
      </c>
      <c r="AX469">
        <v>1</v>
      </c>
      <c r="AZ469">
        <v>7205</v>
      </c>
      <c r="BA469">
        <v>1</v>
      </c>
      <c r="BB469" t="str">
        <f t="shared" si="23"/>
        <v xml:space="preserve">KAP400  </v>
      </c>
      <c r="BC469">
        <v>1</v>
      </c>
      <c r="BE469">
        <v>0</v>
      </c>
      <c r="BF469">
        <v>0</v>
      </c>
      <c r="BG469">
        <v>0</v>
      </c>
      <c r="BI469">
        <v>1</v>
      </c>
      <c r="BJ469">
        <v>1</v>
      </c>
      <c r="BK469">
        <v>1</v>
      </c>
      <c r="BL469">
        <v>0</v>
      </c>
      <c r="BO469">
        <v>0</v>
      </c>
      <c r="BP469">
        <v>0</v>
      </c>
      <c r="BW469" t="str">
        <f>"19:10:29.589"</f>
        <v>19:10:29.589</v>
      </c>
      <c r="BX469" t="s">
        <v>119</v>
      </c>
      <c r="BY469" t="s">
        <v>120</v>
      </c>
      <c r="CJ469">
        <v>0</v>
      </c>
      <c r="CK469">
        <v>0</v>
      </c>
      <c r="CL469">
        <v>0</v>
      </c>
      <c r="CM469">
        <v>2</v>
      </c>
      <c r="CN469">
        <v>0</v>
      </c>
      <c r="CO469">
        <v>7</v>
      </c>
      <c r="CP469" t="s">
        <v>121</v>
      </c>
      <c r="CQ469">
        <v>580</v>
      </c>
      <c r="CR469">
        <v>0</v>
      </c>
      <c r="CW469">
        <v>67748</v>
      </c>
      <c r="CY469">
        <v>0</v>
      </c>
      <c r="CZ469">
        <v>0</v>
      </c>
      <c r="DA469">
        <v>0</v>
      </c>
      <c r="DB469">
        <v>1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</row>
    <row r="470" spans="1:113" x14ac:dyDescent="0.3">
      <c r="A470" t="str">
        <f>"06/16/2022 19:10:30.829"</f>
        <v>06/16/2022 19:10:30.829</v>
      </c>
      <c r="C470" t="str">
        <f t="shared" si="21"/>
        <v>FFBF5BC0</v>
      </c>
      <c r="D470" t="s">
        <v>113</v>
      </c>
      <c r="E470">
        <v>8</v>
      </c>
      <c r="H470">
        <v>206</v>
      </c>
      <c r="I470" t="s">
        <v>114</v>
      </c>
      <c r="J470" t="s">
        <v>115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>"19:10:30.609"</f>
        <v>19:10:30.609</v>
      </c>
      <c r="T470" t="str">
        <f>"19:10:30.609"</f>
        <v>19:10:30.609</v>
      </c>
      <c r="U470" t="str">
        <f t="shared" si="22"/>
        <v>AB63B2</v>
      </c>
      <c r="V470">
        <v>0</v>
      </c>
      <c r="W470">
        <v>0</v>
      </c>
      <c r="X470">
        <v>6</v>
      </c>
      <c r="Z470">
        <v>0</v>
      </c>
      <c r="AA470">
        <v>9</v>
      </c>
      <c r="AB470">
        <v>3</v>
      </c>
      <c r="AC470">
        <v>0</v>
      </c>
      <c r="AD470">
        <v>10</v>
      </c>
      <c r="AE470">
        <v>0</v>
      </c>
      <c r="AF470">
        <v>0</v>
      </c>
      <c r="AG470">
        <v>2</v>
      </c>
      <c r="AH470">
        <v>0</v>
      </c>
      <c r="AI470" t="s">
        <v>523</v>
      </c>
      <c r="AJ470">
        <v>41.971978999999997</v>
      </c>
      <c r="AK470" t="s">
        <v>524</v>
      </c>
      <c r="AL470">
        <v>-87.901182000000006</v>
      </c>
      <c r="AS470">
        <v>1</v>
      </c>
      <c r="AT470" t="s">
        <v>118</v>
      </c>
      <c r="AU470" t="b">
        <v>1</v>
      </c>
      <c r="AV470">
        <v>233.44</v>
      </c>
      <c r="AW470">
        <v>1.375</v>
      </c>
      <c r="AX470">
        <v>1</v>
      </c>
      <c r="AZ470">
        <v>7205</v>
      </c>
      <c r="BA470">
        <v>1</v>
      </c>
      <c r="BB470" t="str">
        <f t="shared" si="23"/>
        <v xml:space="preserve">KAP400  </v>
      </c>
      <c r="BC470">
        <v>1</v>
      </c>
      <c r="BE470">
        <v>0</v>
      </c>
      <c r="BF470">
        <v>0</v>
      </c>
      <c r="BG470">
        <v>0</v>
      </c>
      <c r="BI470">
        <v>1</v>
      </c>
      <c r="BJ470">
        <v>1</v>
      </c>
      <c r="BK470">
        <v>1</v>
      </c>
      <c r="BL470">
        <v>0</v>
      </c>
      <c r="BO470">
        <v>0</v>
      </c>
      <c r="BP470">
        <v>0</v>
      </c>
      <c r="BW470" t="str">
        <f>"19:10:30.613"</f>
        <v>19:10:30.613</v>
      </c>
      <c r="BX470" t="s">
        <v>119</v>
      </c>
      <c r="BY470" t="s">
        <v>120</v>
      </c>
      <c r="CJ470">
        <v>0</v>
      </c>
      <c r="CK470">
        <v>0</v>
      </c>
      <c r="CL470">
        <v>0</v>
      </c>
      <c r="CM470">
        <v>2</v>
      </c>
      <c r="CN470">
        <v>0</v>
      </c>
      <c r="CO470">
        <v>7</v>
      </c>
      <c r="CP470" t="s">
        <v>121</v>
      </c>
      <c r="CQ470">
        <v>580</v>
      </c>
      <c r="CR470">
        <v>0</v>
      </c>
      <c r="CW470">
        <v>69758</v>
      </c>
      <c r="CY470">
        <v>0</v>
      </c>
      <c r="CZ470">
        <v>0</v>
      </c>
      <c r="DA470">
        <v>0</v>
      </c>
      <c r="DB470">
        <v>1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</row>
    <row r="471" spans="1:113" x14ac:dyDescent="0.3">
      <c r="A471" t="str">
        <f>"06/16/2022 19:10:31.832"</f>
        <v>06/16/2022 19:10:31.832</v>
      </c>
      <c r="C471" t="str">
        <f t="shared" si="21"/>
        <v>FFBF5BC0</v>
      </c>
      <c r="D471" t="s">
        <v>113</v>
      </c>
      <c r="E471">
        <v>8</v>
      </c>
      <c r="H471">
        <v>206</v>
      </c>
      <c r="I471" t="s">
        <v>114</v>
      </c>
      <c r="J471" t="s">
        <v>115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>"19:10:31.438"</f>
        <v>19:10:31.438</v>
      </c>
      <c r="T471" t="str">
        <f>"19:10:31.438"</f>
        <v>19:10:31.438</v>
      </c>
      <c r="U471" t="str">
        <f t="shared" si="22"/>
        <v>AB63B2</v>
      </c>
      <c r="V471">
        <v>0</v>
      </c>
      <c r="W471">
        <v>0</v>
      </c>
      <c r="X471">
        <v>6</v>
      </c>
      <c r="Z471">
        <v>0</v>
      </c>
      <c r="AA471">
        <v>9</v>
      </c>
      <c r="AB471">
        <v>3</v>
      </c>
      <c r="AC471">
        <v>0</v>
      </c>
      <c r="AD471">
        <v>10</v>
      </c>
      <c r="AE471">
        <v>0</v>
      </c>
      <c r="AF471">
        <v>0</v>
      </c>
      <c r="AG471">
        <v>2</v>
      </c>
      <c r="AH471">
        <v>0</v>
      </c>
      <c r="AI471" t="s">
        <v>523</v>
      </c>
      <c r="AJ471">
        <v>41.971978999999997</v>
      </c>
      <c r="AK471" t="s">
        <v>524</v>
      </c>
      <c r="AL471">
        <v>-87.901182000000006</v>
      </c>
      <c r="AS471">
        <v>1</v>
      </c>
      <c r="AT471" t="s">
        <v>118</v>
      </c>
      <c r="AU471" t="b">
        <v>1</v>
      </c>
      <c r="AV471">
        <v>230.63</v>
      </c>
      <c r="AW471">
        <v>1.125</v>
      </c>
      <c r="AX471">
        <v>1</v>
      </c>
      <c r="AZ471">
        <v>7205</v>
      </c>
      <c r="BA471">
        <v>1</v>
      </c>
      <c r="BB471" t="str">
        <f t="shared" si="23"/>
        <v xml:space="preserve">KAP400  </v>
      </c>
      <c r="BC471">
        <v>1</v>
      </c>
      <c r="BE471">
        <v>0</v>
      </c>
      <c r="BF471">
        <v>0</v>
      </c>
      <c r="BG471">
        <v>0</v>
      </c>
      <c r="BI471">
        <v>1</v>
      </c>
      <c r="BJ471">
        <v>1</v>
      </c>
      <c r="BK471">
        <v>1</v>
      </c>
      <c r="BL471">
        <v>0</v>
      </c>
      <c r="BO471">
        <v>0</v>
      </c>
      <c r="BP471">
        <v>0</v>
      </c>
      <c r="BW471" t="str">
        <f>"19:10:31.440"</f>
        <v>19:10:31.440</v>
      </c>
      <c r="BX471" t="s">
        <v>119</v>
      </c>
      <c r="BY471" t="s">
        <v>120</v>
      </c>
      <c r="CJ471">
        <v>0</v>
      </c>
      <c r="CK471">
        <v>0</v>
      </c>
      <c r="CL471">
        <v>0</v>
      </c>
      <c r="CM471">
        <v>2</v>
      </c>
      <c r="CN471">
        <v>0</v>
      </c>
      <c r="CO471">
        <v>7</v>
      </c>
      <c r="CP471" t="s">
        <v>121</v>
      </c>
      <c r="CQ471">
        <v>580</v>
      </c>
      <c r="CR471">
        <v>0</v>
      </c>
      <c r="CW471">
        <v>71439</v>
      </c>
      <c r="CY471">
        <v>0</v>
      </c>
      <c r="CZ471">
        <v>0</v>
      </c>
      <c r="DA471">
        <v>0</v>
      </c>
      <c r="DB471">
        <v>1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</row>
    <row r="472" spans="1:113" x14ac:dyDescent="0.3">
      <c r="A472" t="str">
        <f>"06/16/2022 19:10:32.736"</f>
        <v>06/16/2022 19:10:32.736</v>
      </c>
      <c r="C472" t="str">
        <f t="shared" si="21"/>
        <v>FFBF5BC0</v>
      </c>
      <c r="D472" t="s">
        <v>113</v>
      </c>
      <c r="E472">
        <v>8</v>
      </c>
      <c r="H472">
        <v>206</v>
      </c>
      <c r="I472" t="s">
        <v>114</v>
      </c>
      <c r="J472" t="s">
        <v>115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>"19:10:32.469"</f>
        <v>19:10:32.469</v>
      </c>
      <c r="T472" t="str">
        <f>"19:10:32.469"</f>
        <v>19:10:32.469</v>
      </c>
      <c r="U472" t="str">
        <f t="shared" si="22"/>
        <v>AB63B2</v>
      </c>
      <c r="V472">
        <v>0</v>
      </c>
      <c r="W472">
        <v>0</v>
      </c>
      <c r="X472">
        <v>6</v>
      </c>
      <c r="Z472">
        <v>0</v>
      </c>
      <c r="AA472">
        <v>9</v>
      </c>
      <c r="AB472">
        <v>3</v>
      </c>
      <c r="AC472">
        <v>0</v>
      </c>
      <c r="AD472">
        <v>10</v>
      </c>
      <c r="AE472">
        <v>0</v>
      </c>
      <c r="AF472">
        <v>0</v>
      </c>
      <c r="AG472">
        <v>2</v>
      </c>
      <c r="AH472">
        <v>0</v>
      </c>
      <c r="AI472" t="s">
        <v>523</v>
      </c>
      <c r="AJ472">
        <v>41.971978999999997</v>
      </c>
      <c r="AK472" t="s">
        <v>524</v>
      </c>
      <c r="AL472">
        <v>-87.901182000000006</v>
      </c>
      <c r="AS472">
        <v>1</v>
      </c>
      <c r="AT472" t="s">
        <v>118</v>
      </c>
      <c r="AU472" t="b">
        <v>1</v>
      </c>
      <c r="AV472">
        <v>230.63</v>
      </c>
      <c r="AW472">
        <v>1</v>
      </c>
      <c r="AX472">
        <v>1</v>
      </c>
      <c r="AZ472">
        <v>7205</v>
      </c>
      <c r="BA472">
        <v>1</v>
      </c>
      <c r="BB472" t="str">
        <f t="shared" si="23"/>
        <v xml:space="preserve">KAP400  </v>
      </c>
      <c r="BC472">
        <v>1</v>
      </c>
      <c r="BE472">
        <v>0</v>
      </c>
      <c r="BF472">
        <v>0</v>
      </c>
      <c r="BG472">
        <v>0</v>
      </c>
      <c r="BI472">
        <v>1</v>
      </c>
      <c r="BJ472">
        <v>1</v>
      </c>
      <c r="BK472">
        <v>1</v>
      </c>
      <c r="BL472">
        <v>0</v>
      </c>
      <c r="BO472">
        <v>0</v>
      </c>
      <c r="BP472">
        <v>0</v>
      </c>
      <c r="BW472" t="str">
        <f>"19:10:32.471"</f>
        <v>19:10:32.471</v>
      </c>
      <c r="BX472" t="s">
        <v>119</v>
      </c>
      <c r="BY472" t="s">
        <v>120</v>
      </c>
      <c r="CJ472">
        <v>0</v>
      </c>
      <c r="CK472">
        <v>0</v>
      </c>
      <c r="CL472">
        <v>0</v>
      </c>
      <c r="CM472">
        <v>2</v>
      </c>
      <c r="CN472">
        <v>0</v>
      </c>
      <c r="CO472">
        <v>7</v>
      </c>
      <c r="CP472" t="s">
        <v>121</v>
      </c>
      <c r="CQ472">
        <v>580</v>
      </c>
      <c r="CR472">
        <v>0</v>
      </c>
      <c r="CW472">
        <v>73452</v>
      </c>
      <c r="CY472">
        <v>0</v>
      </c>
      <c r="CZ472">
        <v>0</v>
      </c>
      <c r="DA472">
        <v>0</v>
      </c>
      <c r="DB472">
        <v>1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</row>
    <row r="473" spans="1:113" x14ac:dyDescent="0.3">
      <c r="A473" t="str">
        <f>"06/16/2022 19:10:33.783"</f>
        <v>06/16/2022 19:10:33.783</v>
      </c>
      <c r="C473" t="str">
        <f t="shared" si="21"/>
        <v>FFBF5BC0</v>
      </c>
      <c r="D473" t="s">
        <v>113</v>
      </c>
      <c r="E473">
        <v>8</v>
      </c>
      <c r="H473">
        <v>206</v>
      </c>
      <c r="I473" t="s">
        <v>114</v>
      </c>
      <c r="J473" t="s">
        <v>115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>"19:10:33.555"</f>
        <v>19:10:33.555</v>
      </c>
      <c r="T473" t="str">
        <f>"19:10:33.555"</f>
        <v>19:10:33.555</v>
      </c>
      <c r="U473" t="str">
        <f t="shared" si="22"/>
        <v>AB63B2</v>
      </c>
      <c r="V473">
        <v>0</v>
      </c>
      <c r="W473">
        <v>0</v>
      </c>
      <c r="X473">
        <v>6</v>
      </c>
      <c r="Z473">
        <v>0</v>
      </c>
      <c r="AA473">
        <v>9</v>
      </c>
      <c r="AB473">
        <v>3</v>
      </c>
      <c r="AC473">
        <v>0</v>
      </c>
      <c r="AD473">
        <v>10</v>
      </c>
      <c r="AE473">
        <v>0</v>
      </c>
      <c r="AF473">
        <v>0</v>
      </c>
      <c r="AG473">
        <v>2</v>
      </c>
      <c r="AH473">
        <v>0</v>
      </c>
      <c r="AI473" t="s">
        <v>523</v>
      </c>
      <c r="AJ473">
        <v>41.971978999999997</v>
      </c>
      <c r="AK473" t="s">
        <v>524</v>
      </c>
      <c r="AL473">
        <v>-87.901182000000006</v>
      </c>
      <c r="AS473">
        <v>1</v>
      </c>
      <c r="AT473" t="s">
        <v>118</v>
      </c>
      <c r="AU473" t="b">
        <v>1</v>
      </c>
      <c r="AV473">
        <v>230.63</v>
      </c>
      <c r="AW473">
        <v>0.625</v>
      </c>
      <c r="AX473">
        <v>1</v>
      </c>
      <c r="AZ473">
        <v>7205</v>
      </c>
      <c r="BA473">
        <v>1</v>
      </c>
      <c r="BB473" t="str">
        <f t="shared" si="23"/>
        <v xml:space="preserve">KAP400  </v>
      </c>
      <c r="BC473">
        <v>1</v>
      </c>
      <c r="BE473">
        <v>0</v>
      </c>
      <c r="BF473">
        <v>0</v>
      </c>
      <c r="BG473">
        <v>0</v>
      </c>
      <c r="BI473">
        <v>1</v>
      </c>
      <c r="BJ473">
        <v>1</v>
      </c>
      <c r="BK473">
        <v>1</v>
      </c>
      <c r="BL473">
        <v>0</v>
      </c>
      <c r="BO473">
        <v>0</v>
      </c>
      <c r="BP473">
        <v>0</v>
      </c>
      <c r="BW473" t="str">
        <f>"19:10:33.559"</f>
        <v>19:10:33.559</v>
      </c>
      <c r="BX473" t="s">
        <v>119</v>
      </c>
      <c r="BY473" t="s">
        <v>120</v>
      </c>
      <c r="CJ473">
        <v>0</v>
      </c>
      <c r="CK473">
        <v>0</v>
      </c>
      <c r="CL473">
        <v>0</v>
      </c>
      <c r="CM473">
        <v>2</v>
      </c>
      <c r="CN473">
        <v>0</v>
      </c>
      <c r="CO473">
        <v>7</v>
      </c>
      <c r="CP473" t="s">
        <v>121</v>
      </c>
      <c r="CQ473">
        <v>580</v>
      </c>
      <c r="CR473">
        <v>0</v>
      </c>
      <c r="CW473">
        <v>75598</v>
      </c>
      <c r="CY473">
        <v>0</v>
      </c>
      <c r="CZ473">
        <v>0</v>
      </c>
      <c r="DA473">
        <v>0</v>
      </c>
      <c r="DB473">
        <v>1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</row>
    <row r="474" spans="1:113" x14ac:dyDescent="0.3">
      <c r="A474" t="str">
        <f>"06/16/2022 19:10:34.798"</f>
        <v>06/16/2022 19:10:34.798</v>
      </c>
      <c r="C474" t="str">
        <f t="shared" si="21"/>
        <v>FFBF5BC0</v>
      </c>
      <c r="D474" t="s">
        <v>113</v>
      </c>
      <c r="E474">
        <v>8</v>
      </c>
      <c r="H474">
        <v>206</v>
      </c>
      <c r="I474" t="s">
        <v>114</v>
      </c>
      <c r="J474" t="s">
        <v>115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>"19:10:34.617"</f>
        <v>19:10:34.617</v>
      </c>
      <c r="T474" t="str">
        <f>"19:10:34.617"</f>
        <v>19:10:34.617</v>
      </c>
      <c r="U474" t="str">
        <f t="shared" si="22"/>
        <v>AB63B2</v>
      </c>
      <c r="V474">
        <v>0</v>
      </c>
      <c r="W474">
        <v>0</v>
      </c>
      <c r="X474">
        <v>6</v>
      </c>
      <c r="Z474">
        <v>0</v>
      </c>
      <c r="AA474">
        <v>9</v>
      </c>
      <c r="AB474">
        <v>3</v>
      </c>
      <c r="AC474">
        <v>0</v>
      </c>
      <c r="AD474">
        <v>10</v>
      </c>
      <c r="AE474">
        <v>0</v>
      </c>
      <c r="AF474">
        <v>0</v>
      </c>
      <c r="AG474">
        <v>2</v>
      </c>
      <c r="AH474">
        <v>0</v>
      </c>
      <c r="AI474" t="s">
        <v>523</v>
      </c>
      <c r="AJ474">
        <v>41.971978999999997</v>
      </c>
      <c r="AK474" t="s">
        <v>524</v>
      </c>
      <c r="AL474">
        <v>-87.901182000000006</v>
      </c>
      <c r="AS474">
        <v>1</v>
      </c>
      <c r="AT474" t="s">
        <v>118</v>
      </c>
      <c r="AU474" t="b">
        <v>1</v>
      </c>
      <c r="AV474">
        <v>230.63</v>
      </c>
      <c r="AW474">
        <v>0.25</v>
      </c>
      <c r="AX474">
        <v>1</v>
      </c>
      <c r="AZ474">
        <v>7205</v>
      </c>
      <c r="BA474">
        <v>1</v>
      </c>
      <c r="BB474" t="str">
        <f t="shared" si="23"/>
        <v xml:space="preserve">KAP400  </v>
      </c>
      <c r="BC474">
        <v>1</v>
      </c>
      <c r="BE474">
        <v>0</v>
      </c>
      <c r="BF474">
        <v>0</v>
      </c>
      <c r="BG474">
        <v>0</v>
      </c>
      <c r="BI474">
        <v>1</v>
      </c>
      <c r="BJ474">
        <v>1</v>
      </c>
      <c r="BK474">
        <v>1</v>
      </c>
      <c r="BL474">
        <v>0</v>
      </c>
      <c r="BO474">
        <v>0</v>
      </c>
      <c r="BP474">
        <v>0</v>
      </c>
      <c r="BW474" t="str">
        <f>"19:10:34.622"</f>
        <v>19:10:34.622</v>
      </c>
      <c r="BX474" t="s">
        <v>119</v>
      </c>
      <c r="BY474" t="s">
        <v>120</v>
      </c>
      <c r="CJ474">
        <v>0</v>
      </c>
      <c r="CK474">
        <v>0</v>
      </c>
      <c r="CL474">
        <v>0</v>
      </c>
      <c r="CM474">
        <v>2</v>
      </c>
      <c r="CN474">
        <v>0</v>
      </c>
      <c r="CO474">
        <v>7</v>
      </c>
      <c r="CP474" t="s">
        <v>121</v>
      </c>
      <c r="CQ474">
        <v>580</v>
      </c>
      <c r="CR474">
        <v>0</v>
      </c>
      <c r="CW474">
        <v>77655</v>
      </c>
      <c r="CY474">
        <v>0</v>
      </c>
      <c r="CZ474">
        <v>0</v>
      </c>
      <c r="DA474">
        <v>0</v>
      </c>
      <c r="DB474">
        <v>1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</row>
    <row r="475" spans="1:113" x14ac:dyDescent="0.3">
      <c r="A475" t="str">
        <f>"06/16/2022 19:10:35.752"</f>
        <v>06/16/2022 19:10:35.752</v>
      </c>
      <c r="C475" t="str">
        <f t="shared" si="21"/>
        <v>FFBF5BC0</v>
      </c>
      <c r="D475" t="s">
        <v>113</v>
      </c>
      <c r="E475">
        <v>8</v>
      </c>
      <c r="H475">
        <v>206</v>
      </c>
      <c r="I475" t="s">
        <v>114</v>
      </c>
      <c r="J475" t="s">
        <v>115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>"19:10:35.492"</f>
        <v>19:10:35.492</v>
      </c>
      <c r="T475" t="str">
        <f>"19:10:35.492"</f>
        <v>19:10:35.492</v>
      </c>
      <c r="U475" t="str">
        <f t="shared" si="22"/>
        <v>AB63B2</v>
      </c>
      <c r="V475">
        <v>0</v>
      </c>
      <c r="W475">
        <v>0</v>
      </c>
      <c r="X475">
        <v>6</v>
      </c>
      <c r="Z475">
        <v>0</v>
      </c>
      <c r="AA475">
        <v>9</v>
      </c>
      <c r="AB475">
        <v>3</v>
      </c>
      <c r="AC475">
        <v>0</v>
      </c>
      <c r="AD475">
        <v>10</v>
      </c>
      <c r="AE475">
        <v>0</v>
      </c>
      <c r="AF475">
        <v>0</v>
      </c>
      <c r="AG475">
        <v>2</v>
      </c>
      <c r="AH475">
        <v>0</v>
      </c>
      <c r="AI475" t="s">
        <v>523</v>
      </c>
      <c r="AJ475">
        <v>41.971978999999997</v>
      </c>
      <c r="AK475" t="s">
        <v>524</v>
      </c>
      <c r="AL475">
        <v>-87.901182000000006</v>
      </c>
      <c r="AS475">
        <v>1</v>
      </c>
      <c r="AT475" t="s">
        <v>118</v>
      </c>
      <c r="AU475" t="b">
        <v>1</v>
      </c>
      <c r="AV475">
        <v>230.63</v>
      </c>
      <c r="AW475">
        <v>0.25</v>
      </c>
      <c r="AX475">
        <v>1</v>
      </c>
      <c r="AZ475">
        <v>7205</v>
      </c>
      <c r="BA475">
        <v>1</v>
      </c>
      <c r="BB475" t="str">
        <f t="shared" si="23"/>
        <v xml:space="preserve">KAP400  </v>
      </c>
      <c r="BC475">
        <v>1</v>
      </c>
      <c r="BE475">
        <v>0</v>
      </c>
      <c r="BF475">
        <v>0</v>
      </c>
      <c r="BG475">
        <v>0</v>
      </c>
      <c r="BI475">
        <v>1</v>
      </c>
      <c r="BJ475">
        <v>1</v>
      </c>
      <c r="BK475">
        <v>1</v>
      </c>
      <c r="BL475">
        <v>0</v>
      </c>
      <c r="BO475">
        <v>0</v>
      </c>
      <c r="BP475">
        <v>0</v>
      </c>
      <c r="BW475" t="str">
        <f>"19:10:35.497"</f>
        <v>19:10:35.497</v>
      </c>
      <c r="BX475" t="s">
        <v>119</v>
      </c>
      <c r="BY475" t="s">
        <v>120</v>
      </c>
      <c r="CJ475">
        <v>0</v>
      </c>
      <c r="CK475">
        <v>0</v>
      </c>
      <c r="CL475">
        <v>0</v>
      </c>
      <c r="CM475">
        <v>2</v>
      </c>
      <c r="CN475">
        <v>0</v>
      </c>
      <c r="CO475">
        <v>7</v>
      </c>
      <c r="CP475" t="s">
        <v>121</v>
      </c>
      <c r="CQ475">
        <v>580</v>
      </c>
      <c r="CR475">
        <v>0</v>
      </c>
      <c r="CW475">
        <v>79378</v>
      </c>
      <c r="CY475">
        <v>0</v>
      </c>
      <c r="CZ475">
        <v>0</v>
      </c>
      <c r="DA475">
        <v>0</v>
      </c>
      <c r="DB475">
        <v>1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</row>
    <row r="476" spans="1:113" x14ac:dyDescent="0.3">
      <c r="A476" t="str">
        <f>"06/16/2022 19:10:37.158"</f>
        <v>06/16/2022 19:10:37.158</v>
      </c>
      <c r="C476" t="str">
        <f t="shared" si="21"/>
        <v>FFBF5BC0</v>
      </c>
      <c r="D476" t="s">
        <v>113</v>
      </c>
      <c r="E476">
        <v>8</v>
      </c>
      <c r="H476">
        <v>206</v>
      </c>
      <c r="I476" t="s">
        <v>114</v>
      </c>
      <c r="J476" t="s">
        <v>115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>"19:10:36.898"</f>
        <v>19:10:36.898</v>
      </c>
      <c r="T476" t="str">
        <f>"19:10:36.898"</f>
        <v>19:10:36.898</v>
      </c>
      <c r="U476" t="str">
        <f t="shared" si="22"/>
        <v>AB63B2</v>
      </c>
      <c r="V476">
        <v>0</v>
      </c>
      <c r="W476">
        <v>0</v>
      </c>
      <c r="X476">
        <v>6</v>
      </c>
      <c r="Z476">
        <v>0</v>
      </c>
      <c r="AA476">
        <v>9</v>
      </c>
      <c r="AB476">
        <v>3</v>
      </c>
      <c r="AC476">
        <v>0</v>
      </c>
      <c r="AD476">
        <v>10</v>
      </c>
      <c r="AE476">
        <v>0</v>
      </c>
      <c r="AF476">
        <v>0</v>
      </c>
      <c r="AG476">
        <v>2</v>
      </c>
      <c r="AH476">
        <v>0</v>
      </c>
      <c r="AI476" t="s">
        <v>523</v>
      </c>
      <c r="AJ476">
        <v>41.971978999999997</v>
      </c>
      <c r="AK476" t="s">
        <v>524</v>
      </c>
      <c r="AL476">
        <v>-87.901182000000006</v>
      </c>
      <c r="AS476">
        <v>1</v>
      </c>
      <c r="AT476" t="s">
        <v>118</v>
      </c>
      <c r="AU476" t="b">
        <v>1</v>
      </c>
      <c r="AV476">
        <v>227.81</v>
      </c>
      <c r="AW476">
        <v>0.25</v>
      </c>
      <c r="AX476">
        <v>1</v>
      </c>
      <c r="AZ476">
        <v>7205</v>
      </c>
      <c r="BA476">
        <v>1</v>
      </c>
      <c r="BB476" t="str">
        <f t="shared" si="23"/>
        <v xml:space="preserve">KAP400  </v>
      </c>
      <c r="BC476">
        <v>1</v>
      </c>
      <c r="BE476">
        <v>0</v>
      </c>
      <c r="BF476">
        <v>0</v>
      </c>
      <c r="BG476">
        <v>0</v>
      </c>
      <c r="BI476">
        <v>1</v>
      </c>
      <c r="BJ476">
        <v>1</v>
      </c>
      <c r="BK476">
        <v>1</v>
      </c>
      <c r="BL476">
        <v>0</v>
      </c>
      <c r="BO476">
        <v>0</v>
      </c>
      <c r="BP476">
        <v>0</v>
      </c>
      <c r="BW476" t="str">
        <f>"19:10:36.901"</f>
        <v>19:10:36.901</v>
      </c>
      <c r="BX476" t="s">
        <v>119</v>
      </c>
      <c r="BY476" t="s">
        <v>120</v>
      </c>
      <c r="CJ476">
        <v>0</v>
      </c>
      <c r="CK476">
        <v>0</v>
      </c>
      <c r="CL476">
        <v>0</v>
      </c>
      <c r="CM476">
        <v>2</v>
      </c>
      <c r="CN476">
        <v>0</v>
      </c>
      <c r="CO476">
        <v>7</v>
      </c>
      <c r="CP476" t="s">
        <v>121</v>
      </c>
      <c r="CQ476">
        <v>580</v>
      </c>
      <c r="CR476">
        <v>0</v>
      </c>
      <c r="CW476">
        <v>82183</v>
      </c>
      <c r="CY476">
        <v>0</v>
      </c>
      <c r="CZ476">
        <v>0</v>
      </c>
      <c r="DA476">
        <v>0</v>
      </c>
      <c r="DB476">
        <v>1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</row>
    <row r="477" spans="1:113" x14ac:dyDescent="0.3">
      <c r="A477" t="str">
        <f>"06/16/2022 19:10:38.064"</f>
        <v>06/16/2022 19:10:38.064</v>
      </c>
      <c r="C477" t="str">
        <f t="shared" si="21"/>
        <v>FFBF5BC0</v>
      </c>
      <c r="D477" t="s">
        <v>113</v>
      </c>
      <c r="E477">
        <v>8</v>
      </c>
      <c r="H477">
        <v>206</v>
      </c>
      <c r="I477" t="s">
        <v>114</v>
      </c>
      <c r="J477" t="s">
        <v>115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>"19:10:37.781"</f>
        <v>19:10:37.781</v>
      </c>
      <c r="T477" t="str">
        <f>"19:10:37.781"</f>
        <v>19:10:37.781</v>
      </c>
      <c r="U477" t="str">
        <f t="shared" si="22"/>
        <v>AB63B2</v>
      </c>
      <c r="V477">
        <v>0</v>
      </c>
      <c r="W477">
        <v>0</v>
      </c>
      <c r="X477">
        <v>6</v>
      </c>
      <c r="Z477">
        <v>0</v>
      </c>
      <c r="AA477">
        <v>9</v>
      </c>
      <c r="AB477">
        <v>3</v>
      </c>
      <c r="AC477">
        <v>0</v>
      </c>
      <c r="AD477">
        <v>10</v>
      </c>
      <c r="AE477">
        <v>0</v>
      </c>
      <c r="AF477">
        <v>0</v>
      </c>
      <c r="AG477">
        <v>2</v>
      </c>
      <c r="AH477">
        <v>0</v>
      </c>
      <c r="AI477" t="s">
        <v>523</v>
      </c>
      <c r="AJ477">
        <v>41.971978999999997</v>
      </c>
      <c r="AK477" t="s">
        <v>524</v>
      </c>
      <c r="AL477">
        <v>-87.901182000000006</v>
      </c>
      <c r="AS477">
        <v>1</v>
      </c>
      <c r="AT477" t="s">
        <v>118</v>
      </c>
      <c r="AU477" t="b">
        <v>1</v>
      </c>
      <c r="AV477">
        <v>227.81</v>
      </c>
      <c r="AW477">
        <v>0.25</v>
      </c>
      <c r="AX477">
        <v>1</v>
      </c>
      <c r="AZ477">
        <v>7205</v>
      </c>
      <c r="BA477">
        <v>1</v>
      </c>
      <c r="BB477" t="str">
        <f t="shared" si="23"/>
        <v xml:space="preserve">KAP400  </v>
      </c>
      <c r="BC477">
        <v>1</v>
      </c>
      <c r="BE477">
        <v>0</v>
      </c>
      <c r="BF477">
        <v>0</v>
      </c>
      <c r="BG477">
        <v>0</v>
      </c>
      <c r="BI477">
        <v>1</v>
      </c>
      <c r="BJ477">
        <v>1</v>
      </c>
      <c r="BK477">
        <v>1</v>
      </c>
      <c r="BL477">
        <v>0</v>
      </c>
      <c r="BO477">
        <v>0</v>
      </c>
      <c r="BP477">
        <v>0</v>
      </c>
      <c r="BW477" t="str">
        <f>"19:10:37.783"</f>
        <v>19:10:37.783</v>
      </c>
      <c r="BX477" t="s">
        <v>119</v>
      </c>
      <c r="BY477" t="s">
        <v>120</v>
      </c>
      <c r="CJ477">
        <v>0</v>
      </c>
      <c r="CK477">
        <v>0</v>
      </c>
      <c r="CL477">
        <v>0</v>
      </c>
      <c r="CM477">
        <v>2</v>
      </c>
      <c r="CN477">
        <v>0</v>
      </c>
      <c r="CO477">
        <v>7</v>
      </c>
      <c r="CP477" t="s">
        <v>121</v>
      </c>
      <c r="CQ477">
        <v>580</v>
      </c>
      <c r="CR477">
        <v>0</v>
      </c>
      <c r="CW477">
        <v>83810</v>
      </c>
      <c r="CY477">
        <v>0</v>
      </c>
      <c r="CZ477">
        <v>0</v>
      </c>
      <c r="DA477">
        <v>0</v>
      </c>
      <c r="DB477">
        <v>1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</row>
    <row r="478" spans="1:113" x14ac:dyDescent="0.3">
      <c r="A478" t="str">
        <f>"06/16/2022 19:10:39.033"</f>
        <v>06/16/2022 19:10:39.033</v>
      </c>
      <c r="C478" t="str">
        <f t="shared" si="21"/>
        <v>FFBF5BC0</v>
      </c>
      <c r="D478" t="s">
        <v>113</v>
      </c>
      <c r="E478">
        <v>8</v>
      </c>
      <c r="H478">
        <v>206</v>
      </c>
      <c r="I478" t="s">
        <v>114</v>
      </c>
      <c r="J478" t="s">
        <v>115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>"19:10:38.805"</f>
        <v>19:10:38.805</v>
      </c>
      <c r="T478" t="str">
        <f>"19:10:38.805"</f>
        <v>19:10:38.805</v>
      </c>
      <c r="U478" t="str">
        <f t="shared" si="22"/>
        <v>AB63B2</v>
      </c>
      <c r="V478">
        <v>0</v>
      </c>
      <c r="W478">
        <v>0</v>
      </c>
      <c r="X478">
        <v>6</v>
      </c>
      <c r="Z478">
        <v>0</v>
      </c>
      <c r="AA478">
        <v>9</v>
      </c>
      <c r="AB478">
        <v>3</v>
      </c>
      <c r="AC478">
        <v>0</v>
      </c>
      <c r="AD478">
        <v>10</v>
      </c>
      <c r="AE478">
        <v>0</v>
      </c>
      <c r="AF478">
        <v>0</v>
      </c>
      <c r="AG478">
        <v>2</v>
      </c>
      <c r="AH478">
        <v>0</v>
      </c>
      <c r="AI478" t="s">
        <v>523</v>
      </c>
      <c r="AJ478">
        <v>41.971978999999997</v>
      </c>
      <c r="AK478" t="s">
        <v>524</v>
      </c>
      <c r="AL478">
        <v>-87.901182000000006</v>
      </c>
      <c r="AS478">
        <v>1</v>
      </c>
      <c r="AT478" t="s">
        <v>118</v>
      </c>
      <c r="AU478" t="b">
        <v>1</v>
      </c>
      <c r="AV478">
        <v>227.81</v>
      </c>
      <c r="AW478">
        <v>0.25</v>
      </c>
      <c r="AX478">
        <v>1</v>
      </c>
      <c r="AZ478">
        <v>7205</v>
      </c>
      <c r="BA478">
        <v>1</v>
      </c>
      <c r="BB478" t="str">
        <f t="shared" si="23"/>
        <v xml:space="preserve">KAP400  </v>
      </c>
      <c r="BC478">
        <v>1</v>
      </c>
      <c r="BE478">
        <v>0</v>
      </c>
      <c r="BF478">
        <v>0</v>
      </c>
      <c r="BG478">
        <v>0</v>
      </c>
      <c r="BI478">
        <v>1</v>
      </c>
      <c r="BJ478">
        <v>1</v>
      </c>
      <c r="BK478">
        <v>1</v>
      </c>
      <c r="BL478">
        <v>0</v>
      </c>
      <c r="BO478">
        <v>0</v>
      </c>
      <c r="BP478">
        <v>0</v>
      </c>
      <c r="BW478" t="str">
        <f>"19:10:38.811"</f>
        <v>19:10:38.811</v>
      </c>
      <c r="BX478" t="s">
        <v>119</v>
      </c>
      <c r="BY478" t="s">
        <v>120</v>
      </c>
      <c r="CJ478">
        <v>0</v>
      </c>
      <c r="CK478">
        <v>0</v>
      </c>
      <c r="CL478">
        <v>0</v>
      </c>
      <c r="CM478">
        <v>2</v>
      </c>
      <c r="CN478">
        <v>0</v>
      </c>
      <c r="CO478">
        <v>7</v>
      </c>
      <c r="CP478" t="s">
        <v>121</v>
      </c>
      <c r="CQ478">
        <v>580</v>
      </c>
      <c r="CR478">
        <v>0</v>
      </c>
      <c r="CW478">
        <v>85750</v>
      </c>
      <c r="CY478">
        <v>0</v>
      </c>
      <c r="CZ478">
        <v>0</v>
      </c>
      <c r="DA478">
        <v>0</v>
      </c>
      <c r="DB478">
        <v>1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</row>
    <row r="479" spans="1:113" x14ac:dyDescent="0.3">
      <c r="A479" t="str">
        <f>"06/16/2022 19:10:40.267"</f>
        <v>06/16/2022 19:10:40.267</v>
      </c>
      <c r="C479" t="str">
        <f t="shared" si="21"/>
        <v>FFBF5BC0</v>
      </c>
      <c r="D479" t="s">
        <v>113</v>
      </c>
      <c r="E479">
        <v>8</v>
      </c>
      <c r="H479">
        <v>206</v>
      </c>
      <c r="I479" t="s">
        <v>114</v>
      </c>
      <c r="J479" t="s">
        <v>115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>"19:10:39.961"</f>
        <v>19:10:39.961</v>
      </c>
      <c r="T479" t="str">
        <f>"19:10:39.961"</f>
        <v>19:10:39.961</v>
      </c>
      <c r="U479" t="str">
        <f t="shared" si="22"/>
        <v>AB63B2</v>
      </c>
      <c r="V479">
        <v>0</v>
      </c>
      <c r="W479">
        <v>0</v>
      </c>
      <c r="X479">
        <v>6</v>
      </c>
      <c r="Z479">
        <v>0</v>
      </c>
      <c r="AA479">
        <v>9</v>
      </c>
      <c r="AB479">
        <v>3</v>
      </c>
      <c r="AC479">
        <v>0</v>
      </c>
      <c r="AD479">
        <v>10</v>
      </c>
      <c r="AE479">
        <v>0</v>
      </c>
      <c r="AF479">
        <v>0</v>
      </c>
      <c r="AG479">
        <v>2</v>
      </c>
      <c r="AH479">
        <v>0</v>
      </c>
      <c r="AI479" t="s">
        <v>523</v>
      </c>
      <c r="AJ479">
        <v>41.971978999999997</v>
      </c>
      <c r="AK479" t="s">
        <v>524</v>
      </c>
      <c r="AL479">
        <v>-87.901182000000006</v>
      </c>
      <c r="AS479">
        <v>1</v>
      </c>
      <c r="AT479" t="s">
        <v>118</v>
      </c>
      <c r="AU479" t="b">
        <v>1</v>
      </c>
      <c r="AV479">
        <v>227.81</v>
      </c>
      <c r="AW479">
        <v>0.25</v>
      </c>
      <c r="AX479">
        <v>1</v>
      </c>
      <c r="AZ479">
        <v>7205</v>
      </c>
      <c r="BA479">
        <v>1</v>
      </c>
      <c r="BB479" t="str">
        <f t="shared" si="23"/>
        <v xml:space="preserve">KAP400  </v>
      </c>
      <c r="BC479">
        <v>1</v>
      </c>
      <c r="BE479">
        <v>0</v>
      </c>
      <c r="BF479">
        <v>0</v>
      </c>
      <c r="BG479">
        <v>0</v>
      </c>
      <c r="BI479">
        <v>1</v>
      </c>
      <c r="BJ479">
        <v>1</v>
      </c>
      <c r="BK479">
        <v>1</v>
      </c>
      <c r="BL479">
        <v>0</v>
      </c>
      <c r="BO479">
        <v>0</v>
      </c>
      <c r="BP479">
        <v>0</v>
      </c>
      <c r="BW479" t="str">
        <f>"19:10:39.968"</f>
        <v>19:10:39.968</v>
      </c>
      <c r="BX479" t="s">
        <v>119</v>
      </c>
      <c r="BY479" t="s">
        <v>120</v>
      </c>
      <c r="CJ479">
        <v>0</v>
      </c>
      <c r="CK479">
        <v>0</v>
      </c>
      <c r="CL479">
        <v>0</v>
      </c>
      <c r="CM479">
        <v>2</v>
      </c>
      <c r="CN479">
        <v>0</v>
      </c>
      <c r="CO479">
        <v>7</v>
      </c>
      <c r="CP479" t="s">
        <v>121</v>
      </c>
      <c r="CQ479">
        <v>580</v>
      </c>
      <c r="CR479">
        <v>0</v>
      </c>
      <c r="CW479">
        <v>87992</v>
      </c>
      <c r="CY479">
        <v>0</v>
      </c>
      <c r="CZ479">
        <v>0</v>
      </c>
      <c r="DA479">
        <v>0</v>
      </c>
      <c r="DB479">
        <v>1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</row>
    <row r="480" spans="1:113" x14ac:dyDescent="0.3">
      <c r="A480" t="str">
        <f>"06/16/2022 19:10:41.174"</f>
        <v>06/16/2022 19:10:41.174</v>
      </c>
      <c r="C480" t="str">
        <f t="shared" si="21"/>
        <v>FFBF5BC0</v>
      </c>
      <c r="D480" t="s">
        <v>113</v>
      </c>
      <c r="E480">
        <v>8</v>
      </c>
      <c r="H480">
        <v>206</v>
      </c>
      <c r="I480" t="s">
        <v>114</v>
      </c>
      <c r="J480" t="s">
        <v>115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>"19:10:40.961"</f>
        <v>19:10:40.961</v>
      </c>
      <c r="T480" t="str">
        <f>"19:10:40.961"</f>
        <v>19:10:40.961</v>
      </c>
      <c r="U480" t="str">
        <f t="shared" si="22"/>
        <v>AB63B2</v>
      </c>
      <c r="V480">
        <v>0</v>
      </c>
      <c r="W480">
        <v>0</v>
      </c>
      <c r="X480">
        <v>6</v>
      </c>
      <c r="Z480">
        <v>0</v>
      </c>
      <c r="AA480">
        <v>9</v>
      </c>
      <c r="AB480">
        <v>3</v>
      </c>
      <c r="AC480">
        <v>0</v>
      </c>
      <c r="AD480">
        <v>10</v>
      </c>
      <c r="AE480">
        <v>0</v>
      </c>
      <c r="AF480">
        <v>0</v>
      </c>
      <c r="AG480">
        <v>2</v>
      </c>
      <c r="AH480">
        <v>0</v>
      </c>
      <c r="AI480" t="s">
        <v>523</v>
      </c>
      <c r="AJ480">
        <v>41.971978999999997</v>
      </c>
      <c r="AK480" t="s">
        <v>524</v>
      </c>
      <c r="AL480">
        <v>-87.901182000000006</v>
      </c>
      <c r="AS480">
        <v>1</v>
      </c>
      <c r="AT480" t="s">
        <v>118</v>
      </c>
      <c r="AU480" t="b">
        <v>1</v>
      </c>
      <c r="AV480">
        <v>227.81</v>
      </c>
      <c r="AW480">
        <v>0.25</v>
      </c>
      <c r="AX480">
        <v>1</v>
      </c>
      <c r="AZ480">
        <v>7205</v>
      </c>
      <c r="BA480">
        <v>1</v>
      </c>
      <c r="BB480" t="str">
        <f t="shared" si="23"/>
        <v xml:space="preserve">KAP400  </v>
      </c>
      <c r="BC480">
        <v>1</v>
      </c>
      <c r="BE480">
        <v>0</v>
      </c>
      <c r="BF480">
        <v>0</v>
      </c>
      <c r="BG480">
        <v>0</v>
      </c>
      <c r="BI480">
        <v>1</v>
      </c>
      <c r="BJ480">
        <v>1</v>
      </c>
      <c r="BK480">
        <v>1</v>
      </c>
      <c r="BL480">
        <v>0</v>
      </c>
      <c r="BO480">
        <v>0</v>
      </c>
      <c r="BP480">
        <v>0</v>
      </c>
      <c r="BW480" t="str">
        <f>"19:10:40.968"</f>
        <v>19:10:40.968</v>
      </c>
      <c r="BX480" t="s">
        <v>119</v>
      </c>
      <c r="BY480" t="s">
        <v>120</v>
      </c>
      <c r="CJ480">
        <v>0</v>
      </c>
      <c r="CK480">
        <v>0</v>
      </c>
      <c r="CL480">
        <v>0</v>
      </c>
      <c r="CM480">
        <v>2</v>
      </c>
      <c r="CN480">
        <v>0</v>
      </c>
      <c r="CO480">
        <v>7</v>
      </c>
      <c r="CP480" t="s">
        <v>121</v>
      </c>
      <c r="CQ480">
        <v>580</v>
      </c>
      <c r="CR480">
        <v>0</v>
      </c>
      <c r="CW480">
        <v>89951</v>
      </c>
      <c r="CY480">
        <v>0</v>
      </c>
      <c r="CZ480">
        <v>0</v>
      </c>
      <c r="DA480">
        <v>0</v>
      </c>
      <c r="DB480">
        <v>1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</row>
    <row r="481" spans="1:113" x14ac:dyDescent="0.3">
      <c r="A481" t="str">
        <f>"06/16/2022 19:10:42.298"</f>
        <v>06/16/2022 19:10:42.298</v>
      </c>
      <c r="C481" t="str">
        <f t="shared" si="21"/>
        <v>FFBF5BC0</v>
      </c>
      <c r="D481" t="s">
        <v>113</v>
      </c>
      <c r="E481">
        <v>8</v>
      </c>
      <c r="H481">
        <v>206</v>
      </c>
      <c r="I481" t="s">
        <v>114</v>
      </c>
      <c r="J481" t="s">
        <v>115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>"19:10:41.984"</f>
        <v>19:10:41.984</v>
      </c>
      <c r="T481" t="str">
        <f>"19:10:41.984"</f>
        <v>19:10:41.984</v>
      </c>
      <c r="U481" t="str">
        <f t="shared" si="22"/>
        <v>AB63B2</v>
      </c>
      <c r="V481">
        <v>0</v>
      </c>
      <c r="W481">
        <v>0</v>
      </c>
      <c r="X481">
        <v>6</v>
      </c>
      <c r="Z481">
        <v>0</v>
      </c>
      <c r="AA481">
        <v>9</v>
      </c>
      <c r="AB481">
        <v>3</v>
      </c>
      <c r="AC481">
        <v>0</v>
      </c>
      <c r="AD481">
        <v>10</v>
      </c>
      <c r="AE481">
        <v>0</v>
      </c>
      <c r="AF481">
        <v>0</v>
      </c>
      <c r="AG481">
        <v>2</v>
      </c>
      <c r="AH481">
        <v>0</v>
      </c>
      <c r="AI481" t="s">
        <v>523</v>
      </c>
      <c r="AJ481">
        <v>41.971978999999997</v>
      </c>
      <c r="AK481" t="s">
        <v>524</v>
      </c>
      <c r="AL481">
        <v>-87.901182000000006</v>
      </c>
      <c r="AS481">
        <v>1</v>
      </c>
      <c r="AT481" t="s">
        <v>118</v>
      </c>
      <c r="AU481" t="b">
        <v>1</v>
      </c>
      <c r="AV481">
        <v>227.81</v>
      </c>
      <c r="AW481">
        <v>0.25</v>
      </c>
      <c r="AX481">
        <v>1</v>
      </c>
      <c r="AZ481">
        <v>7205</v>
      </c>
      <c r="BA481">
        <v>1</v>
      </c>
      <c r="BB481" t="str">
        <f t="shared" si="23"/>
        <v xml:space="preserve">KAP400  </v>
      </c>
      <c r="BC481">
        <v>1</v>
      </c>
      <c r="BE481">
        <v>0</v>
      </c>
      <c r="BF481">
        <v>0</v>
      </c>
      <c r="BG481">
        <v>0</v>
      </c>
      <c r="BI481">
        <v>1</v>
      </c>
      <c r="BJ481">
        <v>1</v>
      </c>
      <c r="BK481">
        <v>1</v>
      </c>
      <c r="BL481">
        <v>0</v>
      </c>
      <c r="BO481">
        <v>0</v>
      </c>
      <c r="BP481">
        <v>0</v>
      </c>
      <c r="BW481" t="str">
        <f>"19:10:41.985"</f>
        <v>19:10:41.985</v>
      </c>
      <c r="BX481" t="s">
        <v>119</v>
      </c>
      <c r="BY481" t="s">
        <v>120</v>
      </c>
      <c r="CJ481">
        <v>0</v>
      </c>
      <c r="CK481">
        <v>0</v>
      </c>
      <c r="CL481">
        <v>0</v>
      </c>
      <c r="CM481">
        <v>2</v>
      </c>
      <c r="CN481">
        <v>0</v>
      </c>
      <c r="CO481">
        <v>7</v>
      </c>
      <c r="CP481" t="s">
        <v>121</v>
      </c>
      <c r="CQ481">
        <v>580</v>
      </c>
      <c r="CR481">
        <v>0</v>
      </c>
      <c r="CW481">
        <v>91832</v>
      </c>
      <c r="CY481">
        <v>0</v>
      </c>
      <c r="CZ481">
        <v>0</v>
      </c>
      <c r="DA481">
        <v>0</v>
      </c>
      <c r="DB481">
        <v>1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</row>
    <row r="482" spans="1:113" x14ac:dyDescent="0.3">
      <c r="A482" t="str">
        <f>"06/16/2022 19:10:43.235"</f>
        <v>06/16/2022 19:10:43.235</v>
      </c>
      <c r="C482" t="str">
        <f t="shared" si="21"/>
        <v>FFBF5BC0</v>
      </c>
      <c r="D482" t="s">
        <v>113</v>
      </c>
      <c r="E482">
        <v>8</v>
      </c>
      <c r="H482">
        <v>206</v>
      </c>
      <c r="I482" t="s">
        <v>114</v>
      </c>
      <c r="J482" t="s">
        <v>115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>"19:10:42.992"</f>
        <v>19:10:42.992</v>
      </c>
      <c r="T482" t="str">
        <f>"19:10:42.992"</f>
        <v>19:10:42.992</v>
      </c>
      <c r="U482" t="str">
        <f t="shared" si="22"/>
        <v>AB63B2</v>
      </c>
      <c r="V482">
        <v>0</v>
      </c>
      <c r="W482">
        <v>0</v>
      </c>
      <c r="X482">
        <v>6</v>
      </c>
      <c r="Z482">
        <v>0</v>
      </c>
      <c r="AA482">
        <v>9</v>
      </c>
      <c r="AB482">
        <v>3</v>
      </c>
      <c r="AC482">
        <v>0</v>
      </c>
      <c r="AD482">
        <v>10</v>
      </c>
      <c r="AE482">
        <v>0</v>
      </c>
      <c r="AF482">
        <v>0</v>
      </c>
      <c r="AG482">
        <v>2</v>
      </c>
      <c r="AH482">
        <v>0</v>
      </c>
      <c r="AI482" t="s">
        <v>523</v>
      </c>
      <c r="AJ482">
        <v>41.971978999999997</v>
      </c>
      <c r="AK482" t="s">
        <v>524</v>
      </c>
      <c r="AL482">
        <v>-87.901182000000006</v>
      </c>
      <c r="AS482">
        <v>1</v>
      </c>
      <c r="AT482" t="s">
        <v>118</v>
      </c>
      <c r="AU482" t="b">
        <v>1</v>
      </c>
      <c r="AV482">
        <v>227.81</v>
      </c>
      <c r="AW482">
        <v>0.25</v>
      </c>
      <c r="AX482">
        <v>1</v>
      </c>
      <c r="AZ482">
        <v>7205</v>
      </c>
      <c r="BA482">
        <v>1</v>
      </c>
      <c r="BB482" t="str">
        <f t="shared" si="23"/>
        <v xml:space="preserve">KAP400  </v>
      </c>
      <c r="BC482">
        <v>1</v>
      </c>
      <c r="BE482">
        <v>0</v>
      </c>
      <c r="BF482">
        <v>0</v>
      </c>
      <c r="BG482">
        <v>0</v>
      </c>
      <c r="BI482">
        <v>1</v>
      </c>
      <c r="BJ482">
        <v>1</v>
      </c>
      <c r="BK482">
        <v>1</v>
      </c>
      <c r="BL482">
        <v>0</v>
      </c>
      <c r="BO482">
        <v>0</v>
      </c>
      <c r="BP482">
        <v>0</v>
      </c>
      <c r="BW482" t="str">
        <f>"19:10:42.998"</f>
        <v>19:10:42.998</v>
      </c>
      <c r="BX482" t="s">
        <v>119</v>
      </c>
      <c r="BY482" t="s">
        <v>120</v>
      </c>
      <c r="CJ482">
        <v>0</v>
      </c>
      <c r="CK482">
        <v>0</v>
      </c>
      <c r="CL482">
        <v>0</v>
      </c>
      <c r="CM482">
        <v>2</v>
      </c>
      <c r="CN482">
        <v>0</v>
      </c>
      <c r="CO482">
        <v>7</v>
      </c>
      <c r="CP482" t="s">
        <v>121</v>
      </c>
      <c r="CQ482">
        <v>579</v>
      </c>
      <c r="CR482">
        <v>0</v>
      </c>
      <c r="CW482">
        <v>1179940</v>
      </c>
      <c r="CY482">
        <v>0</v>
      </c>
      <c r="CZ482">
        <v>0</v>
      </c>
      <c r="DA482">
        <v>0</v>
      </c>
      <c r="DB482">
        <v>1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</row>
    <row r="483" spans="1:113" x14ac:dyDescent="0.3">
      <c r="A483" t="str">
        <f>"06/16/2022 19:10:44.235"</f>
        <v>06/16/2022 19:10:44.235</v>
      </c>
      <c r="C483" t="str">
        <f t="shared" si="21"/>
        <v>FFBF5BC0</v>
      </c>
      <c r="D483" t="s">
        <v>113</v>
      </c>
      <c r="E483">
        <v>8</v>
      </c>
      <c r="H483">
        <v>206</v>
      </c>
      <c r="I483" t="s">
        <v>114</v>
      </c>
      <c r="J483" t="s">
        <v>115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>"19:10:44.039"</f>
        <v>19:10:44.039</v>
      </c>
      <c r="T483" t="str">
        <f>"19:10:44.039"</f>
        <v>19:10:44.039</v>
      </c>
      <c r="U483" t="str">
        <f t="shared" si="22"/>
        <v>AB63B2</v>
      </c>
      <c r="V483">
        <v>0</v>
      </c>
      <c r="W483">
        <v>0</v>
      </c>
      <c r="X483">
        <v>6</v>
      </c>
      <c r="Z483">
        <v>0</v>
      </c>
      <c r="AA483">
        <v>9</v>
      </c>
      <c r="AB483">
        <v>3</v>
      </c>
      <c r="AC483">
        <v>0</v>
      </c>
      <c r="AD483">
        <v>10</v>
      </c>
      <c r="AE483">
        <v>0</v>
      </c>
      <c r="AF483">
        <v>0</v>
      </c>
      <c r="AG483">
        <v>2</v>
      </c>
      <c r="AH483">
        <v>0</v>
      </c>
      <c r="AI483" t="s">
        <v>523</v>
      </c>
      <c r="AJ483">
        <v>41.971978999999997</v>
      </c>
      <c r="AK483" t="s">
        <v>524</v>
      </c>
      <c r="AL483">
        <v>-87.901182000000006</v>
      </c>
      <c r="AS483">
        <v>1</v>
      </c>
      <c r="AT483" t="s">
        <v>118</v>
      </c>
      <c r="AU483" t="b">
        <v>1</v>
      </c>
      <c r="AV483">
        <v>227.81</v>
      </c>
      <c r="AW483">
        <v>0.375</v>
      </c>
      <c r="AX483">
        <v>1</v>
      </c>
      <c r="AZ483">
        <v>7205</v>
      </c>
      <c r="BA483">
        <v>1</v>
      </c>
      <c r="BB483" t="str">
        <f t="shared" si="23"/>
        <v xml:space="preserve">KAP400  </v>
      </c>
      <c r="BC483">
        <v>1</v>
      </c>
      <c r="BE483">
        <v>0</v>
      </c>
      <c r="BF483">
        <v>0</v>
      </c>
      <c r="BG483">
        <v>0</v>
      </c>
      <c r="BI483">
        <v>1</v>
      </c>
      <c r="BJ483">
        <v>1</v>
      </c>
      <c r="BK483">
        <v>1</v>
      </c>
      <c r="BL483">
        <v>0</v>
      </c>
      <c r="BO483">
        <v>0</v>
      </c>
      <c r="BP483">
        <v>0</v>
      </c>
      <c r="BW483" t="str">
        <f>"19:10:44.046"</f>
        <v>19:10:44.046</v>
      </c>
      <c r="BX483" t="s">
        <v>119</v>
      </c>
      <c r="BY483" t="s">
        <v>120</v>
      </c>
      <c r="CJ483">
        <v>0</v>
      </c>
      <c r="CK483">
        <v>0</v>
      </c>
      <c r="CL483">
        <v>0</v>
      </c>
      <c r="CM483">
        <v>2</v>
      </c>
      <c r="CN483">
        <v>0</v>
      </c>
      <c r="CO483">
        <v>7</v>
      </c>
      <c r="CP483" t="s">
        <v>121</v>
      </c>
      <c r="CQ483">
        <v>580</v>
      </c>
      <c r="CR483">
        <v>0</v>
      </c>
      <c r="CW483">
        <v>95825</v>
      </c>
      <c r="CY483">
        <v>0</v>
      </c>
      <c r="CZ483">
        <v>0</v>
      </c>
      <c r="DA483">
        <v>0</v>
      </c>
      <c r="DB483">
        <v>1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</row>
    <row r="484" spans="1:113" x14ac:dyDescent="0.3">
      <c r="A484" t="str">
        <f>"06/16/2022 19:10:45.438"</f>
        <v>06/16/2022 19:10:45.438</v>
      </c>
      <c r="C484" t="str">
        <f t="shared" si="21"/>
        <v>FFBF5BC0</v>
      </c>
      <c r="D484" t="s">
        <v>113</v>
      </c>
      <c r="E484">
        <v>8</v>
      </c>
      <c r="H484">
        <v>206</v>
      </c>
      <c r="I484" t="s">
        <v>114</v>
      </c>
      <c r="J484" t="s">
        <v>115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>"19:10:45.195"</f>
        <v>19:10:45.195</v>
      </c>
      <c r="T484" t="str">
        <f>"19:10:45.195"</f>
        <v>19:10:45.195</v>
      </c>
      <c r="U484" t="str">
        <f t="shared" si="22"/>
        <v>AB63B2</v>
      </c>
      <c r="V484">
        <v>0</v>
      </c>
      <c r="W484">
        <v>0</v>
      </c>
      <c r="X484">
        <v>6</v>
      </c>
      <c r="Z484">
        <v>0</v>
      </c>
      <c r="AA484">
        <v>9</v>
      </c>
      <c r="AB484">
        <v>3</v>
      </c>
      <c r="AC484">
        <v>0</v>
      </c>
      <c r="AD484">
        <v>10</v>
      </c>
      <c r="AE484">
        <v>0</v>
      </c>
      <c r="AF484">
        <v>0</v>
      </c>
      <c r="AG484">
        <v>2</v>
      </c>
      <c r="AH484">
        <v>0</v>
      </c>
      <c r="AI484" t="s">
        <v>523</v>
      </c>
      <c r="AJ484">
        <v>41.971978999999997</v>
      </c>
      <c r="AK484" t="s">
        <v>525</v>
      </c>
      <c r="AL484">
        <v>-87.901204000000007</v>
      </c>
      <c r="AS484">
        <v>1</v>
      </c>
      <c r="AT484" t="s">
        <v>118</v>
      </c>
      <c r="AU484" t="b">
        <v>1</v>
      </c>
      <c r="AV484">
        <v>227.81</v>
      </c>
      <c r="AW484">
        <v>0.625</v>
      </c>
      <c r="AX484">
        <v>1</v>
      </c>
      <c r="AZ484">
        <v>7205</v>
      </c>
      <c r="BA484">
        <v>1</v>
      </c>
      <c r="BB484" t="str">
        <f t="shared" si="23"/>
        <v xml:space="preserve">KAP400  </v>
      </c>
      <c r="BC484">
        <v>1</v>
      </c>
      <c r="BE484">
        <v>0</v>
      </c>
      <c r="BF484">
        <v>0</v>
      </c>
      <c r="BG484">
        <v>0</v>
      </c>
      <c r="BI484">
        <v>1</v>
      </c>
      <c r="BJ484">
        <v>1</v>
      </c>
      <c r="BK484">
        <v>1</v>
      </c>
      <c r="BL484">
        <v>0</v>
      </c>
      <c r="BO484">
        <v>0</v>
      </c>
      <c r="BP484">
        <v>0</v>
      </c>
      <c r="BW484" t="str">
        <f>"19:10:45.201"</f>
        <v>19:10:45.201</v>
      </c>
      <c r="BX484" t="s">
        <v>119</v>
      </c>
      <c r="BY484" t="s">
        <v>120</v>
      </c>
      <c r="CJ484">
        <v>0</v>
      </c>
      <c r="CK484">
        <v>0</v>
      </c>
      <c r="CL484">
        <v>0</v>
      </c>
      <c r="CM484">
        <v>2</v>
      </c>
      <c r="CN484">
        <v>0</v>
      </c>
      <c r="CO484">
        <v>7</v>
      </c>
      <c r="CP484" t="s">
        <v>121</v>
      </c>
      <c r="CQ484">
        <v>580</v>
      </c>
      <c r="CR484">
        <v>0</v>
      </c>
      <c r="CW484">
        <v>98129</v>
      </c>
      <c r="CY484">
        <v>0</v>
      </c>
      <c r="CZ484">
        <v>0</v>
      </c>
      <c r="DA484">
        <v>0</v>
      </c>
      <c r="DB484">
        <v>1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</row>
    <row r="485" spans="1:113" x14ac:dyDescent="0.3">
      <c r="A485" t="str">
        <f>"06/16/2022 19:10:46.344"</f>
        <v>06/16/2022 19:10:46.344</v>
      </c>
      <c r="C485" t="str">
        <f t="shared" si="21"/>
        <v>FFBF5BC0</v>
      </c>
      <c r="D485" t="s">
        <v>113</v>
      </c>
      <c r="E485">
        <v>8</v>
      </c>
      <c r="H485">
        <v>206</v>
      </c>
      <c r="I485" t="s">
        <v>114</v>
      </c>
      <c r="J485" t="s">
        <v>115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>"19:10:46.086"</f>
        <v>19:10:46.086</v>
      </c>
      <c r="T485" t="str">
        <f>"19:10:46.086"</f>
        <v>19:10:46.086</v>
      </c>
      <c r="U485" t="str">
        <f t="shared" si="22"/>
        <v>AB63B2</v>
      </c>
      <c r="V485">
        <v>0</v>
      </c>
      <c r="W485">
        <v>0</v>
      </c>
      <c r="X485">
        <v>6</v>
      </c>
      <c r="Z485">
        <v>0</v>
      </c>
      <c r="AA485">
        <v>9</v>
      </c>
      <c r="AB485">
        <v>3</v>
      </c>
      <c r="AC485">
        <v>0</v>
      </c>
      <c r="AD485">
        <v>10</v>
      </c>
      <c r="AE485">
        <v>0</v>
      </c>
      <c r="AF485">
        <v>0</v>
      </c>
      <c r="AG485">
        <v>2</v>
      </c>
      <c r="AH485">
        <v>0</v>
      </c>
      <c r="AI485" t="s">
        <v>523</v>
      </c>
      <c r="AJ485">
        <v>41.971978999999997</v>
      </c>
      <c r="AK485" t="s">
        <v>524</v>
      </c>
      <c r="AL485">
        <v>-87.901182000000006</v>
      </c>
      <c r="AS485">
        <v>1</v>
      </c>
      <c r="AT485" t="s">
        <v>118</v>
      </c>
      <c r="AU485" t="b">
        <v>1</v>
      </c>
      <c r="AV485">
        <v>227.81</v>
      </c>
      <c r="AW485">
        <v>0.625</v>
      </c>
      <c r="AX485">
        <v>1</v>
      </c>
      <c r="AZ485">
        <v>7205</v>
      </c>
      <c r="BA485">
        <v>1</v>
      </c>
      <c r="BB485" t="str">
        <f t="shared" si="23"/>
        <v xml:space="preserve">KAP400  </v>
      </c>
      <c r="BC485">
        <v>1</v>
      </c>
      <c r="BE485">
        <v>0</v>
      </c>
      <c r="BF485">
        <v>0</v>
      </c>
      <c r="BG485">
        <v>0</v>
      </c>
      <c r="BI485">
        <v>1</v>
      </c>
      <c r="BJ485">
        <v>1</v>
      </c>
      <c r="BK485">
        <v>1</v>
      </c>
      <c r="BL485">
        <v>0</v>
      </c>
      <c r="BO485">
        <v>0</v>
      </c>
      <c r="BP485">
        <v>0</v>
      </c>
      <c r="BW485" t="str">
        <f>"19:10:46.088"</f>
        <v>19:10:46.088</v>
      </c>
      <c r="BX485" t="s">
        <v>119</v>
      </c>
      <c r="BY485" t="s">
        <v>120</v>
      </c>
      <c r="CJ485">
        <v>0</v>
      </c>
      <c r="CK485">
        <v>0</v>
      </c>
      <c r="CL485">
        <v>0</v>
      </c>
      <c r="CM485">
        <v>2</v>
      </c>
      <c r="CN485">
        <v>0</v>
      </c>
      <c r="CO485">
        <v>7</v>
      </c>
      <c r="CP485" t="s">
        <v>121</v>
      </c>
      <c r="CQ485">
        <v>580</v>
      </c>
      <c r="CR485">
        <v>0</v>
      </c>
      <c r="CW485">
        <v>99884</v>
      </c>
      <c r="CY485">
        <v>0</v>
      </c>
      <c r="CZ485">
        <v>0</v>
      </c>
      <c r="DA485">
        <v>0</v>
      </c>
      <c r="DB485">
        <v>1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</row>
    <row r="486" spans="1:113" x14ac:dyDescent="0.3">
      <c r="A486" t="str">
        <f>"06/16/2022 19:10:47.423"</f>
        <v>06/16/2022 19:10:47.423</v>
      </c>
      <c r="C486" t="str">
        <f t="shared" si="21"/>
        <v>FFBF5BC0</v>
      </c>
      <c r="D486" t="s">
        <v>113</v>
      </c>
      <c r="E486">
        <v>8</v>
      </c>
      <c r="H486">
        <v>206</v>
      </c>
      <c r="I486" t="s">
        <v>114</v>
      </c>
      <c r="J486" t="s">
        <v>115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>"19:10:47.203"</f>
        <v>19:10:47.203</v>
      </c>
      <c r="T486" t="str">
        <f>"19:10:47.203"</f>
        <v>19:10:47.203</v>
      </c>
      <c r="U486" t="str">
        <f t="shared" si="22"/>
        <v>AB63B2</v>
      </c>
      <c r="V486">
        <v>0</v>
      </c>
      <c r="W486">
        <v>0</v>
      </c>
      <c r="X486">
        <v>6</v>
      </c>
      <c r="Z486">
        <v>0</v>
      </c>
      <c r="AA486">
        <v>9</v>
      </c>
      <c r="AB486">
        <v>3</v>
      </c>
      <c r="AC486">
        <v>0</v>
      </c>
      <c r="AD486">
        <v>10</v>
      </c>
      <c r="AE486">
        <v>0</v>
      </c>
      <c r="AF486">
        <v>0</v>
      </c>
      <c r="AG486">
        <v>2</v>
      </c>
      <c r="AH486">
        <v>0</v>
      </c>
      <c r="AI486" t="s">
        <v>523</v>
      </c>
      <c r="AJ486">
        <v>41.971978999999997</v>
      </c>
      <c r="AK486" t="s">
        <v>525</v>
      </c>
      <c r="AL486">
        <v>-87.901204000000007</v>
      </c>
      <c r="AS486">
        <v>1</v>
      </c>
      <c r="AT486" t="s">
        <v>118</v>
      </c>
      <c r="AU486" t="b">
        <v>1</v>
      </c>
      <c r="AV486">
        <v>227.81</v>
      </c>
      <c r="AW486">
        <v>1</v>
      </c>
      <c r="AX486">
        <v>1</v>
      </c>
      <c r="AZ486">
        <v>7205</v>
      </c>
      <c r="BA486">
        <v>1</v>
      </c>
      <c r="BB486" t="str">
        <f t="shared" si="23"/>
        <v xml:space="preserve">KAP400  </v>
      </c>
      <c r="BC486">
        <v>1</v>
      </c>
      <c r="BE486">
        <v>0</v>
      </c>
      <c r="BF486">
        <v>0</v>
      </c>
      <c r="BG486">
        <v>0</v>
      </c>
      <c r="BI486">
        <v>1</v>
      </c>
      <c r="BJ486">
        <v>1</v>
      </c>
      <c r="BK486">
        <v>1</v>
      </c>
      <c r="BL486">
        <v>0</v>
      </c>
      <c r="BO486">
        <v>0</v>
      </c>
      <c r="BP486">
        <v>0</v>
      </c>
      <c r="BW486" t="str">
        <f>"19:10:47.208"</f>
        <v>19:10:47.208</v>
      </c>
      <c r="BX486" t="s">
        <v>119</v>
      </c>
      <c r="BY486" t="s">
        <v>120</v>
      </c>
      <c r="CJ486">
        <v>0</v>
      </c>
      <c r="CK486">
        <v>0</v>
      </c>
      <c r="CL486">
        <v>0</v>
      </c>
      <c r="CM486">
        <v>2</v>
      </c>
      <c r="CN486">
        <v>0</v>
      </c>
      <c r="CO486">
        <v>7</v>
      </c>
      <c r="CP486" t="s">
        <v>121</v>
      </c>
      <c r="CQ486">
        <v>580</v>
      </c>
      <c r="CR486">
        <v>0</v>
      </c>
      <c r="CW486">
        <v>102024</v>
      </c>
      <c r="CY486">
        <v>0</v>
      </c>
      <c r="CZ486">
        <v>0</v>
      </c>
      <c r="DA486">
        <v>0</v>
      </c>
      <c r="DB486">
        <v>1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</row>
    <row r="487" spans="1:113" x14ac:dyDescent="0.3">
      <c r="A487" t="str">
        <f>"06/16/2022 19:10:48.361"</f>
        <v>06/16/2022 19:10:48.361</v>
      </c>
      <c r="C487" t="str">
        <f t="shared" si="21"/>
        <v>FFBF5BC0</v>
      </c>
      <c r="D487" t="s">
        <v>113</v>
      </c>
      <c r="E487">
        <v>8</v>
      </c>
      <c r="H487">
        <v>206</v>
      </c>
      <c r="I487" t="s">
        <v>114</v>
      </c>
      <c r="J487" t="s">
        <v>115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>"19:10:48.109"</f>
        <v>19:10:48.109</v>
      </c>
      <c r="T487" t="str">
        <f>"19:10:48.109"</f>
        <v>19:10:48.109</v>
      </c>
      <c r="U487" t="str">
        <f t="shared" si="22"/>
        <v>AB63B2</v>
      </c>
      <c r="V487">
        <v>0</v>
      </c>
      <c r="W487">
        <v>0</v>
      </c>
      <c r="X487">
        <v>6</v>
      </c>
      <c r="Z487">
        <v>0</v>
      </c>
      <c r="AA487">
        <v>9</v>
      </c>
      <c r="AB487">
        <v>3</v>
      </c>
      <c r="AC487">
        <v>0</v>
      </c>
      <c r="AD487">
        <v>10</v>
      </c>
      <c r="AE487">
        <v>0</v>
      </c>
      <c r="AF487">
        <v>0</v>
      </c>
      <c r="AG487">
        <v>2</v>
      </c>
      <c r="AH487">
        <v>0</v>
      </c>
      <c r="AI487" t="s">
        <v>523</v>
      </c>
      <c r="AJ487">
        <v>41.971978999999997</v>
      </c>
      <c r="AK487" t="s">
        <v>525</v>
      </c>
      <c r="AL487">
        <v>-87.901204000000007</v>
      </c>
      <c r="AS487">
        <v>1</v>
      </c>
      <c r="AT487" t="s">
        <v>118</v>
      </c>
      <c r="AU487" t="b">
        <v>1</v>
      </c>
      <c r="AV487">
        <v>225</v>
      </c>
      <c r="AW487">
        <v>1.125</v>
      </c>
      <c r="AX487">
        <v>1</v>
      </c>
      <c r="AZ487">
        <v>7205</v>
      </c>
      <c r="BA487">
        <v>1</v>
      </c>
      <c r="BB487" t="str">
        <f t="shared" si="23"/>
        <v xml:space="preserve">KAP400  </v>
      </c>
      <c r="BC487">
        <v>1</v>
      </c>
      <c r="BE487">
        <v>0</v>
      </c>
      <c r="BF487">
        <v>0</v>
      </c>
      <c r="BG487">
        <v>0</v>
      </c>
      <c r="BI487">
        <v>1</v>
      </c>
      <c r="BJ487">
        <v>1</v>
      </c>
      <c r="BK487">
        <v>1</v>
      </c>
      <c r="BL487">
        <v>0</v>
      </c>
      <c r="BO487">
        <v>0</v>
      </c>
      <c r="BP487">
        <v>0</v>
      </c>
      <c r="BW487" t="str">
        <f>"19:10:48.114"</f>
        <v>19:10:48.114</v>
      </c>
      <c r="BX487" t="s">
        <v>119</v>
      </c>
      <c r="BY487" t="s">
        <v>120</v>
      </c>
      <c r="CJ487">
        <v>0</v>
      </c>
      <c r="CK487">
        <v>0</v>
      </c>
      <c r="CL487">
        <v>0</v>
      </c>
      <c r="CM487">
        <v>2</v>
      </c>
      <c r="CN487">
        <v>0</v>
      </c>
      <c r="CO487">
        <v>7</v>
      </c>
      <c r="CP487" t="s">
        <v>121</v>
      </c>
      <c r="CQ487">
        <v>579</v>
      </c>
      <c r="CR487">
        <v>0</v>
      </c>
      <c r="CW487">
        <v>1190392</v>
      </c>
      <c r="CY487">
        <v>0</v>
      </c>
      <c r="CZ487">
        <v>0</v>
      </c>
      <c r="DA487">
        <v>0</v>
      </c>
      <c r="DB487">
        <v>1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</row>
    <row r="488" spans="1:113" x14ac:dyDescent="0.3">
      <c r="A488" t="str">
        <f>"06/16/2022 19:10:49.439"</f>
        <v>06/16/2022 19:10:49.439</v>
      </c>
      <c r="C488" t="str">
        <f t="shared" si="21"/>
        <v>FFBF5BC0</v>
      </c>
      <c r="D488" t="s">
        <v>113</v>
      </c>
      <c r="E488">
        <v>8</v>
      </c>
      <c r="H488">
        <v>206</v>
      </c>
      <c r="I488" t="s">
        <v>114</v>
      </c>
      <c r="J488" t="s">
        <v>115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>"19:10:49.148"</f>
        <v>19:10:49.148</v>
      </c>
      <c r="T488" t="str">
        <f>"19:10:49.148"</f>
        <v>19:10:49.148</v>
      </c>
      <c r="U488" t="str">
        <f t="shared" si="22"/>
        <v>AB63B2</v>
      </c>
      <c r="V488">
        <v>0</v>
      </c>
      <c r="W488">
        <v>0</v>
      </c>
      <c r="X488">
        <v>6</v>
      </c>
      <c r="Z488">
        <v>0</v>
      </c>
      <c r="AA488">
        <v>9</v>
      </c>
      <c r="AB488">
        <v>3</v>
      </c>
      <c r="AC488">
        <v>0</v>
      </c>
      <c r="AD488">
        <v>10</v>
      </c>
      <c r="AE488">
        <v>0</v>
      </c>
      <c r="AF488">
        <v>0</v>
      </c>
      <c r="AG488">
        <v>2</v>
      </c>
      <c r="AH488">
        <v>0</v>
      </c>
      <c r="AI488" t="s">
        <v>523</v>
      </c>
      <c r="AJ488">
        <v>41.971978999999997</v>
      </c>
      <c r="AK488" t="s">
        <v>525</v>
      </c>
      <c r="AL488">
        <v>-87.901204000000007</v>
      </c>
      <c r="AS488">
        <v>1</v>
      </c>
      <c r="AT488" t="s">
        <v>118</v>
      </c>
      <c r="AU488" t="b">
        <v>1</v>
      </c>
      <c r="AV488">
        <v>225</v>
      </c>
      <c r="AW488">
        <v>1</v>
      </c>
      <c r="AX488">
        <v>1</v>
      </c>
      <c r="AZ488">
        <v>7205</v>
      </c>
      <c r="BA488">
        <v>1</v>
      </c>
      <c r="BB488" t="str">
        <f t="shared" si="23"/>
        <v xml:space="preserve">KAP400  </v>
      </c>
      <c r="BC488">
        <v>1</v>
      </c>
      <c r="BE488">
        <v>0</v>
      </c>
      <c r="BF488">
        <v>0</v>
      </c>
      <c r="BG488">
        <v>0</v>
      </c>
      <c r="BI488">
        <v>1</v>
      </c>
      <c r="BJ488">
        <v>1</v>
      </c>
      <c r="BK488">
        <v>1</v>
      </c>
      <c r="BL488">
        <v>0</v>
      </c>
      <c r="BO488">
        <v>0</v>
      </c>
      <c r="BP488">
        <v>0</v>
      </c>
      <c r="BW488" t="str">
        <f>"19:10:49.150"</f>
        <v>19:10:49.150</v>
      </c>
      <c r="BX488" t="s">
        <v>119</v>
      </c>
      <c r="BY488" t="s">
        <v>120</v>
      </c>
      <c r="CJ488">
        <v>0</v>
      </c>
      <c r="CK488">
        <v>0</v>
      </c>
      <c r="CL488">
        <v>0</v>
      </c>
      <c r="CM488">
        <v>2</v>
      </c>
      <c r="CN488">
        <v>0</v>
      </c>
      <c r="CO488">
        <v>7</v>
      </c>
      <c r="CP488" t="s">
        <v>121</v>
      </c>
      <c r="CQ488">
        <v>580</v>
      </c>
      <c r="CR488">
        <v>0</v>
      </c>
      <c r="CW488">
        <v>105790</v>
      </c>
      <c r="CY488">
        <v>0</v>
      </c>
      <c r="CZ488">
        <v>0</v>
      </c>
      <c r="DA488">
        <v>0</v>
      </c>
      <c r="DB488">
        <v>1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</row>
    <row r="489" spans="1:113" x14ac:dyDescent="0.3">
      <c r="A489" t="str">
        <f>"06/16/2022 19:10:50.314"</f>
        <v>06/16/2022 19:10:50.314</v>
      </c>
      <c r="C489" t="str">
        <f t="shared" si="21"/>
        <v>FFBF5BC0</v>
      </c>
      <c r="D489" t="s">
        <v>113</v>
      </c>
      <c r="E489">
        <v>8</v>
      </c>
      <c r="H489">
        <v>206</v>
      </c>
      <c r="I489" t="s">
        <v>114</v>
      </c>
      <c r="J489" t="s">
        <v>115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>"19:10:50.086"</f>
        <v>19:10:50.086</v>
      </c>
      <c r="T489" t="str">
        <f>"19:10:50.086"</f>
        <v>19:10:50.086</v>
      </c>
      <c r="U489" t="str">
        <f t="shared" si="22"/>
        <v>AB63B2</v>
      </c>
      <c r="V489">
        <v>0</v>
      </c>
      <c r="W489">
        <v>0</v>
      </c>
      <c r="X489">
        <v>6</v>
      </c>
      <c r="Z489">
        <v>0</v>
      </c>
      <c r="AA489">
        <v>9</v>
      </c>
      <c r="AB489">
        <v>3</v>
      </c>
      <c r="AC489">
        <v>0</v>
      </c>
      <c r="AD489">
        <v>10</v>
      </c>
      <c r="AE489">
        <v>0</v>
      </c>
      <c r="AF489">
        <v>0</v>
      </c>
      <c r="AG489">
        <v>2</v>
      </c>
      <c r="AH489">
        <v>0</v>
      </c>
      <c r="AI489" t="s">
        <v>523</v>
      </c>
      <c r="AJ489">
        <v>41.971978999999997</v>
      </c>
      <c r="AK489" t="s">
        <v>525</v>
      </c>
      <c r="AL489">
        <v>-87.901204000000007</v>
      </c>
      <c r="AS489">
        <v>1</v>
      </c>
      <c r="AT489" t="s">
        <v>118</v>
      </c>
      <c r="AU489" t="b">
        <v>1</v>
      </c>
      <c r="AV489">
        <v>225</v>
      </c>
      <c r="AW489">
        <v>1</v>
      </c>
      <c r="AX489">
        <v>1</v>
      </c>
      <c r="AZ489">
        <v>7205</v>
      </c>
      <c r="BA489">
        <v>1</v>
      </c>
      <c r="BB489" t="str">
        <f t="shared" si="23"/>
        <v xml:space="preserve">KAP400  </v>
      </c>
      <c r="BC489">
        <v>1</v>
      </c>
      <c r="BE489">
        <v>0</v>
      </c>
      <c r="BF489">
        <v>0</v>
      </c>
      <c r="BG489">
        <v>0</v>
      </c>
      <c r="BI489">
        <v>1</v>
      </c>
      <c r="BJ489">
        <v>1</v>
      </c>
      <c r="BK489">
        <v>1</v>
      </c>
      <c r="BL489">
        <v>0</v>
      </c>
      <c r="BO489">
        <v>0</v>
      </c>
      <c r="BP489">
        <v>0</v>
      </c>
      <c r="BW489" t="str">
        <f>"19:10:50.087"</f>
        <v>19:10:50.087</v>
      </c>
      <c r="BX489" t="s">
        <v>119</v>
      </c>
      <c r="BY489" t="s">
        <v>120</v>
      </c>
      <c r="CJ489">
        <v>0</v>
      </c>
      <c r="CK489">
        <v>0</v>
      </c>
      <c r="CL489">
        <v>0</v>
      </c>
      <c r="CM489">
        <v>2</v>
      </c>
      <c r="CN489">
        <v>0</v>
      </c>
      <c r="CO489">
        <v>7</v>
      </c>
      <c r="CP489" t="s">
        <v>121</v>
      </c>
      <c r="CQ489">
        <v>580</v>
      </c>
      <c r="CR489">
        <v>0</v>
      </c>
      <c r="CW489">
        <v>107687</v>
      </c>
      <c r="CY489">
        <v>0</v>
      </c>
      <c r="CZ489">
        <v>0</v>
      </c>
      <c r="DA489">
        <v>0</v>
      </c>
      <c r="DB489">
        <v>1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</row>
    <row r="490" spans="1:113" x14ac:dyDescent="0.3">
      <c r="A490" t="str">
        <f>"06/16/2022 19:10:51.346"</f>
        <v>06/16/2022 19:10:51.346</v>
      </c>
      <c r="C490" t="str">
        <f t="shared" si="21"/>
        <v>FFBF5BC0</v>
      </c>
      <c r="D490" t="s">
        <v>113</v>
      </c>
      <c r="E490">
        <v>8</v>
      </c>
      <c r="H490">
        <v>206</v>
      </c>
      <c r="I490" t="s">
        <v>114</v>
      </c>
      <c r="J490" t="s">
        <v>115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>"19:10:51.047"</f>
        <v>19:10:51.047</v>
      </c>
      <c r="T490" t="str">
        <f>"19:10:51.047"</f>
        <v>19:10:51.047</v>
      </c>
      <c r="U490" t="str">
        <f t="shared" si="22"/>
        <v>AB63B2</v>
      </c>
      <c r="V490">
        <v>0</v>
      </c>
      <c r="W490">
        <v>0</v>
      </c>
      <c r="X490">
        <v>6</v>
      </c>
      <c r="Z490">
        <v>0</v>
      </c>
      <c r="AA490">
        <v>9</v>
      </c>
      <c r="AB490">
        <v>3</v>
      </c>
      <c r="AC490">
        <v>0</v>
      </c>
      <c r="AD490">
        <v>10</v>
      </c>
      <c r="AE490">
        <v>0</v>
      </c>
      <c r="AF490">
        <v>0</v>
      </c>
      <c r="AG490">
        <v>2</v>
      </c>
      <c r="AH490">
        <v>0</v>
      </c>
      <c r="AI490" t="s">
        <v>523</v>
      </c>
      <c r="AJ490">
        <v>41.971978999999997</v>
      </c>
      <c r="AK490" t="s">
        <v>525</v>
      </c>
      <c r="AL490">
        <v>-87.901204000000007</v>
      </c>
      <c r="AS490">
        <v>1</v>
      </c>
      <c r="AT490" t="s">
        <v>118</v>
      </c>
      <c r="AU490" t="b">
        <v>1</v>
      </c>
      <c r="AV490">
        <v>222.19</v>
      </c>
      <c r="AW490">
        <v>1</v>
      </c>
      <c r="AX490">
        <v>1</v>
      </c>
      <c r="AZ490">
        <v>7205</v>
      </c>
      <c r="BA490">
        <v>1</v>
      </c>
      <c r="BB490" t="str">
        <f t="shared" si="23"/>
        <v xml:space="preserve">KAP400  </v>
      </c>
      <c r="BC490">
        <v>1</v>
      </c>
      <c r="BE490">
        <v>0</v>
      </c>
      <c r="BF490">
        <v>0</v>
      </c>
      <c r="BG490">
        <v>0</v>
      </c>
      <c r="BI490">
        <v>1</v>
      </c>
      <c r="BJ490">
        <v>1</v>
      </c>
      <c r="BK490">
        <v>1</v>
      </c>
      <c r="BL490">
        <v>0</v>
      </c>
      <c r="BO490">
        <v>0</v>
      </c>
      <c r="BP490">
        <v>0</v>
      </c>
      <c r="BW490" t="str">
        <f>"19:10:51.051"</f>
        <v>19:10:51.051</v>
      </c>
      <c r="BX490" t="s">
        <v>119</v>
      </c>
      <c r="BY490" t="s">
        <v>120</v>
      </c>
      <c r="CJ490">
        <v>0</v>
      </c>
      <c r="CK490">
        <v>0</v>
      </c>
      <c r="CL490">
        <v>0</v>
      </c>
      <c r="CM490">
        <v>2</v>
      </c>
      <c r="CN490">
        <v>0</v>
      </c>
      <c r="CO490">
        <v>7</v>
      </c>
      <c r="CP490" t="s">
        <v>121</v>
      </c>
      <c r="CQ490">
        <v>580</v>
      </c>
      <c r="CR490">
        <v>0</v>
      </c>
      <c r="CW490">
        <v>109540</v>
      </c>
      <c r="CY490">
        <v>0</v>
      </c>
      <c r="CZ490">
        <v>0</v>
      </c>
      <c r="DA490">
        <v>0</v>
      </c>
      <c r="DB490">
        <v>1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</row>
    <row r="491" spans="1:113" x14ac:dyDescent="0.3">
      <c r="A491" t="str">
        <f>"06/16/2022 19:10:52.204"</f>
        <v>06/16/2022 19:10:52.204</v>
      </c>
      <c r="C491" t="str">
        <f t="shared" si="21"/>
        <v>FFBF5BC0</v>
      </c>
      <c r="D491" t="s">
        <v>113</v>
      </c>
      <c r="E491">
        <v>8</v>
      </c>
      <c r="H491">
        <v>206</v>
      </c>
      <c r="I491" t="s">
        <v>114</v>
      </c>
      <c r="J491" t="s">
        <v>115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>"19:10:51.969"</f>
        <v>19:10:51.969</v>
      </c>
      <c r="T491" t="str">
        <f>"19:10:51.969"</f>
        <v>19:10:51.969</v>
      </c>
      <c r="U491" t="str">
        <f t="shared" si="22"/>
        <v>AB63B2</v>
      </c>
      <c r="V491">
        <v>0</v>
      </c>
      <c r="W491">
        <v>0</v>
      </c>
      <c r="X491">
        <v>6</v>
      </c>
      <c r="Z491">
        <v>0</v>
      </c>
      <c r="AA491">
        <v>9</v>
      </c>
      <c r="AB491">
        <v>3</v>
      </c>
      <c r="AC491">
        <v>0</v>
      </c>
      <c r="AD491">
        <v>10</v>
      </c>
      <c r="AE491">
        <v>0</v>
      </c>
      <c r="AF491">
        <v>0</v>
      </c>
      <c r="AG491">
        <v>2</v>
      </c>
      <c r="AH491">
        <v>0</v>
      </c>
      <c r="AI491" t="s">
        <v>523</v>
      </c>
      <c r="AJ491">
        <v>41.971978999999997</v>
      </c>
      <c r="AK491" t="s">
        <v>525</v>
      </c>
      <c r="AL491">
        <v>-87.901204000000007</v>
      </c>
      <c r="AS491">
        <v>1</v>
      </c>
      <c r="AT491" t="s">
        <v>118</v>
      </c>
      <c r="AU491" t="b">
        <v>1</v>
      </c>
      <c r="AV491">
        <v>222.19</v>
      </c>
      <c r="AW491">
        <v>1</v>
      </c>
      <c r="AX491">
        <v>1</v>
      </c>
      <c r="AZ491">
        <v>7205</v>
      </c>
      <c r="BA491">
        <v>1</v>
      </c>
      <c r="BB491" t="str">
        <f t="shared" si="23"/>
        <v xml:space="preserve">KAP400  </v>
      </c>
      <c r="BC491">
        <v>1</v>
      </c>
      <c r="BE491">
        <v>0</v>
      </c>
      <c r="BF491">
        <v>0</v>
      </c>
      <c r="BG491">
        <v>0</v>
      </c>
      <c r="BI491">
        <v>1</v>
      </c>
      <c r="BJ491">
        <v>1</v>
      </c>
      <c r="BK491">
        <v>1</v>
      </c>
      <c r="BL491">
        <v>0</v>
      </c>
      <c r="BO491">
        <v>0</v>
      </c>
      <c r="BP491">
        <v>0</v>
      </c>
      <c r="BW491" t="str">
        <f>"19:10:51.973"</f>
        <v>19:10:51.973</v>
      </c>
      <c r="BX491" t="s">
        <v>119</v>
      </c>
      <c r="BY491" t="s">
        <v>120</v>
      </c>
      <c r="CJ491">
        <v>0</v>
      </c>
      <c r="CK491">
        <v>0</v>
      </c>
      <c r="CL491">
        <v>0</v>
      </c>
      <c r="CM491">
        <v>2</v>
      </c>
      <c r="CN491">
        <v>0</v>
      </c>
      <c r="CO491">
        <v>7</v>
      </c>
      <c r="CP491" t="s">
        <v>121</v>
      </c>
      <c r="CQ491">
        <v>580</v>
      </c>
      <c r="CR491">
        <v>0</v>
      </c>
      <c r="CW491">
        <v>111206</v>
      </c>
      <c r="CY491">
        <v>0</v>
      </c>
      <c r="CZ491">
        <v>0</v>
      </c>
      <c r="DA491">
        <v>0</v>
      </c>
      <c r="DB491">
        <v>1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</row>
    <row r="492" spans="1:113" x14ac:dyDescent="0.3">
      <c r="A492" t="str">
        <f>"06/16/2022 19:10:53.220"</f>
        <v>06/16/2022 19:10:53.220</v>
      </c>
      <c r="C492" t="str">
        <f t="shared" si="21"/>
        <v>FFBF5BC0</v>
      </c>
      <c r="D492" t="s">
        <v>113</v>
      </c>
      <c r="E492">
        <v>8</v>
      </c>
      <c r="H492">
        <v>206</v>
      </c>
      <c r="I492" t="s">
        <v>114</v>
      </c>
      <c r="J492" t="s">
        <v>115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>"19:10:52.914"</f>
        <v>19:10:52.914</v>
      </c>
      <c r="T492" t="str">
        <f>"19:10:52.914"</f>
        <v>19:10:52.914</v>
      </c>
      <c r="U492" t="str">
        <f t="shared" si="22"/>
        <v>AB63B2</v>
      </c>
      <c r="V492">
        <v>0</v>
      </c>
      <c r="W492">
        <v>0</v>
      </c>
      <c r="X492">
        <v>6</v>
      </c>
      <c r="Z492">
        <v>0</v>
      </c>
      <c r="AA492">
        <v>9</v>
      </c>
      <c r="AB492">
        <v>3</v>
      </c>
      <c r="AC492">
        <v>0</v>
      </c>
      <c r="AD492">
        <v>10</v>
      </c>
      <c r="AE492">
        <v>0</v>
      </c>
      <c r="AF492">
        <v>0</v>
      </c>
      <c r="AG492">
        <v>2</v>
      </c>
      <c r="AH492">
        <v>0</v>
      </c>
      <c r="AI492" t="s">
        <v>523</v>
      </c>
      <c r="AJ492">
        <v>41.971978999999997</v>
      </c>
      <c r="AK492" t="s">
        <v>526</v>
      </c>
      <c r="AL492">
        <v>-87.901224999999997</v>
      </c>
      <c r="AS492">
        <v>1</v>
      </c>
      <c r="AT492" t="s">
        <v>118</v>
      </c>
      <c r="AU492" t="b">
        <v>1</v>
      </c>
      <c r="AV492">
        <v>222.19</v>
      </c>
      <c r="AW492">
        <v>0.875</v>
      </c>
      <c r="AX492">
        <v>1</v>
      </c>
      <c r="AZ492">
        <v>7205</v>
      </c>
      <c r="BA492">
        <v>1</v>
      </c>
      <c r="BB492" t="str">
        <f t="shared" si="23"/>
        <v xml:space="preserve">KAP400  </v>
      </c>
      <c r="BC492">
        <v>1</v>
      </c>
      <c r="BE492">
        <v>0</v>
      </c>
      <c r="BF492">
        <v>0</v>
      </c>
      <c r="BG492">
        <v>0</v>
      </c>
      <c r="BI492">
        <v>1</v>
      </c>
      <c r="BJ492">
        <v>1</v>
      </c>
      <c r="BK492">
        <v>1</v>
      </c>
      <c r="BL492">
        <v>0</v>
      </c>
      <c r="BO492">
        <v>0</v>
      </c>
      <c r="BP492">
        <v>0</v>
      </c>
      <c r="BW492" t="str">
        <f>"19:10:52.922"</f>
        <v>19:10:52.922</v>
      </c>
      <c r="BX492" t="s">
        <v>119</v>
      </c>
      <c r="BY492" t="s">
        <v>120</v>
      </c>
      <c r="CJ492">
        <v>0</v>
      </c>
      <c r="CK492">
        <v>0</v>
      </c>
      <c r="CL492">
        <v>0</v>
      </c>
      <c r="CM492">
        <v>2</v>
      </c>
      <c r="CN492">
        <v>0</v>
      </c>
      <c r="CO492">
        <v>0</v>
      </c>
      <c r="CP492" t="s">
        <v>121</v>
      </c>
      <c r="CQ492">
        <v>580</v>
      </c>
      <c r="CR492">
        <v>0</v>
      </c>
      <c r="CW492">
        <v>112985</v>
      </c>
      <c r="CY492">
        <v>0</v>
      </c>
      <c r="CZ492">
        <v>0</v>
      </c>
      <c r="DA492">
        <v>0</v>
      </c>
      <c r="DB492">
        <v>1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</row>
    <row r="493" spans="1:113" x14ac:dyDescent="0.3">
      <c r="A493" t="str">
        <f>"06/16/2022 19:10:54.143"</f>
        <v>06/16/2022 19:10:54.143</v>
      </c>
      <c r="C493" t="str">
        <f t="shared" si="21"/>
        <v>FFBF5BC0</v>
      </c>
      <c r="D493" t="s">
        <v>113</v>
      </c>
      <c r="E493">
        <v>8</v>
      </c>
      <c r="H493">
        <v>206</v>
      </c>
      <c r="I493" t="s">
        <v>114</v>
      </c>
      <c r="J493" t="s">
        <v>115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>"19:10:53.875"</f>
        <v>19:10:53.875</v>
      </c>
      <c r="T493" t="str">
        <f>"19:10:53.875"</f>
        <v>19:10:53.875</v>
      </c>
      <c r="U493" t="str">
        <f t="shared" si="22"/>
        <v>AB63B2</v>
      </c>
      <c r="V493">
        <v>0</v>
      </c>
      <c r="W493">
        <v>0</v>
      </c>
      <c r="X493">
        <v>6</v>
      </c>
      <c r="Z493">
        <v>0</v>
      </c>
      <c r="AA493">
        <v>9</v>
      </c>
      <c r="AB493">
        <v>3</v>
      </c>
      <c r="AC493">
        <v>0</v>
      </c>
      <c r="AD493">
        <v>10</v>
      </c>
      <c r="AE493">
        <v>0</v>
      </c>
      <c r="AF493">
        <v>0</v>
      </c>
      <c r="AG493">
        <v>2</v>
      </c>
      <c r="AH493">
        <v>0</v>
      </c>
      <c r="AI493" t="s">
        <v>527</v>
      </c>
      <c r="AJ493">
        <v>41.971958000000001</v>
      </c>
      <c r="AK493" t="s">
        <v>526</v>
      </c>
      <c r="AL493">
        <v>-87.901224999999997</v>
      </c>
      <c r="AS493">
        <v>1</v>
      </c>
      <c r="AT493" t="s">
        <v>118</v>
      </c>
      <c r="AU493" t="b">
        <v>1</v>
      </c>
      <c r="AV493">
        <v>219.38</v>
      </c>
      <c r="AW493">
        <v>1</v>
      </c>
      <c r="AX493">
        <v>1</v>
      </c>
      <c r="AZ493">
        <v>7205</v>
      </c>
      <c r="BA493">
        <v>1</v>
      </c>
      <c r="BB493" t="str">
        <f t="shared" si="23"/>
        <v xml:space="preserve">KAP400  </v>
      </c>
      <c r="BC493">
        <v>1</v>
      </c>
      <c r="BE493">
        <v>0</v>
      </c>
      <c r="BF493">
        <v>0</v>
      </c>
      <c r="BG493">
        <v>0</v>
      </c>
      <c r="BI493">
        <v>1</v>
      </c>
      <c r="BJ493">
        <v>1</v>
      </c>
      <c r="BK493">
        <v>1</v>
      </c>
      <c r="BL493">
        <v>0</v>
      </c>
      <c r="BO493">
        <v>0</v>
      </c>
      <c r="BP493">
        <v>0</v>
      </c>
      <c r="BW493" t="str">
        <f>"19:10:53.880"</f>
        <v>19:10:53.880</v>
      </c>
      <c r="BX493" t="s">
        <v>119</v>
      </c>
      <c r="BY493" t="s">
        <v>120</v>
      </c>
      <c r="CJ493">
        <v>0</v>
      </c>
      <c r="CK493">
        <v>0</v>
      </c>
      <c r="CL493">
        <v>0</v>
      </c>
      <c r="CM493">
        <v>2</v>
      </c>
      <c r="CN493">
        <v>0</v>
      </c>
      <c r="CO493">
        <v>7</v>
      </c>
      <c r="CP493" t="s">
        <v>121</v>
      </c>
      <c r="CQ493">
        <v>579</v>
      </c>
      <c r="CR493">
        <v>0</v>
      </c>
      <c r="CW493">
        <v>1202469</v>
      </c>
      <c r="CY493">
        <v>0</v>
      </c>
      <c r="CZ493">
        <v>0</v>
      </c>
      <c r="DA493">
        <v>0</v>
      </c>
      <c r="DB493">
        <v>1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</row>
    <row r="494" spans="1:113" x14ac:dyDescent="0.3">
      <c r="A494" t="str">
        <f>"06/16/2022 19:10:55.174"</f>
        <v>06/16/2022 19:10:55.174</v>
      </c>
      <c r="C494" t="str">
        <f t="shared" si="21"/>
        <v>FFBF5BC0</v>
      </c>
      <c r="D494" t="s">
        <v>113</v>
      </c>
      <c r="E494">
        <v>8</v>
      </c>
      <c r="H494">
        <v>206</v>
      </c>
      <c r="I494" t="s">
        <v>114</v>
      </c>
      <c r="J494" t="s">
        <v>115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>"19:10:54.961"</f>
        <v>19:10:54.961</v>
      </c>
      <c r="T494" t="str">
        <f>"19:10:54.961"</f>
        <v>19:10:54.961</v>
      </c>
      <c r="U494" t="str">
        <f t="shared" si="22"/>
        <v>AB63B2</v>
      </c>
      <c r="V494">
        <v>0</v>
      </c>
      <c r="W494">
        <v>0</v>
      </c>
      <c r="X494">
        <v>6</v>
      </c>
      <c r="Z494">
        <v>0</v>
      </c>
      <c r="AA494">
        <v>9</v>
      </c>
      <c r="AB494">
        <v>3</v>
      </c>
      <c r="AC494">
        <v>0</v>
      </c>
      <c r="AD494">
        <v>10</v>
      </c>
      <c r="AE494">
        <v>0</v>
      </c>
      <c r="AF494">
        <v>0</v>
      </c>
      <c r="AG494">
        <v>2</v>
      </c>
      <c r="AH494">
        <v>0</v>
      </c>
      <c r="AI494" t="s">
        <v>527</v>
      </c>
      <c r="AJ494">
        <v>41.971958000000001</v>
      </c>
      <c r="AK494" t="s">
        <v>526</v>
      </c>
      <c r="AL494">
        <v>-87.901224999999997</v>
      </c>
      <c r="AS494">
        <v>1</v>
      </c>
      <c r="AT494" t="s">
        <v>118</v>
      </c>
      <c r="AU494" t="b">
        <v>1</v>
      </c>
      <c r="AV494">
        <v>219.38</v>
      </c>
      <c r="AW494">
        <v>1</v>
      </c>
      <c r="AX494">
        <v>1</v>
      </c>
      <c r="AZ494">
        <v>7205</v>
      </c>
      <c r="BA494">
        <v>1</v>
      </c>
      <c r="BB494" t="str">
        <f t="shared" si="23"/>
        <v xml:space="preserve">KAP400  </v>
      </c>
      <c r="BC494">
        <v>1</v>
      </c>
      <c r="BE494">
        <v>0</v>
      </c>
      <c r="BF494">
        <v>0</v>
      </c>
      <c r="BG494">
        <v>0</v>
      </c>
      <c r="BI494">
        <v>1</v>
      </c>
      <c r="BJ494">
        <v>1</v>
      </c>
      <c r="BK494">
        <v>1</v>
      </c>
      <c r="BL494">
        <v>0</v>
      </c>
      <c r="BO494">
        <v>0</v>
      </c>
      <c r="BP494">
        <v>0</v>
      </c>
      <c r="BW494" t="str">
        <f>"19:10:54.961"</f>
        <v>19:10:54.961</v>
      </c>
      <c r="BX494" t="s">
        <v>119</v>
      </c>
      <c r="BY494" t="s">
        <v>120</v>
      </c>
      <c r="CJ494">
        <v>0</v>
      </c>
      <c r="CK494">
        <v>0</v>
      </c>
      <c r="CL494">
        <v>0</v>
      </c>
      <c r="CM494">
        <v>2</v>
      </c>
      <c r="CN494">
        <v>0</v>
      </c>
      <c r="CO494">
        <v>7</v>
      </c>
      <c r="CP494" t="s">
        <v>121</v>
      </c>
      <c r="CQ494">
        <v>580</v>
      </c>
      <c r="CR494">
        <v>0</v>
      </c>
      <c r="CW494">
        <v>116881</v>
      </c>
      <c r="CY494">
        <v>0</v>
      </c>
      <c r="CZ494">
        <v>0</v>
      </c>
      <c r="DA494">
        <v>0</v>
      </c>
      <c r="DB494">
        <v>1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</row>
    <row r="495" spans="1:113" x14ac:dyDescent="0.3">
      <c r="A495" t="str">
        <f>"06/16/2022 19:10:56.127"</f>
        <v>06/16/2022 19:10:56.127</v>
      </c>
      <c r="C495" t="str">
        <f t="shared" si="21"/>
        <v>FFBF5BC0</v>
      </c>
      <c r="D495" t="s">
        <v>113</v>
      </c>
      <c r="E495">
        <v>8</v>
      </c>
      <c r="H495">
        <v>206</v>
      </c>
      <c r="I495" t="s">
        <v>114</v>
      </c>
      <c r="J495" t="s">
        <v>115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>"19:10:55.891"</f>
        <v>19:10:55.891</v>
      </c>
      <c r="T495" t="str">
        <f>"19:10:55.891"</f>
        <v>19:10:55.891</v>
      </c>
      <c r="U495" t="str">
        <f t="shared" si="22"/>
        <v>AB63B2</v>
      </c>
      <c r="V495">
        <v>0</v>
      </c>
      <c r="W495">
        <v>0</v>
      </c>
      <c r="X495">
        <v>6</v>
      </c>
      <c r="Z495">
        <v>0</v>
      </c>
      <c r="AA495">
        <v>9</v>
      </c>
      <c r="AB495">
        <v>3</v>
      </c>
      <c r="AC495">
        <v>0</v>
      </c>
      <c r="AD495">
        <v>10</v>
      </c>
      <c r="AE495">
        <v>0</v>
      </c>
      <c r="AF495">
        <v>0</v>
      </c>
      <c r="AG495">
        <v>2</v>
      </c>
      <c r="AH495">
        <v>0</v>
      </c>
      <c r="AI495" t="s">
        <v>527</v>
      </c>
      <c r="AJ495">
        <v>41.971958000000001</v>
      </c>
      <c r="AK495" t="s">
        <v>526</v>
      </c>
      <c r="AL495">
        <v>-87.901224999999997</v>
      </c>
      <c r="AS495">
        <v>1</v>
      </c>
      <c r="AT495" t="s">
        <v>118</v>
      </c>
      <c r="AU495" t="b">
        <v>1</v>
      </c>
      <c r="AV495">
        <v>219.38</v>
      </c>
      <c r="AW495">
        <v>1</v>
      </c>
      <c r="AX495">
        <v>1</v>
      </c>
      <c r="AZ495">
        <v>7205</v>
      </c>
      <c r="BA495">
        <v>1</v>
      </c>
      <c r="BB495" t="str">
        <f t="shared" si="23"/>
        <v xml:space="preserve">KAP400  </v>
      </c>
      <c r="BC495">
        <v>1</v>
      </c>
      <c r="BE495">
        <v>0</v>
      </c>
      <c r="BF495">
        <v>0</v>
      </c>
      <c r="BG495">
        <v>0</v>
      </c>
      <c r="BI495">
        <v>1</v>
      </c>
      <c r="BJ495">
        <v>1</v>
      </c>
      <c r="BK495">
        <v>1</v>
      </c>
      <c r="BL495">
        <v>0</v>
      </c>
      <c r="BO495">
        <v>0</v>
      </c>
      <c r="BP495">
        <v>0</v>
      </c>
      <c r="BW495" t="str">
        <f>"19:10:55.892"</f>
        <v>19:10:55.892</v>
      </c>
      <c r="BX495" t="s">
        <v>119</v>
      </c>
      <c r="BY495" t="s">
        <v>120</v>
      </c>
      <c r="CJ495">
        <v>0</v>
      </c>
      <c r="CK495">
        <v>0</v>
      </c>
      <c r="CL495">
        <v>0</v>
      </c>
      <c r="CM495">
        <v>2</v>
      </c>
      <c r="CN495">
        <v>0</v>
      </c>
      <c r="CO495">
        <v>7</v>
      </c>
      <c r="CP495" t="s">
        <v>121</v>
      </c>
      <c r="CQ495">
        <v>580</v>
      </c>
      <c r="CR495">
        <v>0</v>
      </c>
      <c r="CW495">
        <v>118627</v>
      </c>
      <c r="CY495">
        <v>0</v>
      </c>
      <c r="CZ495">
        <v>0</v>
      </c>
      <c r="DA495">
        <v>0</v>
      </c>
      <c r="DB495">
        <v>1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</row>
    <row r="496" spans="1:113" x14ac:dyDescent="0.3">
      <c r="A496" t="str">
        <f>"06/16/2022 19:10:57.236"</f>
        <v>06/16/2022 19:10:57.236</v>
      </c>
      <c r="C496" t="str">
        <f t="shared" si="21"/>
        <v>FFBF5BC0</v>
      </c>
      <c r="D496" t="s">
        <v>113</v>
      </c>
      <c r="E496">
        <v>8</v>
      </c>
      <c r="H496">
        <v>206</v>
      </c>
      <c r="I496" t="s">
        <v>114</v>
      </c>
      <c r="J496" t="s">
        <v>115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>"19:10:57.000"</f>
        <v>19:10:57.000</v>
      </c>
      <c r="T496" t="str">
        <f>"19:10:57.000"</f>
        <v>19:10:57.000</v>
      </c>
      <c r="U496" t="str">
        <f t="shared" si="22"/>
        <v>AB63B2</v>
      </c>
      <c r="V496">
        <v>0</v>
      </c>
      <c r="W496">
        <v>0</v>
      </c>
      <c r="X496">
        <v>6</v>
      </c>
      <c r="Z496">
        <v>0</v>
      </c>
      <c r="AA496">
        <v>9</v>
      </c>
      <c r="AB496">
        <v>3</v>
      </c>
      <c r="AC496">
        <v>0</v>
      </c>
      <c r="AD496">
        <v>10</v>
      </c>
      <c r="AE496">
        <v>0</v>
      </c>
      <c r="AF496">
        <v>0</v>
      </c>
      <c r="AG496">
        <v>2</v>
      </c>
      <c r="AH496">
        <v>0</v>
      </c>
      <c r="AI496" t="s">
        <v>527</v>
      </c>
      <c r="AJ496">
        <v>41.971958000000001</v>
      </c>
      <c r="AK496" t="s">
        <v>526</v>
      </c>
      <c r="AL496">
        <v>-87.901224999999997</v>
      </c>
      <c r="AS496">
        <v>1</v>
      </c>
      <c r="AT496" t="s">
        <v>118</v>
      </c>
      <c r="AU496" t="b">
        <v>1</v>
      </c>
      <c r="AV496">
        <v>216.56</v>
      </c>
      <c r="AW496">
        <v>1.125</v>
      </c>
      <c r="AX496">
        <v>1</v>
      </c>
      <c r="AZ496">
        <v>7205</v>
      </c>
      <c r="BA496">
        <v>1</v>
      </c>
      <c r="BB496" t="str">
        <f t="shared" si="23"/>
        <v xml:space="preserve">KAP400  </v>
      </c>
      <c r="BC496">
        <v>1</v>
      </c>
      <c r="BE496">
        <v>0</v>
      </c>
      <c r="BF496">
        <v>0</v>
      </c>
      <c r="BG496">
        <v>0</v>
      </c>
      <c r="BI496">
        <v>1</v>
      </c>
      <c r="BJ496">
        <v>1</v>
      </c>
      <c r="BK496">
        <v>1</v>
      </c>
      <c r="BL496">
        <v>0</v>
      </c>
      <c r="BO496">
        <v>0</v>
      </c>
      <c r="BP496">
        <v>0</v>
      </c>
      <c r="BW496" t="str">
        <f>"19:10:57.001"</f>
        <v>19:10:57.001</v>
      </c>
      <c r="BX496" t="s">
        <v>119</v>
      </c>
      <c r="BY496" t="s">
        <v>120</v>
      </c>
      <c r="CJ496">
        <v>0</v>
      </c>
      <c r="CK496">
        <v>0</v>
      </c>
      <c r="CL496">
        <v>0</v>
      </c>
      <c r="CM496">
        <v>2</v>
      </c>
      <c r="CN496">
        <v>0</v>
      </c>
      <c r="CO496">
        <v>7</v>
      </c>
      <c r="CP496" t="s">
        <v>121</v>
      </c>
      <c r="CQ496">
        <v>580</v>
      </c>
      <c r="CR496">
        <v>0</v>
      </c>
      <c r="CW496">
        <v>120685</v>
      </c>
      <c r="CY496">
        <v>0</v>
      </c>
      <c r="CZ496">
        <v>0</v>
      </c>
      <c r="DA496">
        <v>0</v>
      </c>
      <c r="DB496">
        <v>1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</row>
    <row r="497" spans="1:113" x14ac:dyDescent="0.3">
      <c r="A497" t="str">
        <f>"06/16/2022 19:10:58.314"</f>
        <v>06/16/2022 19:10:58.314</v>
      </c>
      <c r="C497" t="str">
        <f t="shared" si="21"/>
        <v>FFBF5BC0</v>
      </c>
      <c r="D497" t="s">
        <v>113</v>
      </c>
      <c r="E497">
        <v>8</v>
      </c>
      <c r="H497">
        <v>206</v>
      </c>
      <c r="I497" t="s">
        <v>114</v>
      </c>
      <c r="J497" t="s">
        <v>115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>"19:10:58.016"</f>
        <v>19:10:58.016</v>
      </c>
      <c r="T497" t="str">
        <f>"19:10:58.016"</f>
        <v>19:10:58.016</v>
      </c>
      <c r="U497" t="str">
        <f t="shared" si="22"/>
        <v>AB63B2</v>
      </c>
      <c r="V497">
        <v>0</v>
      </c>
      <c r="W497">
        <v>0</v>
      </c>
      <c r="X497">
        <v>6</v>
      </c>
      <c r="Z497">
        <v>0</v>
      </c>
      <c r="AA497">
        <v>9</v>
      </c>
      <c r="AB497">
        <v>3</v>
      </c>
      <c r="AC497">
        <v>0</v>
      </c>
      <c r="AD497">
        <v>10</v>
      </c>
      <c r="AE497">
        <v>0</v>
      </c>
      <c r="AF497">
        <v>0</v>
      </c>
      <c r="AG497">
        <v>2</v>
      </c>
      <c r="AH497">
        <v>0</v>
      </c>
      <c r="AI497" t="s">
        <v>527</v>
      </c>
      <c r="AJ497">
        <v>41.971958000000001</v>
      </c>
      <c r="AK497" t="s">
        <v>528</v>
      </c>
      <c r="AL497">
        <v>-87.901246999999998</v>
      </c>
      <c r="AS497">
        <v>1</v>
      </c>
      <c r="AT497" t="s">
        <v>118</v>
      </c>
      <c r="AU497" t="b">
        <v>1</v>
      </c>
      <c r="AV497">
        <v>216.56</v>
      </c>
      <c r="AW497">
        <v>1.125</v>
      </c>
      <c r="AX497">
        <v>1</v>
      </c>
      <c r="AZ497">
        <v>7205</v>
      </c>
      <c r="BA497">
        <v>1</v>
      </c>
      <c r="BB497" t="str">
        <f t="shared" si="23"/>
        <v xml:space="preserve">KAP400  </v>
      </c>
      <c r="BC497">
        <v>1</v>
      </c>
      <c r="BE497">
        <v>0</v>
      </c>
      <c r="BF497">
        <v>0</v>
      </c>
      <c r="BG497">
        <v>0</v>
      </c>
      <c r="BI497">
        <v>1</v>
      </c>
      <c r="BJ497">
        <v>1</v>
      </c>
      <c r="BK497">
        <v>1</v>
      </c>
      <c r="BL497">
        <v>0</v>
      </c>
      <c r="BO497">
        <v>0</v>
      </c>
      <c r="BP497">
        <v>0</v>
      </c>
      <c r="BW497" t="str">
        <f>"19:10:58.020"</f>
        <v>19:10:58.020</v>
      </c>
      <c r="BX497" t="s">
        <v>119</v>
      </c>
      <c r="BY497" t="s">
        <v>120</v>
      </c>
      <c r="CJ497">
        <v>0</v>
      </c>
      <c r="CK497">
        <v>0</v>
      </c>
      <c r="CL497">
        <v>0</v>
      </c>
      <c r="CM497">
        <v>2</v>
      </c>
      <c r="CN497">
        <v>0</v>
      </c>
      <c r="CO497">
        <v>7</v>
      </c>
      <c r="CP497" t="s">
        <v>121</v>
      </c>
      <c r="CQ497">
        <v>579</v>
      </c>
      <c r="CR497">
        <v>0</v>
      </c>
      <c r="CW497">
        <v>1211162</v>
      </c>
      <c r="CY497">
        <v>0</v>
      </c>
      <c r="CZ497">
        <v>0</v>
      </c>
      <c r="DA497">
        <v>0</v>
      </c>
      <c r="DB497">
        <v>1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</row>
    <row r="498" spans="1:113" x14ac:dyDescent="0.3">
      <c r="A498" t="str">
        <f>"06/16/2022 19:10:59.236"</f>
        <v>06/16/2022 19:10:59.236</v>
      </c>
      <c r="C498" t="str">
        <f t="shared" si="21"/>
        <v>FFBF5BC0</v>
      </c>
      <c r="D498" t="s">
        <v>113</v>
      </c>
      <c r="E498">
        <v>8</v>
      </c>
      <c r="H498">
        <v>206</v>
      </c>
      <c r="I498" t="s">
        <v>114</v>
      </c>
      <c r="J498" t="s">
        <v>115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>"19:10:59.016"</f>
        <v>19:10:59.016</v>
      </c>
      <c r="T498" t="str">
        <f>"19:10:59.016"</f>
        <v>19:10:59.016</v>
      </c>
      <c r="U498" t="str">
        <f t="shared" si="22"/>
        <v>AB63B2</v>
      </c>
      <c r="V498">
        <v>0</v>
      </c>
      <c r="W498">
        <v>0</v>
      </c>
      <c r="X498">
        <v>6</v>
      </c>
      <c r="Z498">
        <v>0</v>
      </c>
      <c r="AA498">
        <v>9</v>
      </c>
      <c r="AB498">
        <v>3</v>
      </c>
      <c r="AC498">
        <v>0</v>
      </c>
      <c r="AD498">
        <v>10</v>
      </c>
      <c r="AE498">
        <v>0</v>
      </c>
      <c r="AF498">
        <v>0</v>
      </c>
      <c r="AG498">
        <v>2</v>
      </c>
      <c r="AH498">
        <v>0</v>
      </c>
      <c r="AI498" t="s">
        <v>527</v>
      </c>
      <c r="AJ498">
        <v>41.971958000000001</v>
      </c>
      <c r="AK498" t="s">
        <v>528</v>
      </c>
      <c r="AL498">
        <v>-87.901246999999998</v>
      </c>
      <c r="AS498">
        <v>1</v>
      </c>
      <c r="AT498" t="s">
        <v>118</v>
      </c>
      <c r="AU498" t="b">
        <v>1</v>
      </c>
      <c r="AV498">
        <v>213.75</v>
      </c>
      <c r="AW498">
        <v>1.125</v>
      </c>
      <c r="AX498">
        <v>1</v>
      </c>
      <c r="AZ498">
        <v>7205</v>
      </c>
      <c r="BA498">
        <v>1</v>
      </c>
      <c r="BB498" t="str">
        <f t="shared" si="23"/>
        <v xml:space="preserve">KAP400  </v>
      </c>
      <c r="BC498">
        <v>1</v>
      </c>
      <c r="BE498">
        <v>0</v>
      </c>
      <c r="BF498">
        <v>0</v>
      </c>
      <c r="BG498">
        <v>0</v>
      </c>
      <c r="BI498">
        <v>1</v>
      </c>
      <c r="BJ498">
        <v>1</v>
      </c>
      <c r="BK498">
        <v>1</v>
      </c>
      <c r="BL498">
        <v>0</v>
      </c>
      <c r="BO498">
        <v>0</v>
      </c>
      <c r="BP498">
        <v>0</v>
      </c>
      <c r="BW498" t="str">
        <f>"19:10:59.020"</f>
        <v>19:10:59.020</v>
      </c>
      <c r="BX498" t="s">
        <v>119</v>
      </c>
      <c r="BY498" t="s">
        <v>120</v>
      </c>
      <c r="CJ498">
        <v>0</v>
      </c>
      <c r="CK498">
        <v>0</v>
      </c>
      <c r="CL498">
        <v>0</v>
      </c>
      <c r="CM498">
        <v>2</v>
      </c>
      <c r="CN498">
        <v>0</v>
      </c>
      <c r="CO498">
        <v>0</v>
      </c>
      <c r="CP498" t="s">
        <v>121</v>
      </c>
      <c r="CQ498">
        <v>579</v>
      </c>
      <c r="CR498">
        <v>0</v>
      </c>
      <c r="CW498">
        <v>1213299</v>
      </c>
      <c r="CY498">
        <v>0</v>
      </c>
      <c r="CZ498">
        <v>0</v>
      </c>
      <c r="DA498">
        <v>0</v>
      </c>
      <c r="DB498">
        <v>1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</row>
    <row r="499" spans="1:113" x14ac:dyDescent="0.3">
      <c r="A499" t="str">
        <f>"06/16/2022 19:11:00.251"</f>
        <v>06/16/2022 19:11:00.251</v>
      </c>
      <c r="C499" t="str">
        <f t="shared" si="21"/>
        <v>FFBF5BC0</v>
      </c>
      <c r="D499" t="s">
        <v>113</v>
      </c>
      <c r="E499">
        <v>8</v>
      </c>
      <c r="H499">
        <v>206</v>
      </c>
      <c r="I499" t="s">
        <v>114</v>
      </c>
      <c r="J499" t="s">
        <v>115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>"19:10:59.953"</f>
        <v>19:10:59.953</v>
      </c>
      <c r="T499" t="str">
        <f>"19:10:59.953"</f>
        <v>19:10:59.953</v>
      </c>
      <c r="U499" t="str">
        <f t="shared" si="22"/>
        <v>AB63B2</v>
      </c>
      <c r="V499">
        <v>0</v>
      </c>
      <c r="W499">
        <v>0</v>
      </c>
      <c r="X499">
        <v>6</v>
      </c>
      <c r="Z499">
        <v>0</v>
      </c>
      <c r="AA499">
        <v>9</v>
      </c>
      <c r="AB499">
        <v>3</v>
      </c>
      <c r="AC499">
        <v>0</v>
      </c>
      <c r="AD499">
        <v>10</v>
      </c>
      <c r="AE499">
        <v>0</v>
      </c>
      <c r="AF499">
        <v>0</v>
      </c>
      <c r="AG499">
        <v>2</v>
      </c>
      <c r="AH499">
        <v>0</v>
      </c>
      <c r="AI499" t="s">
        <v>527</v>
      </c>
      <c r="AJ499">
        <v>41.971958000000001</v>
      </c>
      <c r="AK499" t="s">
        <v>528</v>
      </c>
      <c r="AL499">
        <v>-87.901246999999998</v>
      </c>
      <c r="AS499">
        <v>1</v>
      </c>
      <c r="AT499" t="s">
        <v>118</v>
      </c>
      <c r="AU499" t="b">
        <v>1</v>
      </c>
      <c r="AV499">
        <v>213.75</v>
      </c>
      <c r="AW499">
        <v>1</v>
      </c>
      <c r="AX499">
        <v>1</v>
      </c>
      <c r="AZ499">
        <v>7205</v>
      </c>
      <c r="BA499">
        <v>1</v>
      </c>
      <c r="BB499" t="str">
        <f t="shared" si="23"/>
        <v xml:space="preserve">KAP400  </v>
      </c>
      <c r="BC499">
        <v>1</v>
      </c>
      <c r="BE499">
        <v>0</v>
      </c>
      <c r="BF499">
        <v>0</v>
      </c>
      <c r="BG499">
        <v>0</v>
      </c>
      <c r="BI499">
        <v>1</v>
      </c>
      <c r="BJ499">
        <v>1</v>
      </c>
      <c r="BK499">
        <v>1</v>
      </c>
      <c r="BL499">
        <v>0</v>
      </c>
      <c r="BO499">
        <v>0</v>
      </c>
      <c r="BP499">
        <v>0</v>
      </c>
      <c r="BW499" t="str">
        <f>"19:10:59.959"</f>
        <v>19:10:59.959</v>
      </c>
      <c r="BX499" t="s">
        <v>119</v>
      </c>
      <c r="BY499" t="s">
        <v>120</v>
      </c>
      <c r="CJ499">
        <v>0</v>
      </c>
      <c r="CK499">
        <v>0</v>
      </c>
      <c r="CL499">
        <v>0</v>
      </c>
      <c r="CM499">
        <v>2</v>
      </c>
      <c r="CN499">
        <v>0</v>
      </c>
      <c r="CO499">
        <v>6</v>
      </c>
      <c r="CP499" t="s">
        <v>121</v>
      </c>
      <c r="CQ499">
        <v>579</v>
      </c>
      <c r="CR499">
        <v>0</v>
      </c>
      <c r="CW499">
        <v>1215328</v>
      </c>
      <c r="CY499">
        <v>0</v>
      </c>
      <c r="CZ499">
        <v>0</v>
      </c>
      <c r="DA499">
        <v>0</v>
      </c>
      <c r="DB499">
        <v>1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</row>
    <row r="500" spans="1:113" x14ac:dyDescent="0.3">
      <c r="A500" t="str">
        <f>"06/16/2022 19:11:05.955"</f>
        <v>06/16/2022 19:11:05.955</v>
      </c>
      <c r="C500" t="str">
        <f t="shared" si="21"/>
        <v>FFBF5BC0</v>
      </c>
      <c r="D500" t="s">
        <v>113</v>
      </c>
      <c r="E500">
        <v>8</v>
      </c>
      <c r="H500">
        <v>206</v>
      </c>
      <c r="I500" t="s">
        <v>114</v>
      </c>
      <c r="J500" t="s">
        <v>115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>"19:11:05.758"</f>
        <v>19:11:05.758</v>
      </c>
      <c r="T500" t="str">
        <f>"19:11:05.758"</f>
        <v>19:11:05.758</v>
      </c>
      <c r="U500" t="str">
        <f t="shared" si="22"/>
        <v>AB63B2</v>
      </c>
      <c r="V500">
        <v>0</v>
      </c>
      <c r="W500">
        <v>0</v>
      </c>
      <c r="X500">
        <v>6</v>
      </c>
      <c r="Z500">
        <v>0</v>
      </c>
      <c r="AA500">
        <v>9</v>
      </c>
      <c r="AB500">
        <v>3</v>
      </c>
      <c r="AC500">
        <v>0</v>
      </c>
      <c r="AD500">
        <v>10</v>
      </c>
      <c r="AE500">
        <v>0</v>
      </c>
      <c r="AF500">
        <v>0</v>
      </c>
      <c r="AG500">
        <v>2</v>
      </c>
      <c r="AH500">
        <v>0</v>
      </c>
      <c r="AI500" t="s">
        <v>529</v>
      </c>
      <c r="AJ500">
        <v>41.971935999999999</v>
      </c>
      <c r="AK500" t="s">
        <v>530</v>
      </c>
      <c r="AL500">
        <v>-87.901268000000002</v>
      </c>
      <c r="AS500">
        <v>1</v>
      </c>
      <c r="AT500" t="s">
        <v>118</v>
      </c>
      <c r="AU500" t="b">
        <v>1</v>
      </c>
      <c r="AV500">
        <v>208.13</v>
      </c>
      <c r="AW500">
        <v>0.125</v>
      </c>
      <c r="AX500">
        <v>1</v>
      </c>
      <c r="AZ500">
        <v>7205</v>
      </c>
      <c r="BA500">
        <v>1</v>
      </c>
      <c r="BB500" t="str">
        <f t="shared" si="23"/>
        <v xml:space="preserve">KAP400  </v>
      </c>
      <c r="BC500">
        <v>1</v>
      </c>
      <c r="BE500">
        <v>0</v>
      </c>
      <c r="BF500">
        <v>0</v>
      </c>
      <c r="BG500">
        <v>0</v>
      </c>
      <c r="BI500">
        <v>1</v>
      </c>
      <c r="BJ500">
        <v>1</v>
      </c>
      <c r="BK500">
        <v>1</v>
      </c>
      <c r="BL500">
        <v>0</v>
      </c>
      <c r="BO500">
        <v>0</v>
      </c>
      <c r="BP500">
        <v>0</v>
      </c>
      <c r="BW500" t="str">
        <f>"19:11:05.762"</f>
        <v>19:11:05.762</v>
      </c>
      <c r="BX500" t="s">
        <v>119</v>
      </c>
      <c r="BY500" t="s">
        <v>120</v>
      </c>
      <c r="CJ500">
        <v>0</v>
      </c>
      <c r="CK500">
        <v>0</v>
      </c>
      <c r="CL500">
        <v>0</v>
      </c>
      <c r="CM500">
        <v>2</v>
      </c>
      <c r="CN500">
        <v>0</v>
      </c>
      <c r="CO500">
        <v>7</v>
      </c>
      <c r="CP500" t="s">
        <v>121</v>
      </c>
      <c r="CQ500">
        <v>579</v>
      </c>
      <c r="CR500">
        <v>0</v>
      </c>
      <c r="CW500">
        <v>1227207</v>
      </c>
      <c r="CY500">
        <v>0</v>
      </c>
      <c r="CZ500">
        <v>0</v>
      </c>
      <c r="DA500">
        <v>0</v>
      </c>
      <c r="DB500">
        <v>1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</row>
    <row r="501" spans="1:113" x14ac:dyDescent="0.3">
      <c r="A501" t="str">
        <f>"06/16/2022 19:11:11.080"</f>
        <v>06/16/2022 19:11:11.080</v>
      </c>
      <c r="C501" t="str">
        <f t="shared" si="21"/>
        <v>FFBF5BC0</v>
      </c>
      <c r="D501" t="s">
        <v>113</v>
      </c>
      <c r="E501">
        <v>8</v>
      </c>
      <c r="H501">
        <v>206</v>
      </c>
      <c r="I501" t="s">
        <v>114</v>
      </c>
      <c r="J501" t="s">
        <v>115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>"19:11:10.836"</f>
        <v>19:11:10.836</v>
      </c>
      <c r="T501" t="str">
        <f>"19:11:10.836"</f>
        <v>19:11:10.836</v>
      </c>
      <c r="U501" t="str">
        <f t="shared" si="22"/>
        <v>AB63B2</v>
      </c>
      <c r="V501">
        <v>0</v>
      </c>
      <c r="W501">
        <v>0</v>
      </c>
      <c r="X501">
        <v>6</v>
      </c>
      <c r="Z501">
        <v>0</v>
      </c>
      <c r="AA501">
        <v>9</v>
      </c>
      <c r="AB501">
        <v>3</v>
      </c>
      <c r="AC501">
        <v>0</v>
      </c>
      <c r="AD501">
        <v>10</v>
      </c>
      <c r="AE501">
        <v>0</v>
      </c>
      <c r="AF501">
        <v>0</v>
      </c>
      <c r="AG501">
        <v>2</v>
      </c>
      <c r="AH501">
        <v>0</v>
      </c>
      <c r="AI501" t="s">
        <v>531</v>
      </c>
      <c r="AJ501">
        <v>41.971871999999998</v>
      </c>
      <c r="AK501" t="s">
        <v>532</v>
      </c>
      <c r="AL501">
        <v>-87.901289000000006</v>
      </c>
      <c r="AS501">
        <v>1</v>
      </c>
      <c r="AT501" t="s">
        <v>118</v>
      </c>
      <c r="AU501" t="b">
        <v>1</v>
      </c>
      <c r="AV501">
        <v>196.88</v>
      </c>
      <c r="AW501">
        <v>0.125</v>
      </c>
      <c r="AX501">
        <v>1</v>
      </c>
      <c r="AZ501">
        <v>7205</v>
      </c>
      <c r="BA501">
        <v>1</v>
      </c>
      <c r="BB501" t="str">
        <f t="shared" si="23"/>
        <v xml:space="preserve">KAP400  </v>
      </c>
      <c r="BC501">
        <v>1</v>
      </c>
      <c r="BE501">
        <v>0</v>
      </c>
      <c r="BF501">
        <v>0</v>
      </c>
      <c r="BG501">
        <v>0</v>
      </c>
      <c r="BI501">
        <v>1</v>
      </c>
      <c r="BJ501">
        <v>1</v>
      </c>
      <c r="BK501">
        <v>1</v>
      </c>
      <c r="BL501">
        <v>0</v>
      </c>
      <c r="BO501">
        <v>0</v>
      </c>
      <c r="BP501">
        <v>0</v>
      </c>
      <c r="BW501" t="str">
        <f>"19:11:10.841"</f>
        <v>19:11:10.841</v>
      </c>
      <c r="BX501" t="s">
        <v>119</v>
      </c>
      <c r="BY501" t="s">
        <v>120</v>
      </c>
      <c r="CJ501">
        <v>0</v>
      </c>
      <c r="CK501">
        <v>0</v>
      </c>
      <c r="CL501">
        <v>0</v>
      </c>
      <c r="CM501">
        <v>2</v>
      </c>
      <c r="CN501">
        <v>0</v>
      </c>
      <c r="CO501">
        <v>7</v>
      </c>
      <c r="CP501" t="s">
        <v>121</v>
      </c>
      <c r="CQ501">
        <v>580</v>
      </c>
      <c r="CR501">
        <v>0</v>
      </c>
      <c r="CW501">
        <v>146795</v>
      </c>
      <c r="CY501">
        <v>0</v>
      </c>
      <c r="CZ501">
        <v>0</v>
      </c>
      <c r="DA501">
        <v>0</v>
      </c>
      <c r="DB501">
        <v>1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</row>
    <row r="502" spans="1:113" x14ac:dyDescent="0.3">
      <c r="A502" t="str">
        <f>"06/16/2022 19:11:12.532"</f>
        <v>06/16/2022 19:11:12.532</v>
      </c>
      <c r="C502" t="str">
        <f t="shared" si="21"/>
        <v>FFBF5BC0</v>
      </c>
      <c r="D502" t="s">
        <v>113</v>
      </c>
      <c r="E502">
        <v>8</v>
      </c>
      <c r="H502">
        <v>206</v>
      </c>
      <c r="I502" t="s">
        <v>114</v>
      </c>
      <c r="J502" t="s">
        <v>115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>"19:11:12.258"</f>
        <v>19:11:12.258</v>
      </c>
      <c r="T502" t="str">
        <f>"19:11:12.258"</f>
        <v>19:11:12.258</v>
      </c>
      <c r="U502" t="str">
        <f t="shared" si="22"/>
        <v>AB63B2</v>
      </c>
      <c r="V502">
        <v>0</v>
      </c>
      <c r="W502">
        <v>0</v>
      </c>
      <c r="X502">
        <v>6</v>
      </c>
      <c r="Z502">
        <v>0</v>
      </c>
      <c r="AA502">
        <v>9</v>
      </c>
      <c r="AB502">
        <v>3</v>
      </c>
      <c r="AC502">
        <v>0</v>
      </c>
      <c r="AD502">
        <v>10</v>
      </c>
      <c r="AE502">
        <v>0</v>
      </c>
      <c r="AF502">
        <v>0</v>
      </c>
      <c r="AG502">
        <v>2</v>
      </c>
      <c r="AH502">
        <v>0</v>
      </c>
      <c r="AI502" t="s">
        <v>531</v>
      </c>
      <c r="AJ502">
        <v>41.971871999999998</v>
      </c>
      <c r="AK502" t="s">
        <v>533</v>
      </c>
      <c r="AL502">
        <v>-87.901311000000007</v>
      </c>
      <c r="AS502">
        <v>1</v>
      </c>
      <c r="AT502" t="s">
        <v>118</v>
      </c>
      <c r="AU502" t="b">
        <v>1</v>
      </c>
      <c r="AV502">
        <v>194.06</v>
      </c>
      <c r="AW502">
        <v>2.625</v>
      </c>
      <c r="AX502">
        <v>1</v>
      </c>
      <c r="AZ502">
        <v>7205</v>
      </c>
      <c r="BA502">
        <v>1</v>
      </c>
      <c r="BB502" t="str">
        <f t="shared" si="23"/>
        <v xml:space="preserve">KAP400  </v>
      </c>
      <c r="BC502">
        <v>1</v>
      </c>
      <c r="BE502">
        <v>0</v>
      </c>
      <c r="BF502">
        <v>0</v>
      </c>
      <c r="BG502">
        <v>0</v>
      </c>
      <c r="BI502">
        <v>1</v>
      </c>
      <c r="BJ502">
        <v>1</v>
      </c>
      <c r="BK502">
        <v>1</v>
      </c>
      <c r="BL502">
        <v>0</v>
      </c>
      <c r="BO502">
        <v>0</v>
      </c>
      <c r="BP502">
        <v>0</v>
      </c>
      <c r="BW502" t="str">
        <f>"19:11:12.263"</f>
        <v>19:11:12.263</v>
      </c>
      <c r="BX502" t="s">
        <v>119</v>
      </c>
      <c r="BY502" t="s">
        <v>120</v>
      </c>
      <c r="CJ502">
        <v>0</v>
      </c>
      <c r="CK502">
        <v>0</v>
      </c>
      <c r="CL502">
        <v>0</v>
      </c>
      <c r="CM502">
        <v>2</v>
      </c>
      <c r="CN502">
        <v>0</v>
      </c>
      <c r="CO502">
        <v>7</v>
      </c>
      <c r="CP502" t="s">
        <v>121</v>
      </c>
      <c r="CQ502">
        <v>580</v>
      </c>
      <c r="CR502">
        <v>0</v>
      </c>
      <c r="CW502">
        <v>149595</v>
      </c>
      <c r="CY502">
        <v>0</v>
      </c>
      <c r="CZ502">
        <v>0</v>
      </c>
      <c r="DA502">
        <v>0</v>
      </c>
      <c r="DB502">
        <v>1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</row>
    <row r="503" spans="1:113" x14ac:dyDescent="0.3">
      <c r="A503" t="str">
        <f>"06/16/2022 19:11:13.454"</f>
        <v>06/16/2022 19:11:13.454</v>
      </c>
      <c r="C503" t="str">
        <f t="shared" si="21"/>
        <v>FFBF5BC0</v>
      </c>
      <c r="D503" t="s">
        <v>113</v>
      </c>
      <c r="E503">
        <v>8</v>
      </c>
      <c r="H503">
        <v>206</v>
      </c>
      <c r="I503" t="s">
        <v>114</v>
      </c>
      <c r="J503" t="s">
        <v>115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>"19:11:13.250"</f>
        <v>19:11:13.250</v>
      </c>
      <c r="T503" t="str">
        <f>"19:11:13.250"</f>
        <v>19:11:13.250</v>
      </c>
      <c r="U503" t="str">
        <f t="shared" si="22"/>
        <v>AB63B2</v>
      </c>
      <c r="V503">
        <v>0</v>
      </c>
      <c r="W503">
        <v>0</v>
      </c>
      <c r="X503">
        <v>6</v>
      </c>
      <c r="Z503">
        <v>0</v>
      </c>
      <c r="AA503">
        <v>9</v>
      </c>
      <c r="AB503">
        <v>3</v>
      </c>
      <c r="AC503">
        <v>0</v>
      </c>
      <c r="AD503">
        <v>10</v>
      </c>
      <c r="AE503">
        <v>0</v>
      </c>
      <c r="AF503">
        <v>0</v>
      </c>
      <c r="AG503">
        <v>2</v>
      </c>
      <c r="AH503">
        <v>0</v>
      </c>
      <c r="AI503" t="s">
        <v>534</v>
      </c>
      <c r="AJ503">
        <v>41.971850000000003</v>
      </c>
      <c r="AK503" t="s">
        <v>533</v>
      </c>
      <c r="AL503">
        <v>-87.901311000000007</v>
      </c>
      <c r="AS503">
        <v>1</v>
      </c>
      <c r="AT503" t="s">
        <v>118</v>
      </c>
      <c r="AU503" t="b">
        <v>1</v>
      </c>
      <c r="AV503">
        <v>191.25</v>
      </c>
      <c r="AW503">
        <v>2.625</v>
      </c>
      <c r="AX503">
        <v>1</v>
      </c>
      <c r="AZ503">
        <v>7205</v>
      </c>
      <c r="BA503">
        <v>1</v>
      </c>
      <c r="BB503" t="str">
        <f t="shared" si="23"/>
        <v xml:space="preserve">KAP400  </v>
      </c>
      <c r="BC503">
        <v>1</v>
      </c>
      <c r="BE503">
        <v>0</v>
      </c>
      <c r="BF503">
        <v>0</v>
      </c>
      <c r="BG503">
        <v>0</v>
      </c>
      <c r="BI503">
        <v>1</v>
      </c>
      <c r="BJ503">
        <v>1</v>
      </c>
      <c r="BK503">
        <v>1</v>
      </c>
      <c r="BL503">
        <v>0</v>
      </c>
      <c r="BO503">
        <v>0</v>
      </c>
      <c r="BP503">
        <v>0</v>
      </c>
      <c r="BW503" t="str">
        <f>"19:11:13.254"</f>
        <v>19:11:13.254</v>
      </c>
      <c r="BX503" t="s">
        <v>119</v>
      </c>
      <c r="BY503" t="s">
        <v>120</v>
      </c>
      <c r="CJ503">
        <v>0</v>
      </c>
      <c r="CK503">
        <v>0</v>
      </c>
      <c r="CL503">
        <v>0</v>
      </c>
      <c r="CM503">
        <v>2</v>
      </c>
      <c r="CN503">
        <v>0</v>
      </c>
      <c r="CO503">
        <v>7</v>
      </c>
      <c r="CP503" t="s">
        <v>121</v>
      </c>
      <c r="CQ503">
        <v>579</v>
      </c>
      <c r="CR503">
        <v>0</v>
      </c>
      <c r="CW503">
        <v>1242495</v>
      </c>
      <c r="CY503">
        <v>0</v>
      </c>
      <c r="CZ503">
        <v>0</v>
      </c>
      <c r="DA503">
        <v>0</v>
      </c>
      <c r="DB503">
        <v>1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</row>
    <row r="504" spans="1:113" x14ac:dyDescent="0.3">
      <c r="A504" t="str">
        <f>"06/16/2022 19:11:14.580"</f>
        <v>06/16/2022 19:11:14.580</v>
      </c>
      <c r="C504" t="str">
        <f t="shared" si="21"/>
        <v>FFBF5BC0</v>
      </c>
      <c r="D504" t="s">
        <v>113</v>
      </c>
      <c r="E504">
        <v>8</v>
      </c>
      <c r="H504">
        <v>206</v>
      </c>
      <c r="I504" t="s">
        <v>114</v>
      </c>
      <c r="J504" t="s">
        <v>115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>"19:11:14.359"</f>
        <v>19:11:14.359</v>
      </c>
      <c r="T504" t="str">
        <f>"19:11:14.359"</f>
        <v>19:11:14.359</v>
      </c>
      <c r="U504" t="str">
        <f t="shared" si="22"/>
        <v>AB63B2</v>
      </c>
      <c r="V504">
        <v>0</v>
      </c>
      <c r="W504">
        <v>0</v>
      </c>
      <c r="X504">
        <v>6</v>
      </c>
      <c r="Z504">
        <v>0</v>
      </c>
      <c r="AA504">
        <v>9</v>
      </c>
      <c r="AB504">
        <v>3</v>
      </c>
      <c r="AC504">
        <v>0</v>
      </c>
      <c r="AD504">
        <v>10</v>
      </c>
      <c r="AE504">
        <v>0</v>
      </c>
      <c r="AF504">
        <v>0</v>
      </c>
      <c r="AG504">
        <v>2</v>
      </c>
      <c r="AH504">
        <v>0</v>
      </c>
      <c r="AI504" t="s">
        <v>534</v>
      </c>
      <c r="AJ504">
        <v>41.971850000000003</v>
      </c>
      <c r="AK504" t="s">
        <v>533</v>
      </c>
      <c r="AL504">
        <v>-87.901311000000007</v>
      </c>
      <c r="AS504">
        <v>1</v>
      </c>
      <c r="AT504" t="s">
        <v>118</v>
      </c>
      <c r="AU504" t="b">
        <v>1</v>
      </c>
      <c r="AV504">
        <v>191.25</v>
      </c>
      <c r="AW504">
        <v>1.875</v>
      </c>
      <c r="AX504">
        <v>1</v>
      </c>
      <c r="AZ504">
        <v>7205</v>
      </c>
      <c r="BA504">
        <v>1</v>
      </c>
      <c r="BB504" t="str">
        <f t="shared" si="23"/>
        <v xml:space="preserve">KAP400  </v>
      </c>
      <c r="BC504">
        <v>1</v>
      </c>
      <c r="BE504">
        <v>0</v>
      </c>
      <c r="BF504">
        <v>0</v>
      </c>
      <c r="BG504">
        <v>0</v>
      </c>
      <c r="BI504">
        <v>1</v>
      </c>
      <c r="BJ504">
        <v>1</v>
      </c>
      <c r="BK504">
        <v>1</v>
      </c>
      <c r="BL504">
        <v>0</v>
      </c>
      <c r="BO504">
        <v>0</v>
      </c>
      <c r="BP504">
        <v>0</v>
      </c>
      <c r="BW504" t="str">
        <f>"19:11:14.365"</f>
        <v>19:11:14.365</v>
      </c>
      <c r="BX504" t="s">
        <v>119</v>
      </c>
      <c r="BY504" t="s">
        <v>120</v>
      </c>
      <c r="CJ504">
        <v>0</v>
      </c>
      <c r="CK504">
        <v>0</v>
      </c>
      <c r="CL504">
        <v>0</v>
      </c>
      <c r="CM504">
        <v>2</v>
      </c>
      <c r="CN504">
        <v>0</v>
      </c>
      <c r="CO504">
        <v>7</v>
      </c>
      <c r="CP504" t="s">
        <v>121</v>
      </c>
      <c r="CQ504">
        <v>580</v>
      </c>
      <c r="CR504">
        <v>0</v>
      </c>
      <c r="CW504">
        <v>153516</v>
      </c>
      <c r="CY504">
        <v>0</v>
      </c>
      <c r="CZ504">
        <v>0</v>
      </c>
      <c r="DA504">
        <v>0</v>
      </c>
      <c r="DB504">
        <v>1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</row>
    <row r="505" spans="1:113" x14ac:dyDescent="0.3">
      <c r="A505" t="str">
        <f>"06/16/2022 19:11:15.533"</f>
        <v>06/16/2022 19:11:15.533</v>
      </c>
      <c r="C505" t="str">
        <f t="shared" si="21"/>
        <v>FFBF5BC0</v>
      </c>
      <c r="D505" t="s">
        <v>113</v>
      </c>
      <c r="E505">
        <v>8</v>
      </c>
      <c r="H505">
        <v>206</v>
      </c>
      <c r="I505" t="s">
        <v>114</v>
      </c>
      <c r="J505" t="s">
        <v>115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>"19:11:15.195"</f>
        <v>19:11:15.195</v>
      </c>
      <c r="T505" t="str">
        <f>"19:11:15.195"</f>
        <v>19:11:15.195</v>
      </c>
      <c r="U505" t="str">
        <f t="shared" si="22"/>
        <v>AB63B2</v>
      </c>
      <c r="V505">
        <v>0</v>
      </c>
      <c r="W505">
        <v>0</v>
      </c>
      <c r="X505">
        <v>6</v>
      </c>
      <c r="Z505">
        <v>0</v>
      </c>
      <c r="AA505">
        <v>9</v>
      </c>
      <c r="AB505">
        <v>3</v>
      </c>
      <c r="AC505">
        <v>0</v>
      </c>
      <c r="AD505">
        <v>10</v>
      </c>
      <c r="AE505">
        <v>0</v>
      </c>
      <c r="AF505">
        <v>0</v>
      </c>
      <c r="AG505">
        <v>2</v>
      </c>
      <c r="AH505">
        <v>0</v>
      </c>
      <c r="AI505" t="s">
        <v>534</v>
      </c>
      <c r="AJ505">
        <v>41.971850000000003</v>
      </c>
      <c r="AK505" t="s">
        <v>533</v>
      </c>
      <c r="AL505">
        <v>-87.901311000000007</v>
      </c>
      <c r="AS505">
        <v>1</v>
      </c>
      <c r="AT505" t="s">
        <v>118</v>
      </c>
      <c r="AU505" t="b">
        <v>1</v>
      </c>
      <c r="AV505">
        <v>188.44</v>
      </c>
      <c r="AW505">
        <v>1.625</v>
      </c>
      <c r="AX505">
        <v>1</v>
      </c>
      <c r="AZ505">
        <v>7205</v>
      </c>
      <c r="BA505">
        <v>1</v>
      </c>
      <c r="BB505" t="str">
        <f t="shared" si="23"/>
        <v xml:space="preserve">KAP400  </v>
      </c>
      <c r="BC505">
        <v>1</v>
      </c>
      <c r="BE505">
        <v>0</v>
      </c>
      <c r="BF505">
        <v>0</v>
      </c>
      <c r="BG505">
        <v>0</v>
      </c>
      <c r="BI505">
        <v>1</v>
      </c>
      <c r="BJ505">
        <v>1</v>
      </c>
      <c r="BK505">
        <v>1</v>
      </c>
      <c r="BL505">
        <v>0</v>
      </c>
      <c r="BO505">
        <v>0</v>
      </c>
      <c r="BP505">
        <v>0</v>
      </c>
      <c r="BW505" t="str">
        <f>"19:11:15.198"</f>
        <v>19:11:15.198</v>
      </c>
      <c r="BX505" t="s">
        <v>119</v>
      </c>
      <c r="BY505" t="s">
        <v>120</v>
      </c>
      <c r="CJ505">
        <v>0</v>
      </c>
      <c r="CK505">
        <v>0</v>
      </c>
      <c r="CL505">
        <v>0</v>
      </c>
      <c r="CM505">
        <v>2</v>
      </c>
      <c r="CN505">
        <v>0</v>
      </c>
      <c r="CO505">
        <v>7</v>
      </c>
      <c r="CP505" t="s">
        <v>121</v>
      </c>
      <c r="CQ505">
        <v>579</v>
      </c>
      <c r="CR505">
        <v>0</v>
      </c>
      <c r="CW505">
        <v>1246295</v>
      </c>
      <c r="CY505">
        <v>0</v>
      </c>
      <c r="CZ505">
        <v>0</v>
      </c>
      <c r="DA505">
        <v>0</v>
      </c>
      <c r="DB505">
        <v>1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</row>
    <row r="506" spans="1:113" x14ac:dyDescent="0.3">
      <c r="A506" t="str">
        <f>"06/16/2022 19:11:16.518"</f>
        <v>06/16/2022 19:11:16.518</v>
      </c>
      <c r="C506" t="str">
        <f t="shared" si="21"/>
        <v>FFBF5BC0</v>
      </c>
      <c r="D506" t="s">
        <v>113</v>
      </c>
      <c r="E506">
        <v>8</v>
      </c>
      <c r="H506">
        <v>206</v>
      </c>
      <c r="I506" t="s">
        <v>114</v>
      </c>
      <c r="J506" t="s">
        <v>115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>"19:11:16.273"</f>
        <v>19:11:16.273</v>
      </c>
      <c r="T506" t="str">
        <f>"19:11:16.273"</f>
        <v>19:11:16.273</v>
      </c>
      <c r="U506" t="str">
        <f t="shared" si="22"/>
        <v>AB63B2</v>
      </c>
      <c r="V506">
        <v>0</v>
      </c>
      <c r="W506">
        <v>0</v>
      </c>
      <c r="X506">
        <v>6</v>
      </c>
      <c r="Z506">
        <v>0</v>
      </c>
      <c r="AA506">
        <v>9</v>
      </c>
      <c r="AB506">
        <v>3</v>
      </c>
      <c r="AC506">
        <v>0</v>
      </c>
      <c r="AD506">
        <v>10</v>
      </c>
      <c r="AE506">
        <v>0</v>
      </c>
      <c r="AF506">
        <v>0</v>
      </c>
      <c r="AG506">
        <v>2</v>
      </c>
      <c r="AH506">
        <v>0</v>
      </c>
      <c r="AI506" t="s">
        <v>535</v>
      </c>
      <c r="AJ506">
        <v>41.971829</v>
      </c>
      <c r="AK506" t="s">
        <v>533</v>
      </c>
      <c r="AL506">
        <v>-87.901311000000007</v>
      </c>
      <c r="AS506">
        <v>1</v>
      </c>
      <c r="AT506" t="s">
        <v>118</v>
      </c>
      <c r="AU506" t="b">
        <v>1</v>
      </c>
      <c r="AV506">
        <v>188.44</v>
      </c>
      <c r="AW506">
        <v>1.125</v>
      </c>
      <c r="AX506">
        <v>1</v>
      </c>
      <c r="AZ506">
        <v>7205</v>
      </c>
      <c r="BA506">
        <v>1</v>
      </c>
      <c r="BB506" t="str">
        <f t="shared" si="23"/>
        <v xml:space="preserve">KAP400  </v>
      </c>
      <c r="BC506">
        <v>1</v>
      </c>
      <c r="BE506">
        <v>0</v>
      </c>
      <c r="BF506">
        <v>0</v>
      </c>
      <c r="BG506">
        <v>0</v>
      </c>
      <c r="BI506">
        <v>1</v>
      </c>
      <c r="BJ506">
        <v>1</v>
      </c>
      <c r="BK506">
        <v>1</v>
      </c>
      <c r="BL506">
        <v>0</v>
      </c>
      <c r="BO506">
        <v>0</v>
      </c>
      <c r="BP506">
        <v>0</v>
      </c>
      <c r="BW506" t="str">
        <f>"19:11:16.279"</f>
        <v>19:11:16.279</v>
      </c>
      <c r="BX506" t="s">
        <v>119</v>
      </c>
      <c r="BY506" t="s">
        <v>120</v>
      </c>
      <c r="CJ506">
        <v>0</v>
      </c>
      <c r="CK506">
        <v>0</v>
      </c>
      <c r="CL506">
        <v>0</v>
      </c>
      <c r="CM506">
        <v>2</v>
      </c>
      <c r="CN506">
        <v>0</v>
      </c>
      <c r="CO506">
        <v>7</v>
      </c>
      <c r="CP506" t="s">
        <v>121</v>
      </c>
      <c r="CQ506">
        <v>579</v>
      </c>
      <c r="CR506">
        <v>0</v>
      </c>
      <c r="CW506">
        <v>1248474</v>
      </c>
      <c r="CY506">
        <v>0</v>
      </c>
      <c r="CZ506">
        <v>0</v>
      </c>
      <c r="DA506">
        <v>0</v>
      </c>
      <c r="DB506">
        <v>1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</row>
    <row r="507" spans="1:113" x14ac:dyDescent="0.3">
      <c r="A507" t="str">
        <f>"06/16/2022 19:11:17.438"</f>
        <v>06/16/2022 19:11:17.438</v>
      </c>
      <c r="C507" t="str">
        <f t="shared" si="21"/>
        <v>FFBF5BC0</v>
      </c>
      <c r="D507" t="s">
        <v>113</v>
      </c>
      <c r="E507">
        <v>8</v>
      </c>
      <c r="H507">
        <v>206</v>
      </c>
      <c r="I507" t="s">
        <v>114</v>
      </c>
      <c r="J507" t="s">
        <v>115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>"19:11:17.172"</f>
        <v>19:11:17.172</v>
      </c>
      <c r="T507" t="str">
        <f>"19:11:17.172"</f>
        <v>19:11:17.172</v>
      </c>
      <c r="U507" t="str">
        <f t="shared" si="22"/>
        <v>AB63B2</v>
      </c>
      <c r="V507">
        <v>0</v>
      </c>
      <c r="W507">
        <v>0</v>
      </c>
      <c r="X507">
        <v>6</v>
      </c>
      <c r="Z507">
        <v>0</v>
      </c>
      <c r="AA507">
        <v>9</v>
      </c>
      <c r="AB507">
        <v>3</v>
      </c>
      <c r="AC507">
        <v>0</v>
      </c>
      <c r="AD507">
        <v>10</v>
      </c>
      <c r="AE507">
        <v>0</v>
      </c>
      <c r="AF507">
        <v>0</v>
      </c>
      <c r="AG507">
        <v>2</v>
      </c>
      <c r="AH507">
        <v>0</v>
      </c>
      <c r="AI507" t="s">
        <v>535</v>
      </c>
      <c r="AJ507">
        <v>41.971829</v>
      </c>
      <c r="AK507" t="s">
        <v>533</v>
      </c>
      <c r="AL507">
        <v>-87.901311000000007</v>
      </c>
      <c r="AS507">
        <v>1</v>
      </c>
      <c r="AT507" t="s">
        <v>118</v>
      </c>
      <c r="AU507" t="b">
        <v>1</v>
      </c>
      <c r="AV507">
        <v>188.44</v>
      </c>
      <c r="AW507">
        <v>0.625</v>
      </c>
      <c r="AX507">
        <v>1</v>
      </c>
      <c r="AZ507">
        <v>7205</v>
      </c>
      <c r="BA507">
        <v>1</v>
      </c>
      <c r="BB507" t="str">
        <f t="shared" si="23"/>
        <v xml:space="preserve">KAP400  </v>
      </c>
      <c r="BC507">
        <v>1</v>
      </c>
      <c r="BE507">
        <v>0</v>
      </c>
      <c r="BF507">
        <v>0</v>
      </c>
      <c r="BG507">
        <v>0</v>
      </c>
      <c r="BI507">
        <v>1</v>
      </c>
      <c r="BJ507">
        <v>1</v>
      </c>
      <c r="BK507">
        <v>1</v>
      </c>
      <c r="BL507">
        <v>0</v>
      </c>
      <c r="BO507">
        <v>0</v>
      </c>
      <c r="BP507">
        <v>0</v>
      </c>
      <c r="BW507" t="str">
        <f>"19:11:17.172"</f>
        <v>19:11:17.172</v>
      </c>
      <c r="BX507" t="s">
        <v>119</v>
      </c>
      <c r="BY507" t="s">
        <v>120</v>
      </c>
      <c r="CJ507">
        <v>0</v>
      </c>
      <c r="CK507">
        <v>0</v>
      </c>
      <c r="CL507">
        <v>0</v>
      </c>
      <c r="CM507">
        <v>2</v>
      </c>
      <c r="CN507">
        <v>0</v>
      </c>
      <c r="CO507">
        <v>7</v>
      </c>
      <c r="CP507" t="s">
        <v>121</v>
      </c>
      <c r="CQ507">
        <v>580</v>
      </c>
      <c r="CR507">
        <v>0</v>
      </c>
      <c r="CW507">
        <v>158746</v>
      </c>
      <c r="CY507">
        <v>0</v>
      </c>
      <c r="CZ507">
        <v>0</v>
      </c>
      <c r="DA507">
        <v>0</v>
      </c>
      <c r="DB507">
        <v>1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</row>
    <row r="508" spans="1:113" x14ac:dyDescent="0.3">
      <c r="A508" t="str">
        <f>"06/16/2022 19:11:18.470"</f>
        <v>06/16/2022 19:11:18.470</v>
      </c>
      <c r="C508" t="str">
        <f t="shared" si="21"/>
        <v>FFBF5BC0</v>
      </c>
      <c r="D508" t="s">
        <v>113</v>
      </c>
      <c r="E508">
        <v>8</v>
      </c>
      <c r="H508">
        <v>206</v>
      </c>
      <c r="I508" t="s">
        <v>114</v>
      </c>
      <c r="J508" t="s">
        <v>115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>"19:11:18.195"</f>
        <v>19:11:18.195</v>
      </c>
      <c r="T508" t="str">
        <f>"19:11:18.195"</f>
        <v>19:11:18.195</v>
      </c>
      <c r="U508" t="str">
        <f t="shared" si="22"/>
        <v>AB63B2</v>
      </c>
      <c r="V508">
        <v>0</v>
      </c>
      <c r="W508">
        <v>0</v>
      </c>
      <c r="X508">
        <v>6</v>
      </c>
      <c r="Z508">
        <v>0</v>
      </c>
      <c r="AA508">
        <v>9</v>
      </c>
      <c r="AB508">
        <v>3</v>
      </c>
      <c r="AC508">
        <v>0</v>
      </c>
      <c r="AD508">
        <v>10</v>
      </c>
      <c r="AE508">
        <v>0</v>
      </c>
      <c r="AF508">
        <v>0</v>
      </c>
      <c r="AG508">
        <v>2</v>
      </c>
      <c r="AH508">
        <v>0</v>
      </c>
      <c r="AI508" t="s">
        <v>535</v>
      </c>
      <c r="AJ508">
        <v>41.971829</v>
      </c>
      <c r="AK508" t="s">
        <v>536</v>
      </c>
      <c r="AL508">
        <v>-87.901331999999996</v>
      </c>
      <c r="AS508">
        <v>1</v>
      </c>
      <c r="AT508" t="s">
        <v>118</v>
      </c>
      <c r="AU508" t="b">
        <v>1</v>
      </c>
      <c r="AV508">
        <v>188.44</v>
      </c>
      <c r="AW508">
        <v>0.25</v>
      </c>
      <c r="AX508">
        <v>1</v>
      </c>
      <c r="AZ508">
        <v>7205</v>
      </c>
      <c r="BA508">
        <v>1</v>
      </c>
      <c r="BB508" t="str">
        <f t="shared" si="23"/>
        <v xml:space="preserve">KAP400  </v>
      </c>
      <c r="BC508">
        <v>1</v>
      </c>
      <c r="BE508">
        <v>0</v>
      </c>
      <c r="BF508">
        <v>0</v>
      </c>
      <c r="BG508">
        <v>0</v>
      </c>
      <c r="BI508">
        <v>1</v>
      </c>
      <c r="BJ508">
        <v>1</v>
      </c>
      <c r="BK508">
        <v>1</v>
      </c>
      <c r="BL508">
        <v>0</v>
      </c>
      <c r="BO508">
        <v>0</v>
      </c>
      <c r="BP508">
        <v>0</v>
      </c>
      <c r="BW508" t="str">
        <f>"19:11:18.199"</f>
        <v>19:11:18.199</v>
      </c>
      <c r="BX508" t="s">
        <v>119</v>
      </c>
      <c r="BY508" t="s">
        <v>120</v>
      </c>
      <c r="CJ508">
        <v>0</v>
      </c>
      <c r="CK508">
        <v>0</v>
      </c>
      <c r="CL508">
        <v>0</v>
      </c>
      <c r="CM508">
        <v>2</v>
      </c>
      <c r="CN508">
        <v>0</v>
      </c>
      <c r="CO508">
        <v>7</v>
      </c>
      <c r="CP508" t="s">
        <v>121</v>
      </c>
      <c r="CQ508">
        <v>580</v>
      </c>
      <c r="CR508">
        <v>0</v>
      </c>
      <c r="CW508">
        <v>160677</v>
      </c>
      <c r="CY508">
        <v>0</v>
      </c>
      <c r="CZ508">
        <v>0</v>
      </c>
      <c r="DA508">
        <v>0</v>
      </c>
      <c r="DB508">
        <v>1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</row>
    <row r="509" spans="1:113" x14ac:dyDescent="0.3">
      <c r="A509" t="str">
        <f>"06/16/2022 19:11:19.360"</f>
        <v>06/16/2022 19:11:19.360</v>
      </c>
      <c r="C509" t="str">
        <f t="shared" si="21"/>
        <v>FFBF5BC0</v>
      </c>
      <c r="D509" t="s">
        <v>113</v>
      </c>
      <c r="E509">
        <v>8</v>
      </c>
      <c r="H509">
        <v>206</v>
      </c>
      <c r="I509" t="s">
        <v>114</v>
      </c>
      <c r="J509" t="s">
        <v>115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>"19:11:19.156"</f>
        <v>19:11:19.156</v>
      </c>
      <c r="T509" t="str">
        <f>"19:11:19.156"</f>
        <v>19:11:19.156</v>
      </c>
      <c r="U509" t="str">
        <f t="shared" si="22"/>
        <v>AB63B2</v>
      </c>
      <c r="V509">
        <v>0</v>
      </c>
      <c r="W509">
        <v>0</v>
      </c>
      <c r="X509">
        <v>6</v>
      </c>
      <c r="Z509">
        <v>0</v>
      </c>
      <c r="AA509">
        <v>9</v>
      </c>
      <c r="AB509">
        <v>3</v>
      </c>
      <c r="AC509">
        <v>0</v>
      </c>
      <c r="AD509">
        <v>10</v>
      </c>
      <c r="AE509">
        <v>0</v>
      </c>
      <c r="AF509">
        <v>0</v>
      </c>
      <c r="AG509">
        <v>2</v>
      </c>
      <c r="AH509">
        <v>0</v>
      </c>
      <c r="AI509" t="s">
        <v>535</v>
      </c>
      <c r="AJ509">
        <v>41.971829</v>
      </c>
      <c r="AK509" t="s">
        <v>533</v>
      </c>
      <c r="AL509">
        <v>-87.901311000000007</v>
      </c>
      <c r="AS509">
        <v>1</v>
      </c>
      <c r="AT509" t="s">
        <v>118</v>
      </c>
      <c r="AU509" t="b">
        <v>1</v>
      </c>
      <c r="AV509">
        <v>188.44</v>
      </c>
      <c r="AW509">
        <v>0.25</v>
      </c>
      <c r="AX509">
        <v>1</v>
      </c>
      <c r="AZ509">
        <v>7205</v>
      </c>
      <c r="BA509">
        <v>1</v>
      </c>
      <c r="BB509" t="str">
        <f t="shared" si="23"/>
        <v xml:space="preserve">KAP400  </v>
      </c>
      <c r="BC509">
        <v>1</v>
      </c>
      <c r="BE509">
        <v>0</v>
      </c>
      <c r="BF509">
        <v>0</v>
      </c>
      <c r="BG509">
        <v>0</v>
      </c>
      <c r="BI509">
        <v>1</v>
      </c>
      <c r="BJ509">
        <v>1</v>
      </c>
      <c r="BK509">
        <v>1</v>
      </c>
      <c r="BL509">
        <v>0</v>
      </c>
      <c r="BO509">
        <v>0</v>
      </c>
      <c r="BP509">
        <v>0</v>
      </c>
      <c r="BW509" t="str">
        <f>"19:11:19.161"</f>
        <v>19:11:19.161</v>
      </c>
      <c r="BX509" t="s">
        <v>119</v>
      </c>
      <c r="BY509" t="s">
        <v>120</v>
      </c>
      <c r="CJ509">
        <v>0</v>
      </c>
      <c r="CK509">
        <v>0</v>
      </c>
      <c r="CL509">
        <v>0</v>
      </c>
      <c r="CM509">
        <v>2</v>
      </c>
      <c r="CN509">
        <v>0</v>
      </c>
      <c r="CO509">
        <v>7</v>
      </c>
      <c r="CP509" t="s">
        <v>121</v>
      </c>
      <c r="CQ509">
        <v>580</v>
      </c>
      <c r="CR509">
        <v>0</v>
      </c>
      <c r="CW509">
        <v>162373</v>
      </c>
      <c r="CY509">
        <v>0</v>
      </c>
      <c r="CZ509">
        <v>0</v>
      </c>
      <c r="DA509">
        <v>0</v>
      </c>
      <c r="DB509">
        <v>1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</row>
    <row r="510" spans="1:113" x14ac:dyDescent="0.3">
      <c r="A510" t="str">
        <f>"06/16/2022 19:11:20.454"</f>
        <v>06/16/2022 19:11:20.454</v>
      </c>
      <c r="C510" t="str">
        <f t="shared" si="21"/>
        <v>FFBF5BC0</v>
      </c>
      <c r="D510" t="s">
        <v>113</v>
      </c>
      <c r="E510">
        <v>8</v>
      </c>
      <c r="H510">
        <v>206</v>
      </c>
      <c r="I510" t="s">
        <v>114</v>
      </c>
      <c r="J510" t="s">
        <v>115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>"19:11:20.234"</f>
        <v>19:11:20.234</v>
      </c>
      <c r="T510" t="str">
        <f>"19:11:20.234"</f>
        <v>19:11:20.234</v>
      </c>
      <c r="U510" t="str">
        <f t="shared" si="22"/>
        <v>AB63B2</v>
      </c>
      <c r="V510">
        <v>0</v>
      </c>
      <c r="W510">
        <v>0</v>
      </c>
      <c r="X510">
        <v>6</v>
      </c>
      <c r="Z510">
        <v>0</v>
      </c>
      <c r="AA510">
        <v>9</v>
      </c>
      <c r="AB510">
        <v>3</v>
      </c>
      <c r="AC510">
        <v>0</v>
      </c>
      <c r="AD510">
        <v>10</v>
      </c>
      <c r="AE510">
        <v>0</v>
      </c>
      <c r="AF510">
        <v>0</v>
      </c>
      <c r="AG510">
        <v>2</v>
      </c>
      <c r="AH510">
        <v>0</v>
      </c>
      <c r="AI510" t="s">
        <v>535</v>
      </c>
      <c r="AJ510">
        <v>41.971829</v>
      </c>
      <c r="AK510" t="s">
        <v>533</v>
      </c>
      <c r="AL510">
        <v>-87.901311000000007</v>
      </c>
      <c r="AS510">
        <v>1</v>
      </c>
      <c r="AT510" t="s">
        <v>118</v>
      </c>
      <c r="AU510" t="b">
        <v>1</v>
      </c>
      <c r="AV510">
        <v>188.44</v>
      </c>
      <c r="AW510">
        <v>0.25</v>
      </c>
      <c r="AX510">
        <v>1</v>
      </c>
      <c r="AZ510">
        <v>7205</v>
      </c>
      <c r="BA510">
        <v>1</v>
      </c>
      <c r="BB510" t="str">
        <f t="shared" si="23"/>
        <v xml:space="preserve">KAP400  </v>
      </c>
      <c r="BC510">
        <v>1</v>
      </c>
      <c r="BE510">
        <v>0</v>
      </c>
      <c r="BF510">
        <v>0</v>
      </c>
      <c r="BG510">
        <v>0</v>
      </c>
      <c r="BI510">
        <v>1</v>
      </c>
      <c r="BJ510">
        <v>1</v>
      </c>
      <c r="BK510">
        <v>1</v>
      </c>
      <c r="BL510">
        <v>0</v>
      </c>
      <c r="BO510">
        <v>0</v>
      </c>
      <c r="BP510">
        <v>0</v>
      </c>
      <c r="BW510" t="str">
        <f>"19:11:20.237"</f>
        <v>19:11:20.237</v>
      </c>
      <c r="BX510" t="s">
        <v>119</v>
      </c>
      <c r="BY510" t="s">
        <v>120</v>
      </c>
      <c r="CJ510">
        <v>0</v>
      </c>
      <c r="CK510">
        <v>0</v>
      </c>
      <c r="CL510">
        <v>0</v>
      </c>
      <c r="CM510">
        <v>2</v>
      </c>
      <c r="CN510">
        <v>0</v>
      </c>
      <c r="CO510">
        <v>7</v>
      </c>
      <c r="CP510" t="s">
        <v>121</v>
      </c>
      <c r="CQ510">
        <v>579</v>
      </c>
      <c r="CR510">
        <v>0</v>
      </c>
      <c r="CW510">
        <v>1256406</v>
      </c>
      <c r="CY510">
        <v>0</v>
      </c>
      <c r="CZ510">
        <v>0</v>
      </c>
      <c r="DA510">
        <v>0</v>
      </c>
      <c r="DB510">
        <v>1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</row>
    <row r="511" spans="1:113" x14ac:dyDescent="0.3">
      <c r="A511" t="str">
        <f>"06/16/2022 19:11:21.470"</f>
        <v>06/16/2022 19:11:21.470</v>
      </c>
      <c r="C511" t="str">
        <f t="shared" si="21"/>
        <v>FFBF5BC0</v>
      </c>
      <c r="D511" t="s">
        <v>113</v>
      </c>
      <c r="E511">
        <v>8</v>
      </c>
      <c r="H511">
        <v>206</v>
      </c>
      <c r="I511" t="s">
        <v>114</v>
      </c>
      <c r="J511" t="s">
        <v>115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>"19:11:21.164"</f>
        <v>19:11:21.164</v>
      </c>
      <c r="T511" t="str">
        <f>"19:11:21.164"</f>
        <v>19:11:21.164</v>
      </c>
      <c r="U511" t="str">
        <f t="shared" si="22"/>
        <v>AB63B2</v>
      </c>
      <c r="V511">
        <v>0</v>
      </c>
      <c r="W511">
        <v>0</v>
      </c>
      <c r="X511">
        <v>6</v>
      </c>
      <c r="Z511">
        <v>0</v>
      </c>
      <c r="AA511">
        <v>9</v>
      </c>
      <c r="AB511">
        <v>3</v>
      </c>
      <c r="AC511">
        <v>0</v>
      </c>
      <c r="AD511">
        <v>10</v>
      </c>
      <c r="AE511">
        <v>0</v>
      </c>
      <c r="AF511">
        <v>0</v>
      </c>
      <c r="AG511">
        <v>2</v>
      </c>
      <c r="AH511">
        <v>0</v>
      </c>
      <c r="AI511" t="s">
        <v>535</v>
      </c>
      <c r="AJ511">
        <v>41.971829</v>
      </c>
      <c r="AK511" t="s">
        <v>536</v>
      </c>
      <c r="AL511">
        <v>-87.901331999999996</v>
      </c>
      <c r="AS511">
        <v>1</v>
      </c>
      <c r="AT511" t="s">
        <v>118</v>
      </c>
      <c r="AU511" t="b">
        <v>1</v>
      </c>
      <c r="AV511">
        <v>188.44</v>
      </c>
      <c r="AW511">
        <v>0.25</v>
      </c>
      <c r="AX511">
        <v>1</v>
      </c>
      <c r="AZ511">
        <v>7205</v>
      </c>
      <c r="BA511">
        <v>1</v>
      </c>
      <c r="BB511" t="str">
        <f t="shared" si="23"/>
        <v xml:space="preserve">KAP400  </v>
      </c>
      <c r="BC511">
        <v>1</v>
      </c>
      <c r="BE511">
        <v>0</v>
      </c>
      <c r="BF511">
        <v>0</v>
      </c>
      <c r="BG511">
        <v>0</v>
      </c>
      <c r="BI511">
        <v>1</v>
      </c>
      <c r="BJ511">
        <v>1</v>
      </c>
      <c r="BK511">
        <v>1</v>
      </c>
      <c r="BL511">
        <v>0</v>
      </c>
      <c r="BO511">
        <v>0</v>
      </c>
      <c r="BP511">
        <v>0</v>
      </c>
      <c r="BW511" t="str">
        <f>"19:11:21.166"</f>
        <v>19:11:21.166</v>
      </c>
      <c r="BX511" t="s">
        <v>119</v>
      </c>
      <c r="BY511" t="s">
        <v>120</v>
      </c>
      <c r="CJ511">
        <v>0</v>
      </c>
      <c r="CK511">
        <v>0</v>
      </c>
      <c r="CL511">
        <v>0</v>
      </c>
      <c r="CM511">
        <v>2</v>
      </c>
      <c r="CN511">
        <v>0</v>
      </c>
      <c r="CO511">
        <v>7</v>
      </c>
      <c r="CP511" t="s">
        <v>121</v>
      </c>
      <c r="CQ511">
        <v>579</v>
      </c>
      <c r="CR511">
        <v>0</v>
      </c>
      <c r="CW511">
        <v>1258332</v>
      </c>
      <c r="CY511">
        <v>0</v>
      </c>
      <c r="CZ511">
        <v>0</v>
      </c>
      <c r="DA511">
        <v>0</v>
      </c>
      <c r="DB511">
        <v>1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</row>
    <row r="512" spans="1:113" x14ac:dyDescent="0.3">
      <c r="A512" t="str">
        <f>"06/16/2022 19:11:22.376"</f>
        <v>06/16/2022 19:11:22.376</v>
      </c>
      <c r="C512" t="str">
        <f t="shared" si="21"/>
        <v>FFBF5BC0</v>
      </c>
      <c r="D512" t="s">
        <v>113</v>
      </c>
      <c r="E512">
        <v>8</v>
      </c>
      <c r="H512">
        <v>206</v>
      </c>
      <c r="I512" t="s">
        <v>114</v>
      </c>
      <c r="J512" t="s">
        <v>115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>"19:11:22.133"</f>
        <v>19:11:22.133</v>
      </c>
      <c r="T512" t="str">
        <f>"19:11:22.133"</f>
        <v>19:11:22.133</v>
      </c>
      <c r="U512" t="str">
        <f t="shared" si="22"/>
        <v>AB63B2</v>
      </c>
      <c r="V512">
        <v>0</v>
      </c>
      <c r="W512">
        <v>0</v>
      </c>
      <c r="X512">
        <v>6</v>
      </c>
      <c r="Z512">
        <v>0</v>
      </c>
      <c r="AA512">
        <v>9</v>
      </c>
      <c r="AB512">
        <v>3</v>
      </c>
      <c r="AC512">
        <v>0</v>
      </c>
      <c r="AD512">
        <v>10</v>
      </c>
      <c r="AE512">
        <v>0</v>
      </c>
      <c r="AF512">
        <v>0</v>
      </c>
      <c r="AG512">
        <v>2</v>
      </c>
      <c r="AH512">
        <v>0</v>
      </c>
      <c r="AI512" t="s">
        <v>535</v>
      </c>
      <c r="AJ512">
        <v>41.971829</v>
      </c>
      <c r="AK512" t="s">
        <v>533</v>
      </c>
      <c r="AL512">
        <v>-87.901311000000007</v>
      </c>
      <c r="AS512">
        <v>1</v>
      </c>
      <c r="AT512" t="s">
        <v>118</v>
      </c>
      <c r="AU512" t="b">
        <v>1</v>
      </c>
      <c r="AV512">
        <v>188.44</v>
      </c>
      <c r="AW512">
        <v>0.25</v>
      </c>
      <c r="AX512">
        <v>1</v>
      </c>
      <c r="AZ512">
        <v>7205</v>
      </c>
      <c r="BA512">
        <v>1</v>
      </c>
      <c r="BB512" t="str">
        <f t="shared" si="23"/>
        <v xml:space="preserve">KAP400  </v>
      </c>
      <c r="BC512">
        <v>1</v>
      </c>
      <c r="BE512">
        <v>0</v>
      </c>
      <c r="BF512">
        <v>0</v>
      </c>
      <c r="BG512">
        <v>0</v>
      </c>
      <c r="BI512">
        <v>1</v>
      </c>
      <c r="BJ512">
        <v>1</v>
      </c>
      <c r="BK512">
        <v>1</v>
      </c>
      <c r="BL512">
        <v>0</v>
      </c>
      <c r="BO512">
        <v>0</v>
      </c>
      <c r="BP512">
        <v>0</v>
      </c>
      <c r="BW512" t="str">
        <f>"19:11:22.136"</f>
        <v>19:11:22.136</v>
      </c>
      <c r="BX512" t="s">
        <v>119</v>
      </c>
      <c r="BY512" t="s">
        <v>120</v>
      </c>
      <c r="CJ512">
        <v>0</v>
      </c>
      <c r="CK512">
        <v>0</v>
      </c>
      <c r="CL512">
        <v>0</v>
      </c>
      <c r="CM512">
        <v>2</v>
      </c>
      <c r="CN512">
        <v>0</v>
      </c>
      <c r="CO512">
        <v>7</v>
      </c>
      <c r="CP512" t="s">
        <v>121</v>
      </c>
      <c r="CQ512">
        <v>580</v>
      </c>
      <c r="CR512">
        <v>0</v>
      </c>
      <c r="CW512">
        <v>168289</v>
      </c>
      <c r="CY512">
        <v>0</v>
      </c>
      <c r="CZ512">
        <v>0</v>
      </c>
      <c r="DA512">
        <v>0</v>
      </c>
      <c r="DB512">
        <v>1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</row>
    <row r="513" spans="1:113" x14ac:dyDescent="0.3">
      <c r="A513" t="str">
        <f>"06/16/2022 19:11:23.267"</f>
        <v>06/16/2022 19:11:23.267</v>
      </c>
      <c r="C513" t="str">
        <f t="shared" si="21"/>
        <v>FFBF5BC0</v>
      </c>
      <c r="D513" t="s">
        <v>113</v>
      </c>
      <c r="E513">
        <v>8</v>
      </c>
      <c r="H513">
        <v>206</v>
      </c>
      <c r="I513" t="s">
        <v>114</v>
      </c>
      <c r="J513" t="s">
        <v>115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>"19:11:23.000"</f>
        <v>19:11:23.000</v>
      </c>
      <c r="T513" t="str">
        <f>"19:11:23.000"</f>
        <v>19:11:23.000</v>
      </c>
      <c r="U513" t="str">
        <f t="shared" si="22"/>
        <v>AB63B2</v>
      </c>
      <c r="V513">
        <v>0</v>
      </c>
      <c r="W513">
        <v>0</v>
      </c>
      <c r="X513">
        <v>6</v>
      </c>
      <c r="Z513">
        <v>0</v>
      </c>
      <c r="AA513">
        <v>9</v>
      </c>
      <c r="AB513">
        <v>3</v>
      </c>
      <c r="AC513">
        <v>0</v>
      </c>
      <c r="AD513">
        <v>10</v>
      </c>
      <c r="AE513">
        <v>0</v>
      </c>
      <c r="AF513">
        <v>0</v>
      </c>
      <c r="AG513">
        <v>2</v>
      </c>
      <c r="AH513">
        <v>0</v>
      </c>
      <c r="AI513" t="s">
        <v>534</v>
      </c>
      <c r="AJ513">
        <v>41.971850000000003</v>
      </c>
      <c r="AK513" t="s">
        <v>536</v>
      </c>
      <c r="AL513">
        <v>-87.901331999999996</v>
      </c>
      <c r="AS513">
        <v>1</v>
      </c>
      <c r="AT513" t="s">
        <v>118</v>
      </c>
      <c r="AU513" t="b">
        <v>1</v>
      </c>
      <c r="AV513">
        <v>188.44</v>
      </c>
      <c r="AW513">
        <v>0.25</v>
      </c>
      <c r="AX513">
        <v>1</v>
      </c>
      <c r="AZ513">
        <v>7205</v>
      </c>
      <c r="BA513">
        <v>1</v>
      </c>
      <c r="BB513" t="str">
        <f t="shared" si="23"/>
        <v xml:space="preserve">KAP400  </v>
      </c>
      <c r="BC513">
        <v>1</v>
      </c>
      <c r="BE513">
        <v>0</v>
      </c>
      <c r="BF513">
        <v>0</v>
      </c>
      <c r="BG513">
        <v>0</v>
      </c>
      <c r="BI513">
        <v>1</v>
      </c>
      <c r="BJ513">
        <v>1</v>
      </c>
      <c r="BK513">
        <v>1</v>
      </c>
      <c r="BL513">
        <v>0</v>
      </c>
      <c r="BO513">
        <v>0</v>
      </c>
      <c r="BP513">
        <v>0</v>
      </c>
      <c r="BW513" t="str">
        <f>"19:11:23.005"</f>
        <v>19:11:23.005</v>
      </c>
      <c r="BX513" t="s">
        <v>119</v>
      </c>
      <c r="BY513" t="s">
        <v>120</v>
      </c>
      <c r="CJ513">
        <v>0</v>
      </c>
      <c r="CK513">
        <v>0</v>
      </c>
      <c r="CL513">
        <v>0</v>
      </c>
      <c r="CM513">
        <v>2</v>
      </c>
      <c r="CN513">
        <v>0</v>
      </c>
      <c r="CO513">
        <v>7</v>
      </c>
      <c r="CP513" t="s">
        <v>121</v>
      </c>
      <c r="CQ513">
        <v>580</v>
      </c>
      <c r="CR513">
        <v>0</v>
      </c>
      <c r="CW513">
        <v>170001</v>
      </c>
      <c r="CY513">
        <v>0</v>
      </c>
      <c r="CZ513">
        <v>0</v>
      </c>
      <c r="DA513">
        <v>0</v>
      </c>
      <c r="DB513">
        <v>1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</row>
    <row r="514" spans="1:113" x14ac:dyDescent="0.3">
      <c r="A514" t="str">
        <f>"06/16/2022 19:11:24.345"</f>
        <v>06/16/2022 19:11:24.345</v>
      </c>
      <c r="C514" t="str">
        <f t="shared" ref="C514:C577" si="24">"FFBF5BC0"</f>
        <v>FFBF5BC0</v>
      </c>
      <c r="D514" t="s">
        <v>113</v>
      </c>
      <c r="E514">
        <v>8</v>
      </c>
      <c r="H514">
        <v>206</v>
      </c>
      <c r="I514" t="s">
        <v>114</v>
      </c>
      <c r="J514" t="s">
        <v>115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>"19:11:24.008"</f>
        <v>19:11:24.008</v>
      </c>
      <c r="T514" t="str">
        <f>"19:11:24.008"</f>
        <v>19:11:24.008</v>
      </c>
      <c r="U514" t="str">
        <f t="shared" ref="U514:U577" si="25">"AB63B2"</f>
        <v>AB63B2</v>
      </c>
      <c r="V514">
        <v>0</v>
      </c>
      <c r="W514">
        <v>0</v>
      </c>
      <c r="X514">
        <v>6</v>
      </c>
      <c r="Z514">
        <v>0</v>
      </c>
      <c r="AA514">
        <v>9</v>
      </c>
      <c r="AB514">
        <v>3</v>
      </c>
      <c r="AC514">
        <v>0</v>
      </c>
      <c r="AD514">
        <v>10</v>
      </c>
      <c r="AE514">
        <v>0</v>
      </c>
      <c r="AF514">
        <v>0</v>
      </c>
      <c r="AG514">
        <v>2</v>
      </c>
      <c r="AH514">
        <v>0</v>
      </c>
      <c r="AI514" t="s">
        <v>535</v>
      </c>
      <c r="AJ514">
        <v>41.971829</v>
      </c>
      <c r="AK514" t="s">
        <v>536</v>
      </c>
      <c r="AL514">
        <v>-87.901331999999996</v>
      </c>
      <c r="AS514">
        <v>1</v>
      </c>
      <c r="AT514" t="s">
        <v>118</v>
      </c>
      <c r="AU514" t="b">
        <v>1</v>
      </c>
      <c r="AV514">
        <v>188.44</v>
      </c>
      <c r="AW514">
        <v>0.25</v>
      </c>
      <c r="AX514">
        <v>1</v>
      </c>
      <c r="AZ514">
        <v>7205</v>
      </c>
      <c r="BA514">
        <v>1</v>
      </c>
      <c r="BB514" t="str">
        <f t="shared" ref="BB514:BB577" si="26">"KAP400  "</f>
        <v xml:space="preserve">KAP400  </v>
      </c>
      <c r="BC514">
        <v>1</v>
      </c>
      <c r="BE514">
        <v>0</v>
      </c>
      <c r="BF514">
        <v>0</v>
      </c>
      <c r="BG514">
        <v>0</v>
      </c>
      <c r="BI514">
        <v>1</v>
      </c>
      <c r="BJ514">
        <v>1</v>
      </c>
      <c r="BK514">
        <v>1</v>
      </c>
      <c r="BL514">
        <v>0</v>
      </c>
      <c r="BO514">
        <v>0</v>
      </c>
      <c r="BP514">
        <v>0</v>
      </c>
      <c r="BW514" t="str">
        <f>"19:11:24.011"</f>
        <v>19:11:24.011</v>
      </c>
      <c r="BX514" t="s">
        <v>119</v>
      </c>
      <c r="BY514" t="s">
        <v>120</v>
      </c>
      <c r="CJ514">
        <v>0</v>
      </c>
      <c r="CK514">
        <v>0</v>
      </c>
      <c r="CL514">
        <v>0</v>
      </c>
      <c r="CM514">
        <v>2</v>
      </c>
      <c r="CN514">
        <v>0</v>
      </c>
      <c r="CO514">
        <v>7</v>
      </c>
      <c r="CP514" t="s">
        <v>121</v>
      </c>
      <c r="CQ514">
        <v>579</v>
      </c>
      <c r="CR514">
        <v>0</v>
      </c>
      <c r="CW514">
        <v>1264159</v>
      </c>
      <c r="CY514">
        <v>0</v>
      </c>
      <c r="CZ514">
        <v>0</v>
      </c>
      <c r="DA514">
        <v>0</v>
      </c>
      <c r="DB514">
        <v>1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</row>
    <row r="515" spans="1:113" x14ac:dyDescent="0.3">
      <c r="A515" t="str">
        <f>"06/16/2022 19:11:25.220"</f>
        <v>06/16/2022 19:11:25.220</v>
      </c>
      <c r="C515" t="str">
        <f t="shared" si="24"/>
        <v>FFBF5BC0</v>
      </c>
      <c r="D515" t="s">
        <v>113</v>
      </c>
      <c r="E515">
        <v>8</v>
      </c>
      <c r="H515">
        <v>206</v>
      </c>
      <c r="I515" t="s">
        <v>114</v>
      </c>
      <c r="J515" t="s">
        <v>115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>"19:11:24.984"</f>
        <v>19:11:24.984</v>
      </c>
      <c r="T515" t="str">
        <f>"19:11:24.984"</f>
        <v>19:11:24.984</v>
      </c>
      <c r="U515" t="str">
        <f t="shared" si="25"/>
        <v>AB63B2</v>
      </c>
      <c r="V515">
        <v>0</v>
      </c>
      <c r="W515">
        <v>0</v>
      </c>
      <c r="X515">
        <v>6</v>
      </c>
      <c r="Z515">
        <v>0</v>
      </c>
      <c r="AA515">
        <v>9</v>
      </c>
      <c r="AB515">
        <v>3</v>
      </c>
      <c r="AC515">
        <v>0</v>
      </c>
      <c r="AD515">
        <v>10</v>
      </c>
      <c r="AE515">
        <v>0</v>
      </c>
      <c r="AF515">
        <v>0</v>
      </c>
      <c r="AG515">
        <v>2</v>
      </c>
      <c r="AH515">
        <v>0</v>
      </c>
      <c r="AI515" t="s">
        <v>535</v>
      </c>
      <c r="AJ515">
        <v>41.971829</v>
      </c>
      <c r="AK515" t="s">
        <v>536</v>
      </c>
      <c r="AL515">
        <v>-87.901331999999996</v>
      </c>
      <c r="AS515">
        <v>1</v>
      </c>
      <c r="AT515" t="s">
        <v>118</v>
      </c>
      <c r="AU515" t="b">
        <v>1</v>
      </c>
      <c r="AV515">
        <v>188.44</v>
      </c>
      <c r="AW515">
        <v>0.5</v>
      </c>
      <c r="AX515">
        <v>1</v>
      </c>
      <c r="AZ515">
        <v>7205</v>
      </c>
      <c r="BA515">
        <v>1</v>
      </c>
      <c r="BB515" t="str">
        <f t="shared" si="26"/>
        <v xml:space="preserve">KAP400  </v>
      </c>
      <c r="BC515">
        <v>1</v>
      </c>
      <c r="BE515">
        <v>0</v>
      </c>
      <c r="BF515">
        <v>0</v>
      </c>
      <c r="BG515">
        <v>0</v>
      </c>
      <c r="BI515">
        <v>1</v>
      </c>
      <c r="BJ515">
        <v>1</v>
      </c>
      <c r="BK515">
        <v>1</v>
      </c>
      <c r="BL515">
        <v>0</v>
      </c>
      <c r="BO515">
        <v>0</v>
      </c>
      <c r="BP515">
        <v>0</v>
      </c>
      <c r="BW515" t="str">
        <f>"19:11:24.989"</f>
        <v>19:11:24.989</v>
      </c>
      <c r="BX515" t="s">
        <v>119</v>
      </c>
      <c r="BY515" t="s">
        <v>120</v>
      </c>
      <c r="CJ515">
        <v>0</v>
      </c>
      <c r="CK515">
        <v>0</v>
      </c>
      <c r="CL515">
        <v>0</v>
      </c>
      <c r="CM515">
        <v>2</v>
      </c>
      <c r="CN515">
        <v>0</v>
      </c>
      <c r="CO515">
        <v>7</v>
      </c>
      <c r="CP515" t="s">
        <v>121</v>
      </c>
      <c r="CQ515">
        <v>579</v>
      </c>
      <c r="CR515">
        <v>0</v>
      </c>
      <c r="CW515">
        <v>1266075</v>
      </c>
      <c r="CY515">
        <v>0</v>
      </c>
      <c r="CZ515">
        <v>0</v>
      </c>
      <c r="DA515">
        <v>0</v>
      </c>
      <c r="DB515">
        <v>1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</row>
    <row r="516" spans="1:113" x14ac:dyDescent="0.3">
      <c r="A516" t="str">
        <f>"06/16/2022 19:11:26.142"</f>
        <v>06/16/2022 19:11:26.142</v>
      </c>
      <c r="C516" t="str">
        <f t="shared" si="24"/>
        <v>FFBF5BC0</v>
      </c>
      <c r="D516" t="s">
        <v>113</v>
      </c>
      <c r="E516">
        <v>8</v>
      </c>
      <c r="H516">
        <v>206</v>
      </c>
      <c r="I516" t="s">
        <v>114</v>
      </c>
      <c r="J516" t="s">
        <v>115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>"19:11:25.922"</f>
        <v>19:11:25.922</v>
      </c>
      <c r="T516" t="str">
        <f>"19:11:25.922"</f>
        <v>19:11:25.922</v>
      </c>
      <c r="U516" t="str">
        <f t="shared" si="25"/>
        <v>AB63B2</v>
      </c>
      <c r="V516">
        <v>0</v>
      </c>
      <c r="W516">
        <v>0</v>
      </c>
      <c r="X516">
        <v>6</v>
      </c>
      <c r="Z516">
        <v>0</v>
      </c>
      <c r="AA516">
        <v>9</v>
      </c>
      <c r="AB516">
        <v>3</v>
      </c>
      <c r="AC516">
        <v>0</v>
      </c>
      <c r="AD516">
        <v>10</v>
      </c>
      <c r="AE516">
        <v>0</v>
      </c>
      <c r="AF516">
        <v>0</v>
      </c>
      <c r="AG516">
        <v>2</v>
      </c>
      <c r="AH516">
        <v>0</v>
      </c>
      <c r="AI516" t="s">
        <v>535</v>
      </c>
      <c r="AJ516">
        <v>41.971829</v>
      </c>
      <c r="AK516" t="s">
        <v>533</v>
      </c>
      <c r="AL516">
        <v>-87.901311000000007</v>
      </c>
      <c r="AS516">
        <v>1</v>
      </c>
      <c r="AT516" t="s">
        <v>118</v>
      </c>
      <c r="AU516" t="b">
        <v>1</v>
      </c>
      <c r="AV516">
        <v>188.44</v>
      </c>
      <c r="AW516">
        <v>1.125</v>
      </c>
      <c r="AX516">
        <v>1</v>
      </c>
      <c r="AZ516">
        <v>7205</v>
      </c>
      <c r="BA516">
        <v>1</v>
      </c>
      <c r="BB516" t="str">
        <f t="shared" si="26"/>
        <v xml:space="preserve">KAP400  </v>
      </c>
      <c r="BC516">
        <v>1</v>
      </c>
      <c r="BE516">
        <v>0</v>
      </c>
      <c r="BF516">
        <v>0</v>
      </c>
      <c r="BG516">
        <v>0</v>
      </c>
      <c r="BI516">
        <v>1</v>
      </c>
      <c r="BJ516">
        <v>1</v>
      </c>
      <c r="BK516">
        <v>1</v>
      </c>
      <c r="BL516">
        <v>0</v>
      </c>
      <c r="BO516">
        <v>0</v>
      </c>
      <c r="BP516">
        <v>0</v>
      </c>
      <c r="BW516" t="str">
        <f>"19:11:25.923"</f>
        <v>19:11:25.923</v>
      </c>
      <c r="BX516" t="s">
        <v>119</v>
      </c>
      <c r="BY516" t="s">
        <v>120</v>
      </c>
      <c r="CJ516">
        <v>0</v>
      </c>
      <c r="CK516">
        <v>0</v>
      </c>
      <c r="CL516">
        <v>0</v>
      </c>
      <c r="CM516">
        <v>2</v>
      </c>
      <c r="CN516">
        <v>0</v>
      </c>
      <c r="CO516">
        <v>7</v>
      </c>
      <c r="CP516" t="s">
        <v>121</v>
      </c>
      <c r="CQ516">
        <v>579</v>
      </c>
      <c r="CR516">
        <v>0</v>
      </c>
      <c r="CW516">
        <v>1267979</v>
      </c>
      <c r="CY516">
        <v>0</v>
      </c>
      <c r="CZ516">
        <v>0</v>
      </c>
      <c r="DA516">
        <v>0</v>
      </c>
      <c r="DB516">
        <v>1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</row>
    <row r="517" spans="1:113" x14ac:dyDescent="0.3">
      <c r="A517" t="str">
        <f>"06/16/2022 19:11:26.986"</f>
        <v>06/16/2022 19:11:26.986</v>
      </c>
      <c r="C517" t="str">
        <f t="shared" si="24"/>
        <v>FFBF5BC0</v>
      </c>
      <c r="D517" t="s">
        <v>113</v>
      </c>
      <c r="E517">
        <v>8</v>
      </c>
      <c r="H517">
        <v>206</v>
      </c>
      <c r="I517" t="s">
        <v>114</v>
      </c>
      <c r="J517" t="s">
        <v>115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>"19:11:26.789"</f>
        <v>19:11:26.789</v>
      </c>
      <c r="T517" t="str">
        <f>"19:11:26.789"</f>
        <v>19:11:26.789</v>
      </c>
      <c r="U517" t="str">
        <f t="shared" si="25"/>
        <v>AB63B2</v>
      </c>
      <c r="V517">
        <v>0</v>
      </c>
      <c r="W517">
        <v>0</v>
      </c>
      <c r="X517">
        <v>6</v>
      </c>
      <c r="Z517">
        <v>0</v>
      </c>
      <c r="AA517">
        <v>9</v>
      </c>
      <c r="AB517">
        <v>3</v>
      </c>
      <c r="AC517">
        <v>0</v>
      </c>
      <c r="AD517">
        <v>10</v>
      </c>
      <c r="AE517">
        <v>0</v>
      </c>
      <c r="AF517">
        <v>0</v>
      </c>
      <c r="AG517">
        <v>2</v>
      </c>
      <c r="AH517">
        <v>0</v>
      </c>
      <c r="AI517" t="s">
        <v>535</v>
      </c>
      <c r="AJ517">
        <v>41.971829</v>
      </c>
      <c r="AK517" t="s">
        <v>536</v>
      </c>
      <c r="AL517">
        <v>-87.901331999999996</v>
      </c>
      <c r="AS517">
        <v>1</v>
      </c>
      <c r="AT517" t="s">
        <v>118</v>
      </c>
      <c r="AU517" t="b">
        <v>1</v>
      </c>
      <c r="AV517">
        <v>188.44</v>
      </c>
      <c r="AW517">
        <v>1.625</v>
      </c>
      <c r="AX517">
        <v>1</v>
      </c>
      <c r="AZ517">
        <v>7205</v>
      </c>
      <c r="BA517">
        <v>1</v>
      </c>
      <c r="BB517" t="str">
        <f t="shared" si="26"/>
        <v xml:space="preserve">KAP400  </v>
      </c>
      <c r="BC517">
        <v>1</v>
      </c>
      <c r="BE517">
        <v>0</v>
      </c>
      <c r="BF517">
        <v>0</v>
      </c>
      <c r="BG517">
        <v>0</v>
      </c>
      <c r="BI517">
        <v>1</v>
      </c>
      <c r="BJ517">
        <v>1</v>
      </c>
      <c r="BK517">
        <v>1</v>
      </c>
      <c r="BL517">
        <v>0</v>
      </c>
      <c r="BO517">
        <v>0</v>
      </c>
      <c r="BP517">
        <v>0</v>
      </c>
      <c r="BW517" t="str">
        <f>"19:11:26.793"</f>
        <v>19:11:26.793</v>
      </c>
      <c r="BX517" t="s">
        <v>119</v>
      </c>
      <c r="BY517" t="s">
        <v>120</v>
      </c>
      <c r="CJ517">
        <v>0</v>
      </c>
      <c r="CK517">
        <v>0</v>
      </c>
      <c r="CL517">
        <v>0</v>
      </c>
      <c r="CM517">
        <v>2</v>
      </c>
      <c r="CN517">
        <v>0</v>
      </c>
      <c r="CO517">
        <v>7</v>
      </c>
      <c r="CP517" t="s">
        <v>121</v>
      </c>
      <c r="CQ517">
        <v>580</v>
      </c>
      <c r="CR517">
        <v>0</v>
      </c>
      <c r="CW517">
        <v>177380</v>
      </c>
      <c r="CY517">
        <v>0</v>
      </c>
      <c r="CZ517">
        <v>0</v>
      </c>
      <c r="DA517">
        <v>0</v>
      </c>
      <c r="DB517">
        <v>1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</row>
    <row r="518" spans="1:113" x14ac:dyDescent="0.3">
      <c r="A518" t="str">
        <f>"06/16/2022 19:11:27.939"</f>
        <v>06/16/2022 19:11:27.939</v>
      </c>
      <c r="C518" t="str">
        <f t="shared" si="24"/>
        <v>FFBF5BC0</v>
      </c>
      <c r="D518" t="s">
        <v>113</v>
      </c>
      <c r="E518">
        <v>8</v>
      </c>
      <c r="H518">
        <v>206</v>
      </c>
      <c r="I518" t="s">
        <v>114</v>
      </c>
      <c r="J518" t="s">
        <v>115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>"19:11:27.602"</f>
        <v>19:11:27.602</v>
      </c>
      <c r="T518" t="str">
        <f>"19:11:27.602"</f>
        <v>19:11:27.602</v>
      </c>
      <c r="U518" t="str">
        <f t="shared" si="25"/>
        <v>AB63B2</v>
      </c>
      <c r="V518">
        <v>0</v>
      </c>
      <c r="W518">
        <v>0</v>
      </c>
      <c r="X518">
        <v>6</v>
      </c>
      <c r="Z518">
        <v>0</v>
      </c>
      <c r="AA518">
        <v>9</v>
      </c>
      <c r="AB518">
        <v>3</v>
      </c>
      <c r="AC518">
        <v>0</v>
      </c>
      <c r="AD518">
        <v>10</v>
      </c>
      <c r="AE518">
        <v>0</v>
      </c>
      <c r="AF518">
        <v>0</v>
      </c>
      <c r="AG518">
        <v>2</v>
      </c>
      <c r="AH518">
        <v>0</v>
      </c>
      <c r="AI518" t="s">
        <v>535</v>
      </c>
      <c r="AJ518">
        <v>41.971829</v>
      </c>
      <c r="AK518" t="s">
        <v>536</v>
      </c>
      <c r="AL518">
        <v>-87.901331999999996</v>
      </c>
      <c r="AS518">
        <v>1</v>
      </c>
      <c r="AT518" t="s">
        <v>118</v>
      </c>
      <c r="AU518" t="b">
        <v>1</v>
      </c>
      <c r="AV518">
        <v>185.63</v>
      </c>
      <c r="AW518">
        <v>2.125</v>
      </c>
      <c r="AX518">
        <v>1</v>
      </c>
      <c r="AZ518">
        <v>7205</v>
      </c>
      <c r="BA518">
        <v>1</v>
      </c>
      <c r="BB518" t="str">
        <f t="shared" si="26"/>
        <v xml:space="preserve">KAP400  </v>
      </c>
      <c r="BC518">
        <v>1</v>
      </c>
      <c r="BE518">
        <v>0</v>
      </c>
      <c r="BF518">
        <v>0</v>
      </c>
      <c r="BG518">
        <v>0</v>
      </c>
      <c r="BI518">
        <v>1</v>
      </c>
      <c r="BJ518">
        <v>1</v>
      </c>
      <c r="BK518">
        <v>1</v>
      </c>
      <c r="BL518">
        <v>0</v>
      </c>
      <c r="BO518">
        <v>0</v>
      </c>
      <c r="BP518">
        <v>0</v>
      </c>
      <c r="BW518" t="str">
        <f>"19:11:27.604"</f>
        <v>19:11:27.604</v>
      </c>
      <c r="BX518" t="s">
        <v>119</v>
      </c>
      <c r="BY518" t="s">
        <v>120</v>
      </c>
      <c r="CJ518">
        <v>0</v>
      </c>
      <c r="CK518">
        <v>0</v>
      </c>
      <c r="CL518">
        <v>0</v>
      </c>
      <c r="CM518">
        <v>2</v>
      </c>
      <c r="CN518">
        <v>0</v>
      </c>
      <c r="CO518">
        <v>7</v>
      </c>
      <c r="CP518" t="s">
        <v>121</v>
      </c>
      <c r="CQ518">
        <v>580</v>
      </c>
      <c r="CR518">
        <v>0</v>
      </c>
      <c r="CW518">
        <v>178944</v>
      </c>
      <c r="CY518">
        <v>0</v>
      </c>
      <c r="CZ518">
        <v>0</v>
      </c>
      <c r="DA518">
        <v>0</v>
      </c>
      <c r="DB518">
        <v>1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</row>
    <row r="519" spans="1:113" x14ac:dyDescent="0.3">
      <c r="A519" t="str">
        <f>"06/16/2022 19:11:29.002"</f>
        <v>06/16/2022 19:11:29.002</v>
      </c>
      <c r="C519" t="str">
        <f t="shared" si="24"/>
        <v>FFBF5BC0</v>
      </c>
      <c r="D519" t="s">
        <v>113</v>
      </c>
      <c r="E519">
        <v>8</v>
      </c>
      <c r="H519">
        <v>206</v>
      </c>
      <c r="I519" t="s">
        <v>114</v>
      </c>
      <c r="J519" t="s">
        <v>115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>"19:11:28.672"</f>
        <v>19:11:28.672</v>
      </c>
      <c r="T519" t="str">
        <f>"19:11:28.672"</f>
        <v>19:11:28.672</v>
      </c>
      <c r="U519" t="str">
        <f t="shared" si="25"/>
        <v>AB63B2</v>
      </c>
      <c r="V519">
        <v>0</v>
      </c>
      <c r="W519">
        <v>0</v>
      </c>
      <c r="X519">
        <v>6</v>
      </c>
      <c r="Z519">
        <v>0</v>
      </c>
      <c r="AA519">
        <v>9</v>
      </c>
      <c r="AB519">
        <v>3</v>
      </c>
      <c r="AC519">
        <v>0</v>
      </c>
      <c r="AD519">
        <v>10</v>
      </c>
      <c r="AE519">
        <v>0</v>
      </c>
      <c r="AF519">
        <v>0</v>
      </c>
      <c r="AG519">
        <v>2</v>
      </c>
      <c r="AH519">
        <v>0</v>
      </c>
      <c r="AI519" t="s">
        <v>537</v>
      </c>
      <c r="AJ519">
        <v>41.971806999999998</v>
      </c>
      <c r="AK519" t="s">
        <v>533</v>
      </c>
      <c r="AL519">
        <v>-87.901311000000007</v>
      </c>
      <c r="AS519">
        <v>1</v>
      </c>
      <c r="AT519" t="s">
        <v>118</v>
      </c>
      <c r="AU519" t="b">
        <v>1</v>
      </c>
      <c r="AV519">
        <v>185.63</v>
      </c>
      <c r="AW519">
        <v>2.625</v>
      </c>
      <c r="AX519">
        <v>1</v>
      </c>
      <c r="AZ519">
        <v>7205</v>
      </c>
      <c r="BA519">
        <v>1</v>
      </c>
      <c r="BB519" t="str">
        <f t="shared" si="26"/>
        <v xml:space="preserve">KAP400  </v>
      </c>
      <c r="BC519">
        <v>1</v>
      </c>
      <c r="BE519">
        <v>0</v>
      </c>
      <c r="BF519">
        <v>0</v>
      </c>
      <c r="BG519">
        <v>0</v>
      </c>
      <c r="BI519">
        <v>1</v>
      </c>
      <c r="BJ519">
        <v>1</v>
      </c>
      <c r="BK519">
        <v>1</v>
      </c>
      <c r="BL519">
        <v>0</v>
      </c>
      <c r="BO519">
        <v>0</v>
      </c>
      <c r="BP519">
        <v>0</v>
      </c>
      <c r="BW519" t="str">
        <f>"19:11:28.675"</f>
        <v>19:11:28.675</v>
      </c>
      <c r="BX519" t="s">
        <v>119</v>
      </c>
      <c r="BY519" t="s">
        <v>120</v>
      </c>
      <c r="CJ519">
        <v>0</v>
      </c>
      <c r="CK519">
        <v>0</v>
      </c>
      <c r="CL519">
        <v>0</v>
      </c>
      <c r="CM519">
        <v>2</v>
      </c>
      <c r="CN519">
        <v>0</v>
      </c>
      <c r="CO519">
        <v>7</v>
      </c>
      <c r="CP519" t="s">
        <v>121</v>
      </c>
      <c r="CQ519">
        <v>579</v>
      </c>
      <c r="CR519">
        <v>0</v>
      </c>
      <c r="CW519">
        <v>1273442</v>
      </c>
      <c r="CY519">
        <v>0</v>
      </c>
      <c r="CZ519">
        <v>0</v>
      </c>
      <c r="DA519">
        <v>0</v>
      </c>
      <c r="DB519">
        <v>1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</row>
    <row r="520" spans="1:113" x14ac:dyDescent="0.3">
      <c r="A520" t="str">
        <f>"06/16/2022 19:11:29.939"</f>
        <v>06/16/2022 19:11:29.939</v>
      </c>
      <c r="C520" t="str">
        <f t="shared" si="24"/>
        <v>FFBF5BC0</v>
      </c>
      <c r="D520" t="s">
        <v>113</v>
      </c>
      <c r="E520">
        <v>8</v>
      </c>
      <c r="H520">
        <v>206</v>
      </c>
      <c r="I520" t="s">
        <v>114</v>
      </c>
      <c r="J520" t="s">
        <v>115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>"19:11:29.680"</f>
        <v>19:11:29.680</v>
      </c>
      <c r="T520" t="str">
        <f>"19:11:29.680"</f>
        <v>19:11:29.680</v>
      </c>
      <c r="U520" t="str">
        <f t="shared" si="25"/>
        <v>AB63B2</v>
      </c>
      <c r="V520">
        <v>0</v>
      </c>
      <c r="W520">
        <v>0</v>
      </c>
      <c r="X520">
        <v>6</v>
      </c>
      <c r="Z520">
        <v>0</v>
      </c>
      <c r="AA520">
        <v>9</v>
      </c>
      <c r="AB520">
        <v>3</v>
      </c>
      <c r="AC520">
        <v>0</v>
      </c>
      <c r="AD520">
        <v>10</v>
      </c>
      <c r="AE520">
        <v>0</v>
      </c>
      <c r="AF520">
        <v>0</v>
      </c>
      <c r="AG520">
        <v>2</v>
      </c>
      <c r="AH520">
        <v>0</v>
      </c>
      <c r="AI520" t="s">
        <v>537</v>
      </c>
      <c r="AJ520">
        <v>41.971806999999998</v>
      </c>
      <c r="AK520" t="s">
        <v>536</v>
      </c>
      <c r="AL520">
        <v>-87.901331999999996</v>
      </c>
      <c r="AS520">
        <v>1</v>
      </c>
      <c r="AT520" t="s">
        <v>118</v>
      </c>
      <c r="AU520" t="b">
        <v>1</v>
      </c>
      <c r="AV520">
        <v>182.81</v>
      </c>
      <c r="AW520">
        <v>3.125</v>
      </c>
      <c r="AX520">
        <v>1</v>
      </c>
      <c r="AZ520">
        <v>7205</v>
      </c>
      <c r="BA520">
        <v>1</v>
      </c>
      <c r="BB520" t="str">
        <f t="shared" si="26"/>
        <v xml:space="preserve">KAP400  </v>
      </c>
      <c r="BC520">
        <v>1</v>
      </c>
      <c r="BE520">
        <v>0</v>
      </c>
      <c r="BF520">
        <v>0</v>
      </c>
      <c r="BG520">
        <v>0</v>
      </c>
      <c r="BI520">
        <v>1</v>
      </c>
      <c r="BJ520">
        <v>1</v>
      </c>
      <c r="BK520">
        <v>1</v>
      </c>
      <c r="BL520">
        <v>0</v>
      </c>
      <c r="BO520">
        <v>0</v>
      </c>
      <c r="BP520">
        <v>0</v>
      </c>
      <c r="BW520" t="str">
        <f>"19:11:29.681"</f>
        <v>19:11:29.681</v>
      </c>
      <c r="BX520" t="s">
        <v>119</v>
      </c>
      <c r="BY520" t="s">
        <v>120</v>
      </c>
      <c r="CJ520">
        <v>0</v>
      </c>
      <c r="CK520">
        <v>0</v>
      </c>
      <c r="CL520">
        <v>0</v>
      </c>
      <c r="CM520">
        <v>2</v>
      </c>
      <c r="CN520">
        <v>0</v>
      </c>
      <c r="CO520">
        <v>5</v>
      </c>
      <c r="CP520" t="s">
        <v>121</v>
      </c>
      <c r="CQ520">
        <v>582</v>
      </c>
      <c r="CR520">
        <v>0</v>
      </c>
      <c r="CW520">
        <v>6097599</v>
      </c>
      <c r="CY520">
        <v>0</v>
      </c>
      <c r="CZ520">
        <v>0</v>
      </c>
      <c r="DA520">
        <v>0</v>
      </c>
      <c r="DB520">
        <v>1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</row>
    <row r="521" spans="1:113" x14ac:dyDescent="0.3">
      <c r="A521" t="str">
        <f>"06/16/2022 19:11:30.846"</f>
        <v>06/16/2022 19:11:30.846</v>
      </c>
      <c r="C521" t="str">
        <f t="shared" si="24"/>
        <v>FFBF5BC0</v>
      </c>
      <c r="D521" t="s">
        <v>113</v>
      </c>
      <c r="E521">
        <v>8</v>
      </c>
      <c r="H521">
        <v>206</v>
      </c>
      <c r="I521" t="s">
        <v>114</v>
      </c>
      <c r="J521" t="s">
        <v>115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>"19:11:30.578"</f>
        <v>19:11:30.578</v>
      </c>
      <c r="T521" t="str">
        <f>"19:11:30.578"</f>
        <v>19:11:30.578</v>
      </c>
      <c r="U521" t="str">
        <f t="shared" si="25"/>
        <v>AB63B2</v>
      </c>
      <c r="V521">
        <v>0</v>
      </c>
      <c r="W521">
        <v>0</v>
      </c>
      <c r="X521">
        <v>6</v>
      </c>
      <c r="Z521">
        <v>0</v>
      </c>
      <c r="AA521">
        <v>9</v>
      </c>
      <c r="AB521">
        <v>3</v>
      </c>
      <c r="AC521">
        <v>0</v>
      </c>
      <c r="AD521">
        <v>10</v>
      </c>
      <c r="AE521">
        <v>0</v>
      </c>
      <c r="AF521">
        <v>0</v>
      </c>
      <c r="AG521">
        <v>2</v>
      </c>
      <c r="AH521">
        <v>0</v>
      </c>
      <c r="AI521" t="s">
        <v>538</v>
      </c>
      <c r="AJ521">
        <v>41.971786000000002</v>
      </c>
      <c r="AK521" t="s">
        <v>536</v>
      </c>
      <c r="AL521">
        <v>-87.901331999999996</v>
      </c>
      <c r="AS521">
        <v>1</v>
      </c>
      <c r="AT521" t="s">
        <v>118</v>
      </c>
      <c r="AU521" t="b">
        <v>1</v>
      </c>
      <c r="AV521">
        <v>182.81</v>
      </c>
      <c r="AW521">
        <v>3.625</v>
      </c>
      <c r="AX521">
        <v>1</v>
      </c>
      <c r="AZ521">
        <v>7205</v>
      </c>
      <c r="BA521">
        <v>1</v>
      </c>
      <c r="BB521" t="str">
        <f t="shared" si="26"/>
        <v xml:space="preserve">KAP400  </v>
      </c>
      <c r="BC521">
        <v>1</v>
      </c>
      <c r="BE521">
        <v>0</v>
      </c>
      <c r="BF521">
        <v>0</v>
      </c>
      <c r="BG521">
        <v>0</v>
      </c>
      <c r="BI521">
        <v>1</v>
      </c>
      <c r="BJ521">
        <v>1</v>
      </c>
      <c r="BK521">
        <v>1</v>
      </c>
      <c r="BL521">
        <v>0</v>
      </c>
      <c r="BO521">
        <v>0</v>
      </c>
      <c r="BP521">
        <v>0</v>
      </c>
      <c r="BW521" t="str">
        <f>"19:11:30.584"</f>
        <v>19:11:30.584</v>
      </c>
      <c r="BX521" t="s">
        <v>119</v>
      </c>
      <c r="BY521" t="s">
        <v>120</v>
      </c>
      <c r="CJ521">
        <v>0</v>
      </c>
      <c r="CK521">
        <v>0</v>
      </c>
      <c r="CL521">
        <v>0</v>
      </c>
      <c r="CM521">
        <v>2</v>
      </c>
      <c r="CN521">
        <v>0</v>
      </c>
      <c r="CO521">
        <v>7</v>
      </c>
      <c r="CP521" t="s">
        <v>121</v>
      </c>
      <c r="CQ521">
        <v>579</v>
      </c>
      <c r="CR521">
        <v>0</v>
      </c>
      <c r="CW521">
        <v>1277295</v>
      </c>
      <c r="CY521">
        <v>0</v>
      </c>
      <c r="CZ521">
        <v>0</v>
      </c>
      <c r="DA521">
        <v>0</v>
      </c>
      <c r="DB521">
        <v>1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</row>
    <row r="522" spans="1:113" x14ac:dyDescent="0.3">
      <c r="A522" t="str">
        <f>"06/16/2022 19:11:32.064"</f>
        <v>06/16/2022 19:11:32.064</v>
      </c>
      <c r="C522" t="str">
        <f t="shared" si="24"/>
        <v>FFBF5BC0</v>
      </c>
      <c r="D522" t="s">
        <v>113</v>
      </c>
      <c r="E522">
        <v>8</v>
      </c>
      <c r="H522">
        <v>206</v>
      </c>
      <c r="I522" t="s">
        <v>114</v>
      </c>
      <c r="J522" t="s">
        <v>115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>"19:11:31.539"</f>
        <v>19:11:31.539</v>
      </c>
      <c r="T522" t="str">
        <f>"19:11:31.539"</f>
        <v>19:11:31.539</v>
      </c>
      <c r="U522" t="str">
        <f t="shared" si="25"/>
        <v>AB63B2</v>
      </c>
      <c r="V522">
        <v>0</v>
      </c>
      <c r="W522">
        <v>0</v>
      </c>
      <c r="X522">
        <v>6</v>
      </c>
      <c r="Z522">
        <v>0</v>
      </c>
      <c r="AA522">
        <v>9</v>
      </c>
      <c r="AB522">
        <v>3</v>
      </c>
      <c r="AC522">
        <v>0</v>
      </c>
      <c r="AD522">
        <v>10</v>
      </c>
      <c r="AE522">
        <v>0</v>
      </c>
      <c r="AF522">
        <v>0</v>
      </c>
      <c r="AG522">
        <v>2</v>
      </c>
      <c r="AH522">
        <v>0</v>
      </c>
      <c r="AI522" t="s">
        <v>539</v>
      </c>
      <c r="AJ522">
        <v>41.971764999999998</v>
      </c>
      <c r="AK522" t="s">
        <v>536</v>
      </c>
      <c r="AL522">
        <v>-87.901331999999996</v>
      </c>
      <c r="AS522">
        <v>1</v>
      </c>
      <c r="AT522" t="s">
        <v>118</v>
      </c>
      <c r="AU522" t="b">
        <v>1</v>
      </c>
      <c r="AV522">
        <v>182.81</v>
      </c>
      <c r="AW522">
        <v>3.625</v>
      </c>
      <c r="AX522">
        <v>1</v>
      </c>
      <c r="AZ522">
        <v>7205</v>
      </c>
      <c r="BA522">
        <v>1</v>
      </c>
      <c r="BB522" t="str">
        <f t="shared" si="26"/>
        <v xml:space="preserve">KAP400  </v>
      </c>
      <c r="BC522">
        <v>1</v>
      </c>
      <c r="BE522">
        <v>0</v>
      </c>
      <c r="BF522">
        <v>0</v>
      </c>
      <c r="BG522">
        <v>0</v>
      </c>
      <c r="BI522">
        <v>1</v>
      </c>
      <c r="BJ522">
        <v>1</v>
      </c>
      <c r="BK522">
        <v>1</v>
      </c>
      <c r="BL522">
        <v>0</v>
      </c>
      <c r="BO522">
        <v>0</v>
      </c>
      <c r="BP522">
        <v>0</v>
      </c>
      <c r="BW522" t="str">
        <f>"19:11:31.544"</f>
        <v>19:11:31.544</v>
      </c>
      <c r="BX522" t="s">
        <v>119</v>
      </c>
      <c r="BY522" t="s">
        <v>120</v>
      </c>
      <c r="CJ522">
        <v>0</v>
      </c>
      <c r="CK522">
        <v>0</v>
      </c>
      <c r="CL522">
        <v>0</v>
      </c>
      <c r="CM522">
        <v>2</v>
      </c>
      <c r="CN522">
        <v>0</v>
      </c>
      <c r="CO522">
        <v>7</v>
      </c>
      <c r="CP522" t="s">
        <v>121</v>
      </c>
      <c r="CQ522">
        <v>579</v>
      </c>
      <c r="CR522">
        <v>0</v>
      </c>
      <c r="CW522">
        <v>1279324</v>
      </c>
      <c r="CY522">
        <v>0</v>
      </c>
      <c r="CZ522">
        <v>0</v>
      </c>
      <c r="DA522">
        <v>0</v>
      </c>
      <c r="DB522">
        <v>1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</row>
    <row r="523" spans="1:113" x14ac:dyDescent="0.3">
      <c r="A523" t="str">
        <f>"06/16/2022 19:11:33.283"</f>
        <v>06/16/2022 19:11:33.283</v>
      </c>
      <c r="C523" t="str">
        <f t="shared" si="24"/>
        <v>FFBF5BC0</v>
      </c>
      <c r="D523" t="s">
        <v>113</v>
      </c>
      <c r="E523">
        <v>8</v>
      </c>
      <c r="H523">
        <v>206</v>
      </c>
      <c r="I523" t="s">
        <v>114</v>
      </c>
      <c r="J523" t="s">
        <v>115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>"19:11:33.039"</f>
        <v>19:11:33.039</v>
      </c>
      <c r="T523" t="str">
        <f>"19:11:33.039"</f>
        <v>19:11:33.039</v>
      </c>
      <c r="U523" t="str">
        <f t="shared" si="25"/>
        <v>AB63B2</v>
      </c>
      <c r="V523">
        <v>0</v>
      </c>
      <c r="W523">
        <v>0</v>
      </c>
      <c r="X523">
        <v>6</v>
      </c>
      <c r="Z523">
        <v>0</v>
      </c>
      <c r="AA523">
        <v>9</v>
      </c>
      <c r="AB523">
        <v>3</v>
      </c>
      <c r="AC523">
        <v>0</v>
      </c>
      <c r="AD523">
        <v>10</v>
      </c>
      <c r="AE523">
        <v>0</v>
      </c>
      <c r="AF523">
        <v>0</v>
      </c>
      <c r="AG523">
        <v>2</v>
      </c>
      <c r="AH523">
        <v>0</v>
      </c>
      <c r="AI523" t="s">
        <v>540</v>
      </c>
      <c r="AJ523">
        <v>41.971742999999996</v>
      </c>
      <c r="AK523" t="s">
        <v>536</v>
      </c>
      <c r="AL523">
        <v>-87.901331999999996</v>
      </c>
      <c r="AS523">
        <v>1</v>
      </c>
      <c r="AT523" t="s">
        <v>118</v>
      </c>
      <c r="AU523" t="b">
        <v>1</v>
      </c>
      <c r="AV523">
        <v>180</v>
      </c>
      <c r="AW523">
        <v>3.625</v>
      </c>
      <c r="AX523">
        <v>1</v>
      </c>
      <c r="AZ523">
        <v>7205</v>
      </c>
      <c r="BA523">
        <v>1</v>
      </c>
      <c r="BB523" t="str">
        <f t="shared" si="26"/>
        <v xml:space="preserve">KAP400  </v>
      </c>
      <c r="BC523">
        <v>1</v>
      </c>
      <c r="BE523">
        <v>0</v>
      </c>
      <c r="BF523">
        <v>0</v>
      </c>
      <c r="BG523">
        <v>0</v>
      </c>
      <c r="BI523">
        <v>1</v>
      </c>
      <c r="BJ523">
        <v>1</v>
      </c>
      <c r="BK523">
        <v>1</v>
      </c>
      <c r="BL523">
        <v>0</v>
      </c>
      <c r="BO523">
        <v>0</v>
      </c>
      <c r="BP523">
        <v>0</v>
      </c>
      <c r="BW523" t="str">
        <f>"19:11:33.047"</f>
        <v>19:11:33.047</v>
      </c>
      <c r="BX523" t="s">
        <v>119</v>
      </c>
      <c r="BY523" t="s">
        <v>120</v>
      </c>
      <c r="CJ523">
        <v>0</v>
      </c>
      <c r="CK523">
        <v>0</v>
      </c>
      <c r="CL523">
        <v>0</v>
      </c>
      <c r="CM523">
        <v>2</v>
      </c>
      <c r="CN523">
        <v>0</v>
      </c>
      <c r="CO523">
        <v>7</v>
      </c>
      <c r="CP523" t="s">
        <v>121</v>
      </c>
      <c r="CQ523">
        <v>579</v>
      </c>
      <c r="CR523">
        <v>0</v>
      </c>
      <c r="CW523">
        <v>1282282</v>
      </c>
      <c r="CY523">
        <v>0</v>
      </c>
      <c r="CZ523">
        <v>0</v>
      </c>
      <c r="DA523">
        <v>0</v>
      </c>
      <c r="DB523">
        <v>1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</row>
    <row r="524" spans="1:113" x14ac:dyDescent="0.3">
      <c r="A524" t="str">
        <f>"06/16/2022 19:11:34.064"</f>
        <v>06/16/2022 19:11:34.064</v>
      </c>
      <c r="C524" t="str">
        <f t="shared" si="24"/>
        <v>FFBF5BC0</v>
      </c>
      <c r="D524" t="s">
        <v>113</v>
      </c>
      <c r="E524">
        <v>8</v>
      </c>
      <c r="H524">
        <v>206</v>
      </c>
      <c r="I524" t="s">
        <v>114</v>
      </c>
      <c r="J524" t="s">
        <v>115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>"19:11:33.883"</f>
        <v>19:11:33.883</v>
      </c>
      <c r="T524" t="str">
        <f>"19:11:33.883"</f>
        <v>19:11:33.883</v>
      </c>
      <c r="U524" t="str">
        <f t="shared" si="25"/>
        <v>AB63B2</v>
      </c>
      <c r="V524">
        <v>0</v>
      </c>
      <c r="W524">
        <v>0</v>
      </c>
      <c r="X524">
        <v>6</v>
      </c>
      <c r="Z524">
        <v>0</v>
      </c>
      <c r="AA524">
        <v>9</v>
      </c>
      <c r="AB524">
        <v>3</v>
      </c>
      <c r="AC524">
        <v>0</v>
      </c>
      <c r="AD524">
        <v>10</v>
      </c>
      <c r="AE524">
        <v>0</v>
      </c>
      <c r="AF524">
        <v>0</v>
      </c>
      <c r="AG524">
        <v>2</v>
      </c>
      <c r="AH524">
        <v>0</v>
      </c>
      <c r="AI524" t="s">
        <v>540</v>
      </c>
      <c r="AJ524">
        <v>41.971742999999996</v>
      </c>
      <c r="AK524" t="s">
        <v>536</v>
      </c>
      <c r="AL524">
        <v>-87.901331999999996</v>
      </c>
      <c r="AS524">
        <v>1</v>
      </c>
      <c r="AT524" t="s">
        <v>118</v>
      </c>
      <c r="AU524" t="b">
        <v>1</v>
      </c>
      <c r="AV524">
        <v>180</v>
      </c>
      <c r="AW524">
        <v>4.125</v>
      </c>
      <c r="AX524">
        <v>1</v>
      </c>
      <c r="AZ524">
        <v>7205</v>
      </c>
      <c r="BA524">
        <v>1</v>
      </c>
      <c r="BB524" t="str">
        <f t="shared" si="26"/>
        <v xml:space="preserve">KAP400  </v>
      </c>
      <c r="BC524">
        <v>1</v>
      </c>
      <c r="BE524">
        <v>0</v>
      </c>
      <c r="BF524">
        <v>0</v>
      </c>
      <c r="BG524">
        <v>0</v>
      </c>
      <c r="BI524">
        <v>1</v>
      </c>
      <c r="BJ524">
        <v>1</v>
      </c>
      <c r="BK524">
        <v>1</v>
      </c>
      <c r="BL524">
        <v>0</v>
      </c>
      <c r="BO524">
        <v>0</v>
      </c>
      <c r="BP524">
        <v>0</v>
      </c>
      <c r="BW524" t="str">
        <f>"19:11:33.884"</f>
        <v>19:11:33.884</v>
      </c>
      <c r="BX524" t="s">
        <v>119</v>
      </c>
      <c r="BY524" t="s">
        <v>120</v>
      </c>
      <c r="CJ524">
        <v>0</v>
      </c>
      <c r="CK524">
        <v>0</v>
      </c>
      <c r="CL524">
        <v>0</v>
      </c>
      <c r="CM524">
        <v>2</v>
      </c>
      <c r="CN524">
        <v>0</v>
      </c>
      <c r="CO524">
        <v>7</v>
      </c>
      <c r="CP524" t="s">
        <v>121</v>
      </c>
      <c r="CQ524">
        <v>579</v>
      </c>
      <c r="CR524">
        <v>0</v>
      </c>
      <c r="CW524">
        <v>1283914</v>
      </c>
      <c r="CY524">
        <v>0</v>
      </c>
      <c r="CZ524">
        <v>0</v>
      </c>
      <c r="DA524">
        <v>0</v>
      </c>
      <c r="DB524">
        <v>1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</row>
    <row r="525" spans="1:113" x14ac:dyDescent="0.3">
      <c r="A525" t="str">
        <f>"06/16/2022 19:11:34.955"</f>
        <v>06/16/2022 19:11:34.955</v>
      </c>
      <c r="C525" t="str">
        <f t="shared" si="24"/>
        <v>FFBF5BC0</v>
      </c>
      <c r="D525" t="s">
        <v>113</v>
      </c>
      <c r="E525">
        <v>8</v>
      </c>
      <c r="H525">
        <v>206</v>
      </c>
      <c r="I525" t="s">
        <v>114</v>
      </c>
      <c r="J525" t="s">
        <v>115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>"19:11:34.719"</f>
        <v>19:11:34.719</v>
      </c>
      <c r="T525" t="str">
        <f>"19:11:34.719"</f>
        <v>19:11:34.719</v>
      </c>
      <c r="U525" t="str">
        <f t="shared" si="25"/>
        <v>AB63B2</v>
      </c>
      <c r="V525">
        <v>0</v>
      </c>
      <c r="W525">
        <v>0</v>
      </c>
      <c r="X525">
        <v>6</v>
      </c>
      <c r="Z525">
        <v>0</v>
      </c>
      <c r="AA525">
        <v>9</v>
      </c>
      <c r="AB525">
        <v>3</v>
      </c>
      <c r="AC525">
        <v>0</v>
      </c>
      <c r="AD525">
        <v>10</v>
      </c>
      <c r="AE525">
        <v>0</v>
      </c>
      <c r="AF525">
        <v>0</v>
      </c>
      <c r="AG525">
        <v>2</v>
      </c>
      <c r="AH525">
        <v>0</v>
      </c>
      <c r="AI525" t="s">
        <v>541</v>
      </c>
      <c r="AJ525">
        <v>41.971722</v>
      </c>
      <c r="AK525" t="s">
        <v>536</v>
      </c>
      <c r="AL525">
        <v>-87.901331999999996</v>
      </c>
      <c r="AS525">
        <v>1</v>
      </c>
      <c r="AT525" t="s">
        <v>118</v>
      </c>
      <c r="AU525" t="b">
        <v>1</v>
      </c>
      <c r="AV525">
        <v>180</v>
      </c>
      <c r="AW525">
        <v>4.125</v>
      </c>
      <c r="AX525">
        <v>1</v>
      </c>
      <c r="AZ525">
        <v>7205</v>
      </c>
      <c r="BA525">
        <v>1</v>
      </c>
      <c r="BB525" t="str">
        <f t="shared" si="26"/>
        <v xml:space="preserve">KAP400  </v>
      </c>
      <c r="BC525">
        <v>1</v>
      </c>
      <c r="BE525">
        <v>0</v>
      </c>
      <c r="BF525">
        <v>0</v>
      </c>
      <c r="BG525">
        <v>0</v>
      </c>
      <c r="BI525">
        <v>1</v>
      </c>
      <c r="BJ525">
        <v>1</v>
      </c>
      <c r="BK525">
        <v>1</v>
      </c>
      <c r="BL525">
        <v>0</v>
      </c>
      <c r="BO525">
        <v>0</v>
      </c>
      <c r="BP525">
        <v>0</v>
      </c>
      <c r="BW525" t="str">
        <f>"19:11:34.726"</f>
        <v>19:11:34.726</v>
      </c>
      <c r="BX525" t="s">
        <v>119</v>
      </c>
      <c r="BY525" t="s">
        <v>120</v>
      </c>
      <c r="CJ525">
        <v>0</v>
      </c>
      <c r="CK525">
        <v>0</v>
      </c>
      <c r="CL525">
        <v>0</v>
      </c>
      <c r="CM525">
        <v>2</v>
      </c>
      <c r="CN525">
        <v>0</v>
      </c>
      <c r="CO525">
        <v>7</v>
      </c>
      <c r="CP525" t="s">
        <v>121</v>
      </c>
      <c r="CQ525">
        <v>579</v>
      </c>
      <c r="CR525">
        <v>0</v>
      </c>
      <c r="CW525">
        <v>1285637</v>
      </c>
      <c r="CY525">
        <v>0</v>
      </c>
      <c r="CZ525">
        <v>0</v>
      </c>
      <c r="DA525">
        <v>0</v>
      </c>
      <c r="DB525">
        <v>1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</row>
    <row r="526" spans="1:113" x14ac:dyDescent="0.3">
      <c r="A526" t="str">
        <f>"06/16/2022 19:11:36.127"</f>
        <v>06/16/2022 19:11:36.127</v>
      </c>
      <c r="C526" t="str">
        <f t="shared" si="24"/>
        <v>FFBF5BC0</v>
      </c>
      <c r="D526" t="s">
        <v>113</v>
      </c>
      <c r="E526">
        <v>8</v>
      </c>
      <c r="H526">
        <v>206</v>
      </c>
      <c r="I526" t="s">
        <v>114</v>
      </c>
      <c r="J526" t="s">
        <v>115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>"19:11:35.828"</f>
        <v>19:11:35.828</v>
      </c>
      <c r="T526" t="str">
        <f>"19:11:35.828"</f>
        <v>19:11:35.828</v>
      </c>
      <c r="U526" t="str">
        <f t="shared" si="25"/>
        <v>AB63B2</v>
      </c>
      <c r="V526">
        <v>0</v>
      </c>
      <c r="W526">
        <v>0</v>
      </c>
      <c r="X526">
        <v>6</v>
      </c>
      <c r="Z526">
        <v>0</v>
      </c>
      <c r="AA526">
        <v>9</v>
      </c>
      <c r="AB526">
        <v>3</v>
      </c>
      <c r="AC526">
        <v>0</v>
      </c>
      <c r="AD526">
        <v>10</v>
      </c>
      <c r="AE526">
        <v>0</v>
      </c>
      <c r="AF526">
        <v>0</v>
      </c>
      <c r="AG526">
        <v>2</v>
      </c>
      <c r="AH526">
        <v>0</v>
      </c>
      <c r="AI526" t="s">
        <v>542</v>
      </c>
      <c r="AJ526">
        <v>41.971699999999998</v>
      </c>
      <c r="AK526" t="s">
        <v>536</v>
      </c>
      <c r="AL526">
        <v>-87.901331999999996</v>
      </c>
      <c r="AS526">
        <v>1</v>
      </c>
      <c r="AT526" t="s">
        <v>118</v>
      </c>
      <c r="AU526" t="b">
        <v>1</v>
      </c>
      <c r="AV526">
        <v>180</v>
      </c>
      <c r="AW526">
        <v>4.625</v>
      </c>
      <c r="AX526">
        <v>1</v>
      </c>
      <c r="AZ526">
        <v>7205</v>
      </c>
      <c r="BA526">
        <v>1</v>
      </c>
      <c r="BB526" t="str">
        <f t="shared" si="26"/>
        <v xml:space="preserve">KAP400  </v>
      </c>
      <c r="BC526">
        <v>1</v>
      </c>
      <c r="BE526">
        <v>0</v>
      </c>
      <c r="BF526">
        <v>0</v>
      </c>
      <c r="BG526">
        <v>0</v>
      </c>
      <c r="BI526">
        <v>1</v>
      </c>
      <c r="BJ526">
        <v>1</v>
      </c>
      <c r="BK526">
        <v>1</v>
      </c>
      <c r="BL526">
        <v>0</v>
      </c>
      <c r="BO526">
        <v>0</v>
      </c>
      <c r="BP526">
        <v>0</v>
      </c>
      <c r="BW526" t="str">
        <f>"19:11:35.832"</f>
        <v>19:11:35.832</v>
      </c>
      <c r="BX526" t="s">
        <v>119</v>
      </c>
      <c r="BY526" t="s">
        <v>120</v>
      </c>
      <c r="CJ526">
        <v>0</v>
      </c>
      <c r="CK526">
        <v>0</v>
      </c>
      <c r="CL526">
        <v>0</v>
      </c>
      <c r="CM526">
        <v>2</v>
      </c>
      <c r="CN526">
        <v>0</v>
      </c>
      <c r="CO526">
        <v>7</v>
      </c>
      <c r="CP526" t="s">
        <v>121</v>
      </c>
      <c r="CQ526">
        <v>579</v>
      </c>
      <c r="CR526">
        <v>0</v>
      </c>
      <c r="CW526">
        <v>1288003</v>
      </c>
      <c r="CY526">
        <v>0</v>
      </c>
      <c r="CZ526">
        <v>0</v>
      </c>
      <c r="DA526">
        <v>0</v>
      </c>
      <c r="DB526">
        <v>1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</row>
    <row r="527" spans="1:113" x14ac:dyDescent="0.3">
      <c r="A527" t="str">
        <f>"06/16/2022 19:11:37.720"</f>
        <v>06/16/2022 19:11:37.720</v>
      </c>
      <c r="C527" t="str">
        <f t="shared" si="24"/>
        <v>FFBF5BC0</v>
      </c>
      <c r="D527" t="s">
        <v>113</v>
      </c>
      <c r="E527">
        <v>8</v>
      </c>
      <c r="H527">
        <v>206</v>
      </c>
      <c r="I527" t="s">
        <v>114</v>
      </c>
      <c r="J527" t="s">
        <v>115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>"19:11:37.445"</f>
        <v>19:11:37.445</v>
      </c>
      <c r="T527" t="str">
        <f>"19:11:37.445"</f>
        <v>19:11:37.445</v>
      </c>
      <c r="U527" t="str">
        <f t="shared" si="25"/>
        <v>AB63B2</v>
      </c>
      <c r="V527">
        <v>0</v>
      </c>
      <c r="W527">
        <v>0</v>
      </c>
      <c r="X527">
        <v>6</v>
      </c>
      <c r="Z527">
        <v>0</v>
      </c>
      <c r="AA527">
        <v>9</v>
      </c>
      <c r="AB527">
        <v>3</v>
      </c>
      <c r="AC527">
        <v>0</v>
      </c>
      <c r="AD527">
        <v>10</v>
      </c>
      <c r="AE527">
        <v>0</v>
      </c>
      <c r="AF527">
        <v>0</v>
      </c>
      <c r="AG527">
        <v>2</v>
      </c>
      <c r="AH527">
        <v>0</v>
      </c>
      <c r="AI527" t="s">
        <v>543</v>
      </c>
      <c r="AJ527">
        <v>41.971679000000002</v>
      </c>
      <c r="AK527" t="s">
        <v>536</v>
      </c>
      <c r="AL527">
        <v>-87.901331999999996</v>
      </c>
      <c r="AS527">
        <v>1</v>
      </c>
      <c r="AT527" t="s">
        <v>118</v>
      </c>
      <c r="AU527" t="b">
        <v>1</v>
      </c>
      <c r="AV527">
        <v>180</v>
      </c>
      <c r="AW527">
        <v>4.625</v>
      </c>
      <c r="AX527">
        <v>1</v>
      </c>
      <c r="AZ527">
        <v>7205</v>
      </c>
      <c r="BA527">
        <v>1</v>
      </c>
      <c r="BB527" t="str">
        <f t="shared" si="26"/>
        <v xml:space="preserve">KAP400  </v>
      </c>
      <c r="BC527">
        <v>1</v>
      </c>
      <c r="BE527">
        <v>0</v>
      </c>
      <c r="BF527">
        <v>0</v>
      </c>
      <c r="BG527">
        <v>0</v>
      </c>
      <c r="BI527">
        <v>1</v>
      </c>
      <c r="BJ527">
        <v>1</v>
      </c>
      <c r="BK527">
        <v>1</v>
      </c>
      <c r="BL527">
        <v>0</v>
      </c>
      <c r="BO527">
        <v>0</v>
      </c>
      <c r="BP527">
        <v>0</v>
      </c>
      <c r="BW527" t="str">
        <f>"19:11:37.451"</f>
        <v>19:11:37.451</v>
      </c>
      <c r="BX527" t="s">
        <v>119</v>
      </c>
      <c r="BY527" t="s">
        <v>120</v>
      </c>
      <c r="CJ527">
        <v>0</v>
      </c>
      <c r="CK527">
        <v>0</v>
      </c>
      <c r="CL527">
        <v>0</v>
      </c>
      <c r="CM527">
        <v>2</v>
      </c>
      <c r="CN527">
        <v>0</v>
      </c>
      <c r="CO527">
        <v>7</v>
      </c>
      <c r="CP527" t="s">
        <v>121</v>
      </c>
      <c r="CQ527">
        <v>579</v>
      </c>
      <c r="CR527">
        <v>0</v>
      </c>
      <c r="CW527">
        <v>1291205</v>
      </c>
      <c r="CY527">
        <v>0</v>
      </c>
      <c r="CZ527">
        <v>0</v>
      </c>
      <c r="DA527">
        <v>0</v>
      </c>
      <c r="DB527">
        <v>1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</row>
    <row r="528" spans="1:113" x14ac:dyDescent="0.3">
      <c r="A528" t="str">
        <f>"06/16/2022 19:11:38.767"</f>
        <v>06/16/2022 19:11:38.767</v>
      </c>
      <c r="C528" t="str">
        <f t="shared" si="24"/>
        <v>FFBF5BC0</v>
      </c>
      <c r="D528" t="s">
        <v>113</v>
      </c>
      <c r="E528">
        <v>8</v>
      </c>
      <c r="H528">
        <v>206</v>
      </c>
      <c r="I528" t="s">
        <v>114</v>
      </c>
      <c r="J528" t="s">
        <v>115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>"19:11:38.469"</f>
        <v>19:11:38.469</v>
      </c>
      <c r="T528" t="str">
        <f>"19:11:38.469"</f>
        <v>19:11:38.469</v>
      </c>
      <c r="U528" t="str">
        <f t="shared" si="25"/>
        <v>AB63B2</v>
      </c>
      <c r="V528">
        <v>0</v>
      </c>
      <c r="W528">
        <v>0</v>
      </c>
      <c r="X528">
        <v>6</v>
      </c>
      <c r="Z528">
        <v>0</v>
      </c>
      <c r="AA528">
        <v>9</v>
      </c>
      <c r="AB528">
        <v>3</v>
      </c>
      <c r="AC528">
        <v>0</v>
      </c>
      <c r="AD528">
        <v>10</v>
      </c>
      <c r="AE528">
        <v>0</v>
      </c>
      <c r="AF528">
        <v>0</v>
      </c>
      <c r="AG528">
        <v>2</v>
      </c>
      <c r="AH528">
        <v>0</v>
      </c>
      <c r="AI528" t="s">
        <v>544</v>
      </c>
      <c r="AJ528">
        <v>41.971657</v>
      </c>
      <c r="AK528" t="s">
        <v>536</v>
      </c>
      <c r="AL528">
        <v>-87.901331999999996</v>
      </c>
      <c r="AS528">
        <v>1</v>
      </c>
      <c r="AT528" t="s">
        <v>118</v>
      </c>
      <c r="AU528" t="b">
        <v>1</v>
      </c>
      <c r="AV528">
        <v>180</v>
      </c>
      <c r="AW528">
        <v>4.125</v>
      </c>
      <c r="AX528">
        <v>1</v>
      </c>
      <c r="AZ528">
        <v>7205</v>
      </c>
      <c r="BA528">
        <v>1</v>
      </c>
      <c r="BB528" t="str">
        <f t="shared" si="26"/>
        <v xml:space="preserve">KAP400  </v>
      </c>
      <c r="BC528">
        <v>1</v>
      </c>
      <c r="BE528">
        <v>0</v>
      </c>
      <c r="BF528">
        <v>0</v>
      </c>
      <c r="BG528">
        <v>0</v>
      </c>
      <c r="BI528">
        <v>1</v>
      </c>
      <c r="BJ528">
        <v>1</v>
      </c>
      <c r="BK528">
        <v>1</v>
      </c>
      <c r="BL528">
        <v>0</v>
      </c>
      <c r="BO528">
        <v>0</v>
      </c>
      <c r="BP528">
        <v>0</v>
      </c>
      <c r="BW528" t="str">
        <f>"19:11:38.470"</f>
        <v>19:11:38.470</v>
      </c>
      <c r="BX528" t="s">
        <v>119</v>
      </c>
      <c r="BY528" t="s">
        <v>120</v>
      </c>
      <c r="CJ528">
        <v>0</v>
      </c>
      <c r="CK528">
        <v>0</v>
      </c>
      <c r="CL528">
        <v>0</v>
      </c>
      <c r="CM528">
        <v>2</v>
      </c>
      <c r="CN528">
        <v>0</v>
      </c>
      <c r="CO528">
        <v>7</v>
      </c>
      <c r="CP528" t="s">
        <v>121</v>
      </c>
      <c r="CQ528">
        <v>579</v>
      </c>
      <c r="CR528">
        <v>0</v>
      </c>
      <c r="CW528">
        <v>1293257</v>
      </c>
      <c r="CY528">
        <v>0</v>
      </c>
      <c r="CZ528">
        <v>0</v>
      </c>
      <c r="DA528">
        <v>0</v>
      </c>
      <c r="DB528">
        <v>1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</row>
    <row r="529" spans="1:113" x14ac:dyDescent="0.3">
      <c r="A529" t="str">
        <f>"06/16/2022 19:11:39.751"</f>
        <v>06/16/2022 19:11:39.751</v>
      </c>
      <c r="C529" t="str">
        <f t="shared" si="24"/>
        <v>FFBF5BC0</v>
      </c>
      <c r="D529" t="s">
        <v>113</v>
      </c>
      <c r="E529">
        <v>8</v>
      </c>
      <c r="H529">
        <v>206</v>
      </c>
      <c r="I529" t="s">
        <v>114</v>
      </c>
      <c r="J529" t="s">
        <v>115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>"19:11:39.516"</f>
        <v>19:11:39.516</v>
      </c>
      <c r="T529" t="str">
        <f>"19:11:39.516"</f>
        <v>19:11:39.516</v>
      </c>
      <c r="U529" t="str">
        <f t="shared" si="25"/>
        <v>AB63B2</v>
      </c>
      <c r="V529">
        <v>0</v>
      </c>
      <c r="W529">
        <v>0</v>
      </c>
      <c r="X529">
        <v>6</v>
      </c>
      <c r="Z529">
        <v>0</v>
      </c>
      <c r="AA529">
        <v>9</v>
      </c>
      <c r="AB529">
        <v>3</v>
      </c>
      <c r="AC529">
        <v>0</v>
      </c>
      <c r="AD529">
        <v>10</v>
      </c>
      <c r="AE529">
        <v>0</v>
      </c>
      <c r="AF529">
        <v>0</v>
      </c>
      <c r="AG529">
        <v>2</v>
      </c>
      <c r="AH529">
        <v>0</v>
      </c>
      <c r="AI529" t="s">
        <v>545</v>
      </c>
      <c r="AJ529">
        <v>41.971635999999997</v>
      </c>
      <c r="AK529" t="s">
        <v>536</v>
      </c>
      <c r="AL529">
        <v>-87.901331999999996</v>
      </c>
      <c r="AS529">
        <v>1</v>
      </c>
      <c r="AT529" t="s">
        <v>118</v>
      </c>
      <c r="AU529" t="b">
        <v>1</v>
      </c>
      <c r="AV529">
        <v>180</v>
      </c>
      <c r="AW529">
        <v>4.125</v>
      </c>
      <c r="AX529">
        <v>1</v>
      </c>
      <c r="AZ529">
        <v>7205</v>
      </c>
      <c r="BA529">
        <v>1</v>
      </c>
      <c r="BB529" t="str">
        <f t="shared" si="26"/>
        <v xml:space="preserve">KAP400  </v>
      </c>
      <c r="BC529">
        <v>1</v>
      </c>
      <c r="BE529">
        <v>0</v>
      </c>
      <c r="BF529">
        <v>0</v>
      </c>
      <c r="BG529">
        <v>0</v>
      </c>
      <c r="BI529">
        <v>1</v>
      </c>
      <c r="BJ529">
        <v>1</v>
      </c>
      <c r="BK529">
        <v>1</v>
      </c>
      <c r="BL529">
        <v>0</v>
      </c>
      <c r="BO529">
        <v>0</v>
      </c>
      <c r="BP529">
        <v>0</v>
      </c>
      <c r="BW529" t="str">
        <f>"19:11:39.523"</f>
        <v>19:11:39.523</v>
      </c>
      <c r="BX529" t="s">
        <v>119</v>
      </c>
      <c r="BY529" t="s">
        <v>120</v>
      </c>
      <c r="CJ529">
        <v>0</v>
      </c>
      <c r="CK529">
        <v>0</v>
      </c>
      <c r="CL529">
        <v>0</v>
      </c>
      <c r="CM529">
        <v>2</v>
      </c>
      <c r="CN529">
        <v>0</v>
      </c>
      <c r="CO529">
        <v>7</v>
      </c>
      <c r="CP529" t="s">
        <v>121</v>
      </c>
      <c r="CQ529">
        <v>579</v>
      </c>
      <c r="CR529">
        <v>0</v>
      </c>
      <c r="CW529">
        <v>1295280</v>
      </c>
      <c r="CY529">
        <v>0</v>
      </c>
      <c r="CZ529">
        <v>0</v>
      </c>
      <c r="DA529">
        <v>0</v>
      </c>
      <c r="DB529">
        <v>1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</row>
    <row r="530" spans="1:113" x14ac:dyDescent="0.3">
      <c r="A530" t="str">
        <f>"06/16/2022 19:11:40.751"</f>
        <v>06/16/2022 19:11:40.751</v>
      </c>
      <c r="C530" t="str">
        <f t="shared" si="24"/>
        <v>FFBF5BC0</v>
      </c>
      <c r="D530" t="s">
        <v>113</v>
      </c>
      <c r="E530">
        <v>8</v>
      </c>
      <c r="H530">
        <v>206</v>
      </c>
      <c r="I530" t="s">
        <v>114</v>
      </c>
      <c r="J530" t="s">
        <v>115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>"19:11:40.438"</f>
        <v>19:11:40.438</v>
      </c>
      <c r="T530" t="str">
        <f>"19:11:40.438"</f>
        <v>19:11:40.438</v>
      </c>
      <c r="U530" t="str">
        <f t="shared" si="25"/>
        <v>AB63B2</v>
      </c>
      <c r="V530">
        <v>0</v>
      </c>
      <c r="W530">
        <v>0</v>
      </c>
      <c r="X530">
        <v>6</v>
      </c>
      <c r="Z530">
        <v>0</v>
      </c>
      <c r="AA530">
        <v>9</v>
      </c>
      <c r="AB530">
        <v>3</v>
      </c>
      <c r="AC530">
        <v>0</v>
      </c>
      <c r="AD530">
        <v>10</v>
      </c>
      <c r="AE530">
        <v>0</v>
      </c>
      <c r="AF530">
        <v>0</v>
      </c>
      <c r="AG530">
        <v>2</v>
      </c>
      <c r="AH530">
        <v>0</v>
      </c>
      <c r="AI530" t="s">
        <v>546</v>
      </c>
      <c r="AJ530">
        <v>41.971614000000002</v>
      </c>
      <c r="AK530" t="s">
        <v>536</v>
      </c>
      <c r="AL530">
        <v>-87.901331999999996</v>
      </c>
      <c r="AS530">
        <v>1</v>
      </c>
      <c r="AT530" t="s">
        <v>118</v>
      </c>
      <c r="AU530" t="b">
        <v>1</v>
      </c>
      <c r="AV530">
        <v>180</v>
      </c>
      <c r="AW530">
        <v>4.125</v>
      </c>
      <c r="AX530">
        <v>1</v>
      </c>
      <c r="AZ530">
        <v>7205</v>
      </c>
      <c r="BA530">
        <v>1</v>
      </c>
      <c r="BB530" t="str">
        <f t="shared" si="26"/>
        <v xml:space="preserve">KAP400  </v>
      </c>
      <c r="BC530">
        <v>1</v>
      </c>
      <c r="BE530">
        <v>0</v>
      </c>
      <c r="BF530">
        <v>0</v>
      </c>
      <c r="BG530">
        <v>0</v>
      </c>
      <c r="BI530">
        <v>1</v>
      </c>
      <c r="BJ530">
        <v>1</v>
      </c>
      <c r="BK530">
        <v>1</v>
      </c>
      <c r="BL530">
        <v>0</v>
      </c>
      <c r="BO530">
        <v>0</v>
      </c>
      <c r="BP530">
        <v>0</v>
      </c>
      <c r="BW530" t="str">
        <f>"19:11:40.444"</f>
        <v>19:11:40.444</v>
      </c>
      <c r="BX530" t="s">
        <v>119</v>
      </c>
      <c r="BY530" t="s">
        <v>120</v>
      </c>
      <c r="CJ530">
        <v>0</v>
      </c>
      <c r="CK530">
        <v>0</v>
      </c>
      <c r="CL530">
        <v>0</v>
      </c>
      <c r="CM530">
        <v>2</v>
      </c>
      <c r="CN530">
        <v>0</v>
      </c>
      <c r="CO530">
        <v>7</v>
      </c>
      <c r="CP530" t="s">
        <v>121</v>
      </c>
      <c r="CQ530">
        <v>579</v>
      </c>
      <c r="CR530">
        <v>0</v>
      </c>
      <c r="CW530">
        <v>1297230</v>
      </c>
      <c r="CY530">
        <v>0</v>
      </c>
      <c r="CZ530">
        <v>0</v>
      </c>
      <c r="DA530">
        <v>0</v>
      </c>
      <c r="DB530">
        <v>1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</row>
    <row r="531" spans="1:113" x14ac:dyDescent="0.3">
      <c r="A531" t="str">
        <f>"06/16/2022 19:11:41.908"</f>
        <v>06/16/2022 19:11:41.908</v>
      </c>
      <c r="C531" t="str">
        <f t="shared" si="24"/>
        <v>FFBF5BC0</v>
      </c>
      <c r="D531" t="s">
        <v>113</v>
      </c>
      <c r="E531">
        <v>8</v>
      </c>
      <c r="H531">
        <v>206</v>
      </c>
      <c r="I531" t="s">
        <v>114</v>
      </c>
      <c r="J531" t="s">
        <v>115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>"19:11:41.469"</f>
        <v>19:11:41.469</v>
      </c>
      <c r="T531" t="str">
        <f>"19:11:41.469"</f>
        <v>19:11:41.469</v>
      </c>
      <c r="U531" t="str">
        <f t="shared" si="25"/>
        <v>AB63B2</v>
      </c>
      <c r="V531">
        <v>0</v>
      </c>
      <c r="W531">
        <v>0</v>
      </c>
      <c r="X531">
        <v>6</v>
      </c>
      <c r="Z531">
        <v>0</v>
      </c>
      <c r="AA531">
        <v>9</v>
      </c>
      <c r="AB531">
        <v>3</v>
      </c>
      <c r="AC531">
        <v>0</v>
      </c>
      <c r="AD531">
        <v>10</v>
      </c>
      <c r="AE531">
        <v>0</v>
      </c>
      <c r="AF531">
        <v>0</v>
      </c>
      <c r="AG531">
        <v>2</v>
      </c>
      <c r="AH531">
        <v>0</v>
      </c>
      <c r="AI531" t="s">
        <v>547</v>
      </c>
      <c r="AJ531">
        <v>41.971592999999999</v>
      </c>
      <c r="AK531" t="s">
        <v>536</v>
      </c>
      <c r="AL531">
        <v>-87.901331999999996</v>
      </c>
      <c r="AS531">
        <v>1</v>
      </c>
      <c r="AT531" t="s">
        <v>118</v>
      </c>
      <c r="AU531" t="b">
        <v>1</v>
      </c>
      <c r="AV531">
        <v>180</v>
      </c>
      <c r="AW531">
        <v>3.625</v>
      </c>
      <c r="AX531">
        <v>1</v>
      </c>
      <c r="AZ531">
        <v>7205</v>
      </c>
      <c r="BA531">
        <v>1</v>
      </c>
      <c r="BB531" t="str">
        <f t="shared" si="26"/>
        <v xml:space="preserve">KAP400  </v>
      </c>
      <c r="BC531">
        <v>1</v>
      </c>
      <c r="BE531">
        <v>0</v>
      </c>
      <c r="BF531">
        <v>0</v>
      </c>
      <c r="BG531">
        <v>0</v>
      </c>
      <c r="BI531">
        <v>1</v>
      </c>
      <c r="BJ531">
        <v>1</v>
      </c>
      <c r="BK531">
        <v>1</v>
      </c>
      <c r="BL531">
        <v>0</v>
      </c>
      <c r="BO531">
        <v>0</v>
      </c>
      <c r="BP531">
        <v>0</v>
      </c>
      <c r="BW531" t="str">
        <f>"19:11:41.471"</f>
        <v>19:11:41.471</v>
      </c>
      <c r="BX531" t="s">
        <v>119</v>
      </c>
      <c r="BY531" t="s">
        <v>120</v>
      </c>
      <c r="CJ531">
        <v>0</v>
      </c>
      <c r="CK531">
        <v>0</v>
      </c>
      <c r="CL531">
        <v>0</v>
      </c>
      <c r="CM531">
        <v>2</v>
      </c>
      <c r="CN531">
        <v>0</v>
      </c>
      <c r="CO531">
        <v>7</v>
      </c>
      <c r="CP531" t="s">
        <v>121</v>
      </c>
      <c r="CQ531">
        <v>579</v>
      </c>
      <c r="CR531">
        <v>0</v>
      </c>
      <c r="CW531">
        <v>1299202</v>
      </c>
      <c r="CY531">
        <v>0</v>
      </c>
      <c r="CZ531">
        <v>0</v>
      </c>
      <c r="DA531">
        <v>0</v>
      </c>
      <c r="DB531">
        <v>1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</row>
    <row r="532" spans="1:113" x14ac:dyDescent="0.3">
      <c r="A532" t="str">
        <f>"06/16/2022 19:11:42.751"</f>
        <v>06/16/2022 19:11:42.751</v>
      </c>
      <c r="C532" t="str">
        <f t="shared" si="24"/>
        <v>FFBF5BC0</v>
      </c>
      <c r="D532" t="s">
        <v>113</v>
      </c>
      <c r="E532">
        <v>8</v>
      </c>
      <c r="H532">
        <v>206</v>
      </c>
      <c r="I532" t="s">
        <v>114</v>
      </c>
      <c r="J532" t="s">
        <v>115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>"19:11:42.461"</f>
        <v>19:11:42.461</v>
      </c>
      <c r="T532" t="str">
        <f>"19:11:42.461"</f>
        <v>19:11:42.461</v>
      </c>
      <c r="U532" t="str">
        <f t="shared" si="25"/>
        <v>AB63B2</v>
      </c>
      <c r="V532">
        <v>0</v>
      </c>
      <c r="W532">
        <v>0</v>
      </c>
      <c r="X532">
        <v>6</v>
      </c>
      <c r="Z532">
        <v>0</v>
      </c>
      <c r="AA532">
        <v>9</v>
      </c>
      <c r="AB532">
        <v>3</v>
      </c>
      <c r="AC532">
        <v>0</v>
      </c>
      <c r="AD532">
        <v>10</v>
      </c>
      <c r="AE532">
        <v>0</v>
      </c>
      <c r="AF532">
        <v>0</v>
      </c>
      <c r="AG532">
        <v>2</v>
      </c>
      <c r="AH532">
        <v>0</v>
      </c>
      <c r="AI532" t="s">
        <v>548</v>
      </c>
      <c r="AJ532">
        <v>41.971570999999997</v>
      </c>
      <c r="AK532" t="s">
        <v>536</v>
      </c>
      <c r="AL532">
        <v>-87.901331999999996</v>
      </c>
      <c r="AS532">
        <v>1</v>
      </c>
      <c r="AT532" t="s">
        <v>118</v>
      </c>
      <c r="AU532" t="b">
        <v>1</v>
      </c>
      <c r="AV532">
        <v>180</v>
      </c>
      <c r="AW532">
        <v>4.125</v>
      </c>
      <c r="AX532">
        <v>1</v>
      </c>
      <c r="AZ532">
        <v>7205</v>
      </c>
      <c r="BA532">
        <v>1</v>
      </c>
      <c r="BB532" t="str">
        <f t="shared" si="26"/>
        <v xml:space="preserve">KAP400  </v>
      </c>
      <c r="BC532">
        <v>1</v>
      </c>
      <c r="BE532">
        <v>0</v>
      </c>
      <c r="BF532">
        <v>0</v>
      </c>
      <c r="BG532">
        <v>0</v>
      </c>
      <c r="BI532">
        <v>1</v>
      </c>
      <c r="BJ532">
        <v>1</v>
      </c>
      <c r="BK532">
        <v>1</v>
      </c>
      <c r="BL532">
        <v>0</v>
      </c>
      <c r="BO532">
        <v>0</v>
      </c>
      <c r="BP532">
        <v>0</v>
      </c>
      <c r="BW532" t="str">
        <f>"19:11:42.461"</f>
        <v>19:11:42.461</v>
      </c>
      <c r="BX532" t="s">
        <v>119</v>
      </c>
      <c r="BY532" t="s">
        <v>120</v>
      </c>
      <c r="CJ532">
        <v>0</v>
      </c>
      <c r="CK532">
        <v>0</v>
      </c>
      <c r="CL532">
        <v>0</v>
      </c>
      <c r="CM532">
        <v>2</v>
      </c>
      <c r="CN532">
        <v>0</v>
      </c>
      <c r="CO532">
        <v>7</v>
      </c>
      <c r="CP532" t="s">
        <v>121</v>
      </c>
      <c r="CQ532">
        <v>579</v>
      </c>
      <c r="CR532">
        <v>0</v>
      </c>
      <c r="CW532">
        <v>1300981</v>
      </c>
      <c r="CY532">
        <v>0</v>
      </c>
      <c r="CZ532">
        <v>0</v>
      </c>
      <c r="DA532">
        <v>0</v>
      </c>
      <c r="DB532">
        <v>1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</row>
    <row r="533" spans="1:113" x14ac:dyDescent="0.3">
      <c r="A533" t="str">
        <f>"06/16/2022 19:11:43.923"</f>
        <v>06/16/2022 19:11:43.923</v>
      </c>
      <c r="C533" t="str">
        <f t="shared" si="24"/>
        <v>FFBF5BC0</v>
      </c>
      <c r="D533" t="s">
        <v>113</v>
      </c>
      <c r="E533">
        <v>8</v>
      </c>
      <c r="H533">
        <v>206</v>
      </c>
      <c r="I533" t="s">
        <v>114</v>
      </c>
      <c r="J533" t="s">
        <v>115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>"19:11:43.570"</f>
        <v>19:11:43.570</v>
      </c>
      <c r="T533" t="str">
        <f>"19:11:43.570"</f>
        <v>19:11:43.570</v>
      </c>
      <c r="U533" t="str">
        <f t="shared" si="25"/>
        <v>AB63B2</v>
      </c>
      <c r="V533">
        <v>0</v>
      </c>
      <c r="W533">
        <v>0</v>
      </c>
      <c r="X533">
        <v>6</v>
      </c>
      <c r="Z533">
        <v>0</v>
      </c>
      <c r="AA533">
        <v>9</v>
      </c>
      <c r="AB533">
        <v>3</v>
      </c>
      <c r="AC533">
        <v>0</v>
      </c>
      <c r="AD533">
        <v>10</v>
      </c>
      <c r="AE533">
        <v>0</v>
      </c>
      <c r="AF533">
        <v>0</v>
      </c>
      <c r="AG533">
        <v>2</v>
      </c>
      <c r="AH533">
        <v>0</v>
      </c>
      <c r="AI533" t="s">
        <v>549</v>
      </c>
      <c r="AJ533">
        <v>41.971550000000001</v>
      </c>
      <c r="AK533" t="s">
        <v>536</v>
      </c>
      <c r="AL533">
        <v>-87.901331999999996</v>
      </c>
      <c r="AS533">
        <v>1</v>
      </c>
      <c r="AT533" t="s">
        <v>118</v>
      </c>
      <c r="AU533" t="b">
        <v>1</v>
      </c>
      <c r="AV533">
        <v>180</v>
      </c>
      <c r="AW533">
        <v>4.625</v>
      </c>
      <c r="AX533">
        <v>1</v>
      </c>
      <c r="AZ533">
        <v>7205</v>
      </c>
      <c r="BA533">
        <v>1</v>
      </c>
      <c r="BB533" t="str">
        <f t="shared" si="26"/>
        <v xml:space="preserve">KAP400  </v>
      </c>
      <c r="BC533">
        <v>1</v>
      </c>
      <c r="BE533">
        <v>0</v>
      </c>
      <c r="BF533">
        <v>0</v>
      </c>
      <c r="BG533">
        <v>0</v>
      </c>
      <c r="BI533">
        <v>1</v>
      </c>
      <c r="BJ533">
        <v>1</v>
      </c>
      <c r="BK533">
        <v>1</v>
      </c>
      <c r="BL533">
        <v>0</v>
      </c>
      <c r="BO533">
        <v>0</v>
      </c>
      <c r="BP533">
        <v>0</v>
      </c>
      <c r="BW533" t="str">
        <f>"19:11:43.572"</f>
        <v>19:11:43.572</v>
      </c>
      <c r="BX533" t="s">
        <v>119</v>
      </c>
      <c r="BY533" t="s">
        <v>120</v>
      </c>
      <c r="CJ533">
        <v>0</v>
      </c>
      <c r="CK533">
        <v>0</v>
      </c>
      <c r="CL533">
        <v>0</v>
      </c>
      <c r="CM533">
        <v>2</v>
      </c>
      <c r="CN533">
        <v>0</v>
      </c>
      <c r="CO533">
        <v>7</v>
      </c>
      <c r="CP533" t="s">
        <v>121</v>
      </c>
      <c r="CQ533">
        <v>579</v>
      </c>
      <c r="CR533">
        <v>0</v>
      </c>
      <c r="CW533">
        <v>1303203</v>
      </c>
      <c r="CY533">
        <v>0</v>
      </c>
      <c r="CZ533">
        <v>0</v>
      </c>
      <c r="DA533">
        <v>0</v>
      </c>
      <c r="DB533">
        <v>1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</row>
    <row r="534" spans="1:113" x14ac:dyDescent="0.3">
      <c r="A534" t="str">
        <f>"06/16/2022 19:11:44.767"</f>
        <v>06/16/2022 19:11:44.767</v>
      </c>
      <c r="C534" t="str">
        <f t="shared" si="24"/>
        <v>FFBF5BC0</v>
      </c>
      <c r="D534" t="s">
        <v>113</v>
      </c>
      <c r="E534">
        <v>8</v>
      </c>
      <c r="H534">
        <v>206</v>
      </c>
      <c r="I534" t="s">
        <v>114</v>
      </c>
      <c r="J534" t="s">
        <v>115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>"19:11:44.461"</f>
        <v>19:11:44.461</v>
      </c>
      <c r="T534" t="str">
        <f>"19:11:44.461"</f>
        <v>19:11:44.461</v>
      </c>
      <c r="U534" t="str">
        <f t="shared" si="25"/>
        <v>AB63B2</v>
      </c>
      <c r="V534">
        <v>0</v>
      </c>
      <c r="W534">
        <v>0</v>
      </c>
      <c r="X534">
        <v>6</v>
      </c>
      <c r="Z534">
        <v>0</v>
      </c>
      <c r="AA534">
        <v>9</v>
      </c>
      <c r="AB534">
        <v>3</v>
      </c>
      <c r="AC534">
        <v>0</v>
      </c>
      <c r="AD534">
        <v>10</v>
      </c>
      <c r="AE534">
        <v>0</v>
      </c>
      <c r="AF534">
        <v>0</v>
      </c>
      <c r="AG534">
        <v>2</v>
      </c>
      <c r="AH534">
        <v>0</v>
      </c>
      <c r="AI534" t="s">
        <v>549</v>
      </c>
      <c r="AJ534">
        <v>41.971550000000001</v>
      </c>
      <c r="AK534" t="s">
        <v>536</v>
      </c>
      <c r="AL534">
        <v>-87.901331999999996</v>
      </c>
      <c r="AS534">
        <v>1</v>
      </c>
      <c r="AT534" t="s">
        <v>118</v>
      </c>
      <c r="AU534" t="b">
        <v>1</v>
      </c>
      <c r="AV534">
        <v>180</v>
      </c>
      <c r="AW534">
        <v>5.125</v>
      </c>
      <c r="AX534">
        <v>1</v>
      </c>
      <c r="AZ534">
        <v>7205</v>
      </c>
      <c r="BA534">
        <v>1</v>
      </c>
      <c r="BB534" t="str">
        <f t="shared" si="26"/>
        <v xml:space="preserve">KAP400  </v>
      </c>
      <c r="BC534">
        <v>1</v>
      </c>
      <c r="BE534">
        <v>0</v>
      </c>
      <c r="BF534">
        <v>0</v>
      </c>
      <c r="BG534">
        <v>0</v>
      </c>
      <c r="BI534">
        <v>1</v>
      </c>
      <c r="BJ534">
        <v>1</v>
      </c>
      <c r="BK534">
        <v>1</v>
      </c>
      <c r="BL534">
        <v>0</v>
      </c>
      <c r="BO534">
        <v>0</v>
      </c>
      <c r="BP534">
        <v>0</v>
      </c>
      <c r="BW534" t="str">
        <f>"19:11:44.462"</f>
        <v>19:11:44.462</v>
      </c>
      <c r="BX534" t="s">
        <v>119</v>
      </c>
      <c r="BY534" t="s">
        <v>120</v>
      </c>
      <c r="CJ534">
        <v>0</v>
      </c>
      <c r="CK534">
        <v>0</v>
      </c>
      <c r="CL534">
        <v>0</v>
      </c>
      <c r="CM534">
        <v>2</v>
      </c>
      <c r="CN534">
        <v>0</v>
      </c>
      <c r="CO534">
        <v>7</v>
      </c>
      <c r="CP534" t="s">
        <v>121</v>
      </c>
      <c r="CQ534">
        <v>579</v>
      </c>
      <c r="CR534">
        <v>0</v>
      </c>
      <c r="CW534">
        <v>1305083</v>
      </c>
      <c r="CY534">
        <v>0</v>
      </c>
      <c r="CZ534">
        <v>0</v>
      </c>
      <c r="DA534">
        <v>0</v>
      </c>
      <c r="DB534">
        <v>1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</row>
    <row r="535" spans="1:113" x14ac:dyDescent="0.3">
      <c r="A535" t="str">
        <f>"06/16/2022 19:11:45.767"</f>
        <v>06/16/2022 19:11:45.767</v>
      </c>
      <c r="C535" t="str">
        <f t="shared" si="24"/>
        <v>FFBF5BC0</v>
      </c>
      <c r="D535" t="s">
        <v>113</v>
      </c>
      <c r="E535">
        <v>8</v>
      </c>
      <c r="H535">
        <v>206</v>
      </c>
      <c r="I535" t="s">
        <v>114</v>
      </c>
      <c r="J535" t="s">
        <v>115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>"19:11:45.531"</f>
        <v>19:11:45.531</v>
      </c>
      <c r="T535" t="str">
        <f>"19:11:45.531"</f>
        <v>19:11:45.531</v>
      </c>
      <c r="U535" t="str">
        <f t="shared" si="25"/>
        <v>AB63B2</v>
      </c>
      <c r="V535">
        <v>0</v>
      </c>
      <c r="W535">
        <v>0</v>
      </c>
      <c r="X535">
        <v>6</v>
      </c>
      <c r="Z535">
        <v>0</v>
      </c>
      <c r="AA535">
        <v>9</v>
      </c>
      <c r="AB535">
        <v>3</v>
      </c>
      <c r="AC535">
        <v>0</v>
      </c>
      <c r="AD535">
        <v>10</v>
      </c>
      <c r="AE535">
        <v>0</v>
      </c>
      <c r="AF535">
        <v>0</v>
      </c>
      <c r="AG535">
        <v>2</v>
      </c>
      <c r="AH535">
        <v>0</v>
      </c>
      <c r="AI535" t="s">
        <v>550</v>
      </c>
      <c r="AJ535">
        <v>41.971507000000003</v>
      </c>
      <c r="AK535" t="s">
        <v>536</v>
      </c>
      <c r="AL535">
        <v>-87.901331999999996</v>
      </c>
      <c r="AS535">
        <v>1</v>
      </c>
      <c r="AT535" t="s">
        <v>118</v>
      </c>
      <c r="AU535" t="b">
        <v>1</v>
      </c>
      <c r="AV535">
        <v>180</v>
      </c>
      <c r="AW535">
        <v>5.125</v>
      </c>
      <c r="AX535">
        <v>1</v>
      </c>
      <c r="AZ535">
        <v>7205</v>
      </c>
      <c r="BA535">
        <v>1</v>
      </c>
      <c r="BB535" t="str">
        <f t="shared" si="26"/>
        <v xml:space="preserve">KAP400  </v>
      </c>
      <c r="BC535">
        <v>1</v>
      </c>
      <c r="BE535">
        <v>0</v>
      </c>
      <c r="BF535">
        <v>0</v>
      </c>
      <c r="BG535">
        <v>0</v>
      </c>
      <c r="BI535">
        <v>1</v>
      </c>
      <c r="BJ535">
        <v>1</v>
      </c>
      <c r="BK535">
        <v>1</v>
      </c>
      <c r="BL535">
        <v>0</v>
      </c>
      <c r="BO535">
        <v>0</v>
      </c>
      <c r="BP535">
        <v>0</v>
      </c>
      <c r="BW535" t="str">
        <f>"19:11:45.532"</f>
        <v>19:11:45.532</v>
      </c>
      <c r="BX535" t="s">
        <v>119</v>
      </c>
      <c r="BY535" t="s">
        <v>120</v>
      </c>
      <c r="CJ535">
        <v>0</v>
      </c>
      <c r="CK535">
        <v>0</v>
      </c>
      <c r="CL535">
        <v>0</v>
      </c>
      <c r="CM535">
        <v>2</v>
      </c>
      <c r="CN535">
        <v>0</v>
      </c>
      <c r="CO535">
        <v>0</v>
      </c>
      <c r="CP535" t="s">
        <v>121</v>
      </c>
      <c r="CQ535">
        <v>579</v>
      </c>
      <c r="CR535">
        <v>0</v>
      </c>
      <c r="CW535">
        <v>1307389</v>
      </c>
      <c r="CY535">
        <v>0</v>
      </c>
      <c r="CZ535">
        <v>0</v>
      </c>
      <c r="DA535">
        <v>0</v>
      </c>
      <c r="DB535">
        <v>1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</row>
    <row r="536" spans="1:113" x14ac:dyDescent="0.3">
      <c r="A536" t="str">
        <f>"06/16/2022 19:11:46.752"</f>
        <v>06/16/2022 19:11:46.752</v>
      </c>
      <c r="C536" t="str">
        <f t="shared" si="24"/>
        <v>FFBF5BC0</v>
      </c>
      <c r="D536" t="s">
        <v>113</v>
      </c>
      <c r="E536">
        <v>8</v>
      </c>
      <c r="H536">
        <v>206</v>
      </c>
      <c r="I536" t="s">
        <v>114</v>
      </c>
      <c r="J536" t="s">
        <v>115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>"19:11:46.547"</f>
        <v>19:11:46.547</v>
      </c>
      <c r="T536" t="str">
        <f>"19:11:46.547"</f>
        <v>19:11:46.547</v>
      </c>
      <c r="U536" t="str">
        <f t="shared" si="25"/>
        <v>AB63B2</v>
      </c>
      <c r="V536">
        <v>0</v>
      </c>
      <c r="W536">
        <v>0</v>
      </c>
      <c r="X536">
        <v>6</v>
      </c>
      <c r="Z536">
        <v>0</v>
      </c>
      <c r="AA536">
        <v>9</v>
      </c>
      <c r="AB536">
        <v>3</v>
      </c>
      <c r="AC536">
        <v>0</v>
      </c>
      <c r="AD536">
        <v>10</v>
      </c>
      <c r="AE536">
        <v>0</v>
      </c>
      <c r="AF536">
        <v>0</v>
      </c>
      <c r="AG536">
        <v>2</v>
      </c>
      <c r="AH536">
        <v>0</v>
      </c>
      <c r="AI536" t="s">
        <v>551</v>
      </c>
      <c r="AJ536">
        <v>41.971485999999999</v>
      </c>
      <c r="AK536" t="s">
        <v>536</v>
      </c>
      <c r="AL536">
        <v>-87.901331999999996</v>
      </c>
      <c r="AS536">
        <v>1</v>
      </c>
      <c r="AT536" t="s">
        <v>118</v>
      </c>
      <c r="AU536" t="b">
        <v>1</v>
      </c>
      <c r="AV536">
        <v>180</v>
      </c>
      <c r="AW536">
        <v>5.625</v>
      </c>
      <c r="AX536">
        <v>1</v>
      </c>
      <c r="AZ536">
        <v>7205</v>
      </c>
      <c r="BA536">
        <v>1</v>
      </c>
      <c r="BB536" t="str">
        <f t="shared" si="26"/>
        <v xml:space="preserve">KAP400  </v>
      </c>
      <c r="BC536">
        <v>1</v>
      </c>
      <c r="BE536">
        <v>0</v>
      </c>
      <c r="BF536">
        <v>0</v>
      </c>
      <c r="BG536">
        <v>0</v>
      </c>
      <c r="BI536">
        <v>1</v>
      </c>
      <c r="BJ536">
        <v>1</v>
      </c>
      <c r="BK536">
        <v>1</v>
      </c>
      <c r="BL536">
        <v>0</v>
      </c>
      <c r="BO536">
        <v>0</v>
      </c>
      <c r="BP536">
        <v>0</v>
      </c>
      <c r="BW536" t="str">
        <f>"19:11:46.554"</f>
        <v>19:11:46.554</v>
      </c>
      <c r="BX536" t="s">
        <v>119</v>
      </c>
      <c r="BY536" t="s">
        <v>120</v>
      </c>
      <c r="CJ536">
        <v>0</v>
      </c>
      <c r="CK536">
        <v>0</v>
      </c>
      <c r="CL536">
        <v>0</v>
      </c>
      <c r="CM536">
        <v>2</v>
      </c>
      <c r="CN536">
        <v>0</v>
      </c>
      <c r="CO536">
        <v>0</v>
      </c>
      <c r="CP536" t="s">
        <v>121</v>
      </c>
      <c r="CQ536">
        <v>579</v>
      </c>
      <c r="CR536">
        <v>0</v>
      </c>
      <c r="CW536">
        <v>1309434</v>
      </c>
      <c r="CY536">
        <v>0</v>
      </c>
      <c r="CZ536">
        <v>0</v>
      </c>
      <c r="DA536">
        <v>0</v>
      </c>
      <c r="DB536">
        <v>1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</row>
    <row r="537" spans="1:113" x14ac:dyDescent="0.3">
      <c r="A537" t="str">
        <f>"06/16/2022 19:11:47.939"</f>
        <v>06/16/2022 19:11:47.939</v>
      </c>
      <c r="C537" t="str">
        <f t="shared" si="24"/>
        <v>FFBF5BC0</v>
      </c>
      <c r="D537" t="s">
        <v>113</v>
      </c>
      <c r="E537">
        <v>8</v>
      </c>
      <c r="H537">
        <v>206</v>
      </c>
      <c r="I537" t="s">
        <v>114</v>
      </c>
      <c r="J537" t="s">
        <v>115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>"19:11:47.734"</f>
        <v>19:11:47.734</v>
      </c>
      <c r="T537" t="str">
        <f>"19:11:47.734"</f>
        <v>19:11:47.734</v>
      </c>
      <c r="U537" t="str">
        <f t="shared" si="25"/>
        <v>AB63B2</v>
      </c>
      <c r="V537">
        <v>0</v>
      </c>
      <c r="W537">
        <v>0</v>
      </c>
      <c r="X537">
        <v>6</v>
      </c>
      <c r="Z537">
        <v>0</v>
      </c>
      <c r="AA537">
        <v>9</v>
      </c>
      <c r="AB537">
        <v>3</v>
      </c>
      <c r="AC537">
        <v>0</v>
      </c>
      <c r="AD537">
        <v>10</v>
      </c>
      <c r="AE537">
        <v>0</v>
      </c>
      <c r="AF537">
        <v>0</v>
      </c>
      <c r="AG537">
        <v>2</v>
      </c>
      <c r="AH537">
        <v>0</v>
      </c>
      <c r="AI537" t="s">
        <v>552</v>
      </c>
      <c r="AJ537">
        <v>41.971463999999997</v>
      </c>
      <c r="AK537" t="s">
        <v>536</v>
      </c>
      <c r="AL537">
        <v>-87.901331999999996</v>
      </c>
      <c r="AS537">
        <v>1</v>
      </c>
      <c r="AT537" t="s">
        <v>118</v>
      </c>
      <c r="AU537" t="b">
        <v>1</v>
      </c>
      <c r="AV537">
        <v>180</v>
      </c>
      <c r="AW537">
        <v>6.125</v>
      </c>
      <c r="AX537">
        <v>1</v>
      </c>
      <c r="AZ537">
        <v>7205</v>
      </c>
      <c r="BA537">
        <v>1</v>
      </c>
      <c r="BB537" t="str">
        <f t="shared" si="26"/>
        <v xml:space="preserve">KAP400  </v>
      </c>
      <c r="BC537">
        <v>1</v>
      </c>
      <c r="BE537">
        <v>0</v>
      </c>
      <c r="BF537">
        <v>0</v>
      </c>
      <c r="BG537">
        <v>0</v>
      </c>
      <c r="BI537">
        <v>1</v>
      </c>
      <c r="BJ537">
        <v>1</v>
      </c>
      <c r="BK537">
        <v>1</v>
      </c>
      <c r="BL537">
        <v>0</v>
      </c>
      <c r="BO537">
        <v>0</v>
      </c>
      <c r="BP537">
        <v>0</v>
      </c>
      <c r="BW537" t="str">
        <f>"19:11:47.737"</f>
        <v>19:11:47.737</v>
      </c>
      <c r="BX537" t="s">
        <v>119</v>
      </c>
      <c r="BY537" t="s">
        <v>120</v>
      </c>
      <c r="CJ537">
        <v>0</v>
      </c>
      <c r="CK537">
        <v>0</v>
      </c>
      <c r="CL537">
        <v>0</v>
      </c>
      <c r="CM537">
        <v>2</v>
      </c>
      <c r="CN537">
        <v>0</v>
      </c>
      <c r="CO537">
        <v>7</v>
      </c>
      <c r="CP537" t="s">
        <v>121</v>
      </c>
      <c r="CQ537">
        <v>579</v>
      </c>
      <c r="CR537">
        <v>0</v>
      </c>
      <c r="CW537">
        <v>1311776</v>
      </c>
      <c r="CY537">
        <v>0</v>
      </c>
      <c r="CZ537">
        <v>0</v>
      </c>
      <c r="DA537">
        <v>0</v>
      </c>
      <c r="DB537">
        <v>1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</row>
    <row r="538" spans="1:113" x14ac:dyDescent="0.3">
      <c r="A538" t="str">
        <f>"06/16/2022 19:11:49.095"</f>
        <v>06/16/2022 19:11:49.095</v>
      </c>
      <c r="C538" t="str">
        <f t="shared" si="24"/>
        <v>FFBF5BC0</v>
      </c>
      <c r="D538" t="s">
        <v>113</v>
      </c>
      <c r="E538">
        <v>8</v>
      </c>
      <c r="H538">
        <v>206</v>
      </c>
      <c r="I538" t="s">
        <v>114</v>
      </c>
      <c r="J538" t="s">
        <v>115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>"19:11:48.742"</f>
        <v>19:11:48.742</v>
      </c>
      <c r="T538" t="str">
        <f>"19:11:48.742"</f>
        <v>19:11:48.742</v>
      </c>
      <c r="U538" t="str">
        <f t="shared" si="25"/>
        <v>AB63B2</v>
      </c>
      <c r="V538">
        <v>0</v>
      </c>
      <c r="W538">
        <v>0</v>
      </c>
      <c r="X538">
        <v>6</v>
      </c>
      <c r="Z538">
        <v>0</v>
      </c>
      <c r="AA538">
        <v>9</v>
      </c>
      <c r="AB538">
        <v>3</v>
      </c>
      <c r="AC538">
        <v>0</v>
      </c>
      <c r="AD538">
        <v>10</v>
      </c>
      <c r="AE538">
        <v>0</v>
      </c>
      <c r="AF538">
        <v>0</v>
      </c>
      <c r="AG538">
        <v>2</v>
      </c>
      <c r="AH538">
        <v>0</v>
      </c>
      <c r="AI538" t="s">
        <v>553</v>
      </c>
      <c r="AJ538">
        <v>41.971443000000001</v>
      </c>
      <c r="AK538" t="s">
        <v>536</v>
      </c>
      <c r="AL538">
        <v>-87.901331999999996</v>
      </c>
      <c r="AS538">
        <v>1</v>
      </c>
      <c r="AT538" t="s">
        <v>118</v>
      </c>
      <c r="AU538" t="b">
        <v>1</v>
      </c>
      <c r="AV538">
        <v>180</v>
      </c>
      <c r="AW538">
        <v>7.125</v>
      </c>
      <c r="AX538">
        <v>1</v>
      </c>
      <c r="AZ538">
        <v>7205</v>
      </c>
      <c r="BA538">
        <v>1</v>
      </c>
      <c r="BB538" t="str">
        <f t="shared" si="26"/>
        <v xml:space="preserve">KAP400  </v>
      </c>
      <c r="BC538">
        <v>1</v>
      </c>
      <c r="BE538">
        <v>0</v>
      </c>
      <c r="BF538">
        <v>0</v>
      </c>
      <c r="BG538">
        <v>0</v>
      </c>
      <c r="BI538">
        <v>1</v>
      </c>
      <c r="BJ538">
        <v>1</v>
      </c>
      <c r="BK538">
        <v>1</v>
      </c>
      <c r="BL538">
        <v>0</v>
      </c>
      <c r="BO538">
        <v>0</v>
      </c>
      <c r="BP538">
        <v>0</v>
      </c>
      <c r="BW538" t="str">
        <f>"19:11:48.746"</f>
        <v>19:11:48.746</v>
      </c>
      <c r="BX538" t="s">
        <v>119</v>
      </c>
      <c r="BY538" t="s">
        <v>120</v>
      </c>
      <c r="CJ538">
        <v>0</v>
      </c>
      <c r="CK538">
        <v>0</v>
      </c>
      <c r="CL538">
        <v>0</v>
      </c>
      <c r="CM538">
        <v>2</v>
      </c>
      <c r="CN538">
        <v>0</v>
      </c>
      <c r="CO538">
        <v>7</v>
      </c>
      <c r="CP538" t="s">
        <v>121</v>
      </c>
      <c r="CQ538">
        <v>579</v>
      </c>
      <c r="CR538">
        <v>0</v>
      </c>
      <c r="CW538">
        <v>1313770</v>
      </c>
      <c r="CY538">
        <v>0</v>
      </c>
      <c r="CZ538">
        <v>0</v>
      </c>
      <c r="DA538">
        <v>0</v>
      </c>
      <c r="DB538">
        <v>1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</row>
    <row r="539" spans="1:113" x14ac:dyDescent="0.3">
      <c r="A539" t="str">
        <f>"06/16/2022 19:11:50.111"</f>
        <v>06/16/2022 19:11:50.111</v>
      </c>
      <c r="C539" t="str">
        <f t="shared" si="24"/>
        <v>FFBF5BC0</v>
      </c>
      <c r="D539" t="s">
        <v>113</v>
      </c>
      <c r="E539">
        <v>8</v>
      </c>
      <c r="H539">
        <v>206</v>
      </c>
      <c r="I539" t="s">
        <v>114</v>
      </c>
      <c r="J539" t="s">
        <v>115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>"19:11:49.883"</f>
        <v>19:11:49.883</v>
      </c>
      <c r="T539" t="str">
        <f>"19:11:49.883"</f>
        <v>19:11:49.883</v>
      </c>
      <c r="U539" t="str">
        <f t="shared" si="25"/>
        <v>AB63B2</v>
      </c>
      <c r="V539">
        <v>0</v>
      </c>
      <c r="W539">
        <v>0</v>
      </c>
      <c r="X539">
        <v>6</v>
      </c>
      <c r="Z539">
        <v>0</v>
      </c>
      <c r="AA539">
        <v>9</v>
      </c>
      <c r="AB539">
        <v>3</v>
      </c>
      <c r="AC539">
        <v>0</v>
      </c>
      <c r="AD539">
        <v>10</v>
      </c>
      <c r="AE539">
        <v>0</v>
      </c>
      <c r="AF539">
        <v>0</v>
      </c>
      <c r="AG539">
        <v>2</v>
      </c>
      <c r="AH539">
        <v>0</v>
      </c>
      <c r="AI539" t="s">
        <v>554</v>
      </c>
      <c r="AJ539">
        <v>41.971400000000003</v>
      </c>
      <c r="AK539" t="s">
        <v>536</v>
      </c>
      <c r="AL539">
        <v>-87.901331999999996</v>
      </c>
      <c r="AS539">
        <v>1</v>
      </c>
      <c r="AT539" t="s">
        <v>118</v>
      </c>
      <c r="AU539" t="b">
        <v>1</v>
      </c>
      <c r="AV539">
        <v>180</v>
      </c>
      <c r="AW539">
        <v>7.125</v>
      </c>
      <c r="AX539">
        <v>1</v>
      </c>
      <c r="AZ539">
        <v>7205</v>
      </c>
      <c r="BA539">
        <v>1</v>
      </c>
      <c r="BB539" t="str">
        <f t="shared" si="26"/>
        <v xml:space="preserve">KAP400  </v>
      </c>
      <c r="BC539">
        <v>1</v>
      </c>
      <c r="BE539">
        <v>0</v>
      </c>
      <c r="BF539">
        <v>0</v>
      </c>
      <c r="BG539">
        <v>0</v>
      </c>
      <c r="BI539">
        <v>1</v>
      </c>
      <c r="BJ539">
        <v>1</v>
      </c>
      <c r="BK539">
        <v>1</v>
      </c>
      <c r="BL539">
        <v>0</v>
      </c>
      <c r="BO539">
        <v>0</v>
      </c>
      <c r="BP539">
        <v>0</v>
      </c>
      <c r="BW539" t="str">
        <f>"19:11:49.886"</f>
        <v>19:11:49.886</v>
      </c>
      <c r="BX539" t="s">
        <v>119</v>
      </c>
      <c r="BY539" t="s">
        <v>120</v>
      </c>
      <c r="CJ539">
        <v>0</v>
      </c>
      <c r="CK539">
        <v>0</v>
      </c>
      <c r="CL539">
        <v>0</v>
      </c>
      <c r="CM539">
        <v>2</v>
      </c>
      <c r="CN539">
        <v>0</v>
      </c>
      <c r="CO539">
        <v>7</v>
      </c>
      <c r="CP539" t="s">
        <v>121</v>
      </c>
      <c r="CQ539">
        <v>579</v>
      </c>
      <c r="CR539">
        <v>0</v>
      </c>
      <c r="CW539">
        <v>1316116</v>
      </c>
      <c r="CY539">
        <v>0</v>
      </c>
      <c r="CZ539">
        <v>0</v>
      </c>
      <c r="DA539">
        <v>0</v>
      </c>
      <c r="DB539">
        <v>1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</row>
    <row r="540" spans="1:113" x14ac:dyDescent="0.3">
      <c r="A540" t="str">
        <f>"06/16/2022 19:11:51.267"</f>
        <v>06/16/2022 19:11:51.267</v>
      </c>
      <c r="C540" t="str">
        <f t="shared" si="24"/>
        <v>FFBF5BC0</v>
      </c>
      <c r="D540" t="s">
        <v>113</v>
      </c>
      <c r="E540">
        <v>8</v>
      </c>
      <c r="H540">
        <v>206</v>
      </c>
      <c r="I540" t="s">
        <v>114</v>
      </c>
      <c r="J540" t="s">
        <v>115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>"19:11:51.016"</f>
        <v>19:11:51.016</v>
      </c>
      <c r="T540" t="str">
        <f>"19:11:51.016"</f>
        <v>19:11:51.016</v>
      </c>
      <c r="U540" t="str">
        <f t="shared" si="25"/>
        <v>AB63B2</v>
      </c>
      <c r="V540">
        <v>0</v>
      </c>
      <c r="W540">
        <v>0</v>
      </c>
      <c r="X540">
        <v>6</v>
      </c>
      <c r="Z540">
        <v>0</v>
      </c>
      <c r="AA540">
        <v>9</v>
      </c>
      <c r="AB540">
        <v>3</v>
      </c>
      <c r="AC540">
        <v>0</v>
      </c>
      <c r="AD540">
        <v>10</v>
      </c>
      <c r="AE540">
        <v>0</v>
      </c>
      <c r="AF540">
        <v>0</v>
      </c>
      <c r="AG540">
        <v>2</v>
      </c>
      <c r="AH540">
        <v>0</v>
      </c>
      <c r="AI540" t="s">
        <v>555</v>
      </c>
      <c r="AJ540">
        <v>41.971356999999998</v>
      </c>
      <c r="AK540" t="s">
        <v>536</v>
      </c>
      <c r="AL540">
        <v>-87.901331999999996</v>
      </c>
      <c r="AS540">
        <v>1</v>
      </c>
      <c r="AT540" t="s">
        <v>118</v>
      </c>
      <c r="AU540" t="b">
        <v>1</v>
      </c>
      <c r="AV540">
        <v>180</v>
      </c>
      <c r="AW540">
        <v>8.125</v>
      </c>
      <c r="AX540">
        <v>1</v>
      </c>
      <c r="AZ540">
        <v>7205</v>
      </c>
      <c r="BA540">
        <v>1</v>
      </c>
      <c r="BB540" t="str">
        <f t="shared" si="26"/>
        <v xml:space="preserve">KAP400  </v>
      </c>
      <c r="BC540">
        <v>1</v>
      </c>
      <c r="BE540">
        <v>0</v>
      </c>
      <c r="BF540">
        <v>0</v>
      </c>
      <c r="BG540">
        <v>0</v>
      </c>
      <c r="BI540">
        <v>1</v>
      </c>
      <c r="BJ540">
        <v>1</v>
      </c>
      <c r="BK540">
        <v>1</v>
      </c>
      <c r="BL540">
        <v>0</v>
      </c>
      <c r="BO540">
        <v>0</v>
      </c>
      <c r="BP540">
        <v>0</v>
      </c>
      <c r="BW540" t="str">
        <f>"19:11:51.022"</f>
        <v>19:11:51.022</v>
      </c>
      <c r="BX540" t="s">
        <v>119</v>
      </c>
      <c r="BY540" t="s">
        <v>120</v>
      </c>
      <c r="CJ540">
        <v>0</v>
      </c>
      <c r="CK540">
        <v>0</v>
      </c>
      <c r="CL540">
        <v>0</v>
      </c>
      <c r="CM540">
        <v>2</v>
      </c>
      <c r="CN540">
        <v>0</v>
      </c>
      <c r="CO540">
        <v>7</v>
      </c>
      <c r="CP540" t="s">
        <v>121</v>
      </c>
      <c r="CQ540">
        <v>579</v>
      </c>
      <c r="CR540">
        <v>0</v>
      </c>
      <c r="CW540">
        <v>1318424</v>
      </c>
      <c r="CY540">
        <v>0</v>
      </c>
      <c r="CZ540">
        <v>0</v>
      </c>
      <c r="DA540">
        <v>0</v>
      </c>
      <c r="DB540">
        <v>1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</row>
    <row r="541" spans="1:113" x14ac:dyDescent="0.3">
      <c r="A541" t="str">
        <f>"06/16/2022 19:11:52.142"</f>
        <v>06/16/2022 19:11:52.142</v>
      </c>
      <c r="C541" t="str">
        <f t="shared" si="24"/>
        <v>FFBF5BC0</v>
      </c>
      <c r="D541" t="s">
        <v>113</v>
      </c>
      <c r="E541">
        <v>8</v>
      </c>
      <c r="H541">
        <v>206</v>
      </c>
      <c r="I541" t="s">
        <v>114</v>
      </c>
      <c r="J541" t="s">
        <v>115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>"19:11:51.906"</f>
        <v>19:11:51.906</v>
      </c>
      <c r="T541" t="str">
        <f>"19:11:51.906"</f>
        <v>19:11:51.906</v>
      </c>
      <c r="U541" t="str">
        <f t="shared" si="25"/>
        <v>AB63B2</v>
      </c>
      <c r="V541">
        <v>0</v>
      </c>
      <c r="W541">
        <v>0</v>
      </c>
      <c r="X541">
        <v>6</v>
      </c>
      <c r="Z541">
        <v>0</v>
      </c>
      <c r="AA541">
        <v>9</v>
      </c>
      <c r="AB541">
        <v>3</v>
      </c>
      <c r="AC541">
        <v>0</v>
      </c>
      <c r="AD541">
        <v>10</v>
      </c>
      <c r="AE541">
        <v>0</v>
      </c>
      <c r="AF541">
        <v>0</v>
      </c>
      <c r="AG541">
        <v>2</v>
      </c>
      <c r="AH541">
        <v>0</v>
      </c>
      <c r="AI541" t="s">
        <v>556</v>
      </c>
      <c r="AJ541">
        <v>41.971314</v>
      </c>
      <c r="AK541" t="s">
        <v>536</v>
      </c>
      <c r="AL541">
        <v>-87.901331999999996</v>
      </c>
      <c r="AS541">
        <v>1</v>
      </c>
      <c r="AT541" t="s">
        <v>118</v>
      </c>
      <c r="AU541" t="b">
        <v>1</v>
      </c>
      <c r="AV541">
        <v>180</v>
      </c>
      <c r="AW541">
        <v>8.125</v>
      </c>
      <c r="AX541">
        <v>1</v>
      </c>
      <c r="AZ541">
        <v>7205</v>
      </c>
      <c r="BA541">
        <v>1</v>
      </c>
      <c r="BB541" t="str">
        <f t="shared" si="26"/>
        <v xml:space="preserve">KAP400  </v>
      </c>
      <c r="BC541">
        <v>1</v>
      </c>
      <c r="BE541">
        <v>0</v>
      </c>
      <c r="BF541">
        <v>0</v>
      </c>
      <c r="BG541">
        <v>0</v>
      </c>
      <c r="BI541">
        <v>1</v>
      </c>
      <c r="BJ541">
        <v>1</v>
      </c>
      <c r="BK541">
        <v>1</v>
      </c>
      <c r="BL541">
        <v>0</v>
      </c>
      <c r="BO541">
        <v>0</v>
      </c>
      <c r="BP541">
        <v>0</v>
      </c>
      <c r="BW541" t="str">
        <f>"19:11:51.908"</f>
        <v>19:11:51.908</v>
      </c>
      <c r="BX541" t="s">
        <v>119</v>
      </c>
      <c r="BY541" t="s">
        <v>120</v>
      </c>
      <c r="CJ541">
        <v>0</v>
      </c>
      <c r="CK541">
        <v>0</v>
      </c>
      <c r="CL541">
        <v>0</v>
      </c>
      <c r="CM541">
        <v>2</v>
      </c>
      <c r="CN541">
        <v>0</v>
      </c>
      <c r="CO541">
        <v>7</v>
      </c>
      <c r="CP541" t="s">
        <v>121</v>
      </c>
      <c r="CQ541">
        <v>579</v>
      </c>
      <c r="CR541">
        <v>0</v>
      </c>
      <c r="CW541">
        <v>1320094</v>
      </c>
      <c r="CY541">
        <v>0</v>
      </c>
      <c r="CZ541">
        <v>0</v>
      </c>
      <c r="DA541">
        <v>0</v>
      </c>
      <c r="DB541">
        <v>1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</row>
    <row r="542" spans="1:113" x14ac:dyDescent="0.3">
      <c r="A542" t="str">
        <f>"06/16/2022 19:11:53.095"</f>
        <v>06/16/2022 19:11:53.095</v>
      </c>
      <c r="C542" t="str">
        <f t="shared" si="24"/>
        <v>FFBF5BC0</v>
      </c>
      <c r="D542" t="s">
        <v>113</v>
      </c>
      <c r="E542">
        <v>8</v>
      </c>
      <c r="H542">
        <v>206</v>
      </c>
      <c r="I542" t="s">
        <v>114</v>
      </c>
      <c r="J542" t="s">
        <v>115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>"19:11:52.883"</f>
        <v>19:11:52.883</v>
      </c>
      <c r="T542" t="str">
        <f>"19:11:52.883"</f>
        <v>19:11:52.883</v>
      </c>
      <c r="U542" t="str">
        <f t="shared" si="25"/>
        <v>AB63B2</v>
      </c>
      <c r="V542">
        <v>0</v>
      </c>
      <c r="W542">
        <v>0</v>
      </c>
      <c r="X542">
        <v>6</v>
      </c>
      <c r="Z542">
        <v>0</v>
      </c>
      <c r="AA542">
        <v>9</v>
      </c>
      <c r="AB542">
        <v>3</v>
      </c>
      <c r="AC542">
        <v>0</v>
      </c>
      <c r="AD542">
        <v>10</v>
      </c>
      <c r="AE542">
        <v>0</v>
      </c>
      <c r="AF542">
        <v>0</v>
      </c>
      <c r="AG542">
        <v>2</v>
      </c>
      <c r="AH542">
        <v>0</v>
      </c>
      <c r="AI542" t="s">
        <v>557</v>
      </c>
      <c r="AJ542">
        <v>41.971291999999998</v>
      </c>
      <c r="AK542" t="s">
        <v>536</v>
      </c>
      <c r="AL542">
        <v>-87.901331999999996</v>
      </c>
      <c r="AS542">
        <v>1</v>
      </c>
      <c r="AT542" t="s">
        <v>118</v>
      </c>
      <c r="AU542" t="b">
        <v>1</v>
      </c>
      <c r="AV542">
        <v>180</v>
      </c>
      <c r="AW542">
        <v>9.125</v>
      </c>
      <c r="AX542">
        <v>1</v>
      </c>
      <c r="AZ542">
        <v>7205</v>
      </c>
      <c r="BA542">
        <v>1</v>
      </c>
      <c r="BB542" t="str">
        <f t="shared" si="26"/>
        <v xml:space="preserve">KAP400  </v>
      </c>
      <c r="BC542">
        <v>1</v>
      </c>
      <c r="BE542">
        <v>0</v>
      </c>
      <c r="BF542">
        <v>0</v>
      </c>
      <c r="BG542">
        <v>0</v>
      </c>
      <c r="BI542">
        <v>1</v>
      </c>
      <c r="BJ542">
        <v>1</v>
      </c>
      <c r="BK542">
        <v>1</v>
      </c>
      <c r="BL542">
        <v>0</v>
      </c>
      <c r="BO542">
        <v>0</v>
      </c>
      <c r="BP542">
        <v>0</v>
      </c>
      <c r="BW542" t="str">
        <f>"19:11:52.886"</f>
        <v>19:11:52.886</v>
      </c>
      <c r="BX542" t="s">
        <v>119</v>
      </c>
      <c r="BY542" t="s">
        <v>120</v>
      </c>
      <c r="CJ542">
        <v>0</v>
      </c>
      <c r="CK542">
        <v>0</v>
      </c>
      <c r="CL542">
        <v>0</v>
      </c>
      <c r="CM542">
        <v>2</v>
      </c>
      <c r="CN542">
        <v>0</v>
      </c>
      <c r="CO542">
        <v>0</v>
      </c>
      <c r="CP542" t="s">
        <v>121</v>
      </c>
      <c r="CQ542">
        <v>580</v>
      </c>
      <c r="CR542">
        <v>0</v>
      </c>
      <c r="CW542">
        <v>227622</v>
      </c>
      <c r="CY542">
        <v>0</v>
      </c>
      <c r="CZ542">
        <v>0</v>
      </c>
      <c r="DA542">
        <v>0</v>
      </c>
      <c r="DB542">
        <v>1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</row>
    <row r="543" spans="1:113" x14ac:dyDescent="0.3">
      <c r="A543" t="str">
        <f>"06/16/2022 19:11:54.048"</f>
        <v>06/16/2022 19:11:54.048</v>
      </c>
      <c r="C543" t="str">
        <f t="shared" si="24"/>
        <v>FFBF5BC0</v>
      </c>
      <c r="D543" t="s">
        <v>113</v>
      </c>
      <c r="E543">
        <v>8</v>
      </c>
      <c r="H543">
        <v>206</v>
      </c>
      <c r="I543" t="s">
        <v>114</v>
      </c>
      <c r="J543" t="s">
        <v>115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>"19:11:53.766"</f>
        <v>19:11:53.766</v>
      </c>
      <c r="T543" t="str">
        <f>"19:11:53.766"</f>
        <v>19:11:53.766</v>
      </c>
      <c r="U543" t="str">
        <f t="shared" si="25"/>
        <v>AB63B2</v>
      </c>
      <c r="V543">
        <v>0</v>
      </c>
      <c r="W543">
        <v>0</v>
      </c>
      <c r="X543">
        <v>6</v>
      </c>
      <c r="Z543">
        <v>0</v>
      </c>
      <c r="AA543">
        <v>9</v>
      </c>
      <c r="AB543">
        <v>3</v>
      </c>
      <c r="AC543">
        <v>0</v>
      </c>
      <c r="AD543">
        <v>10</v>
      </c>
      <c r="AE543">
        <v>0</v>
      </c>
      <c r="AF543">
        <v>0</v>
      </c>
      <c r="AG543">
        <v>2</v>
      </c>
      <c r="AH543">
        <v>0</v>
      </c>
      <c r="AI543" t="s">
        <v>558</v>
      </c>
      <c r="AJ543">
        <v>41.971249999999998</v>
      </c>
      <c r="AK543" t="s">
        <v>536</v>
      </c>
      <c r="AL543">
        <v>-87.901331999999996</v>
      </c>
      <c r="AS543">
        <v>1</v>
      </c>
      <c r="AT543" t="s">
        <v>118</v>
      </c>
      <c r="AU543" t="b">
        <v>1</v>
      </c>
      <c r="AV543">
        <v>180</v>
      </c>
      <c r="AW543">
        <v>9.625</v>
      </c>
      <c r="AX543">
        <v>1</v>
      </c>
      <c r="AZ543">
        <v>7205</v>
      </c>
      <c r="BA543">
        <v>1</v>
      </c>
      <c r="BB543" t="str">
        <f t="shared" si="26"/>
        <v xml:space="preserve">KAP400  </v>
      </c>
      <c r="BC543">
        <v>1</v>
      </c>
      <c r="BE543">
        <v>0</v>
      </c>
      <c r="BF543">
        <v>0</v>
      </c>
      <c r="BG543">
        <v>0</v>
      </c>
      <c r="BI543">
        <v>1</v>
      </c>
      <c r="BJ543">
        <v>1</v>
      </c>
      <c r="BK543">
        <v>1</v>
      </c>
      <c r="BL543">
        <v>0</v>
      </c>
      <c r="BO543">
        <v>0</v>
      </c>
      <c r="BP543">
        <v>0</v>
      </c>
      <c r="BW543" t="str">
        <f>"19:11:53.766"</f>
        <v>19:11:53.766</v>
      </c>
      <c r="BX543" t="s">
        <v>119</v>
      </c>
      <c r="BY543" t="s">
        <v>120</v>
      </c>
      <c r="CJ543">
        <v>0</v>
      </c>
      <c r="CK543">
        <v>0</v>
      </c>
      <c r="CL543">
        <v>0</v>
      </c>
      <c r="CM543">
        <v>2</v>
      </c>
      <c r="CN543">
        <v>0</v>
      </c>
      <c r="CO543">
        <v>7</v>
      </c>
      <c r="CP543" t="s">
        <v>121</v>
      </c>
      <c r="CQ543">
        <v>580</v>
      </c>
      <c r="CR543">
        <v>0</v>
      </c>
      <c r="CW543">
        <v>229253</v>
      </c>
      <c r="CY543">
        <v>0</v>
      </c>
      <c r="CZ543">
        <v>0</v>
      </c>
      <c r="DA543">
        <v>0</v>
      </c>
      <c r="DB543">
        <v>1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</row>
    <row r="544" spans="1:113" x14ac:dyDescent="0.3">
      <c r="A544" t="str">
        <f>"06/16/2022 19:11:55.049"</f>
        <v>06/16/2022 19:11:55.049</v>
      </c>
      <c r="C544" t="str">
        <f t="shared" si="24"/>
        <v>FFBF5BC0</v>
      </c>
      <c r="D544" t="s">
        <v>113</v>
      </c>
      <c r="E544">
        <v>8</v>
      </c>
      <c r="H544">
        <v>206</v>
      </c>
      <c r="I544" t="s">
        <v>114</v>
      </c>
      <c r="J544" t="s">
        <v>115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>"19:11:54.781"</f>
        <v>19:11:54.781</v>
      </c>
      <c r="T544" t="str">
        <f>"19:11:54.781"</f>
        <v>19:11:54.781</v>
      </c>
      <c r="U544" t="str">
        <f t="shared" si="25"/>
        <v>AB63B2</v>
      </c>
      <c r="V544">
        <v>0</v>
      </c>
      <c r="W544">
        <v>0</v>
      </c>
      <c r="X544">
        <v>6</v>
      </c>
      <c r="Z544">
        <v>0</v>
      </c>
      <c r="AA544">
        <v>9</v>
      </c>
      <c r="AB544">
        <v>3</v>
      </c>
      <c r="AC544">
        <v>0</v>
      </c>
      <c r="AD544">
        <v>10</v>
      </c>
      <c r="AE544">
        <v>0</v>
      </c>
      <c r="AF544">
        <v>0</v>
      </c>
      <c r="AG544">
        <v>2</v>
      </c>
      <c r="AH544">
        <v>0</v>
      </c>
      <c r="AI544" t="s">
        <v>559</v>
      </c>
      <c r="AJ544">
        <v>41.971207</v>
      </c>
      <c r="AK544" t="s">
        <v>536</v>
      </c>
      <c r="AL544">
        <v>-87.901331999999996</v>
      </c>
      <c r="AS544">
        <v>1</v>
      </c>
      <c r="AT544" t="s">
        <v>118</v>
      </c>
      <c r="AU544" t="b">
        <v>1</v>
      </c>
      <c r="AV544">
        <v>180</v>
      </c>
      <c r="AW544">
        <v>9.625</v>
      </c>
      <c r="AX544">
        <v>1</v>
      </c>
      <c r="AZ544">
        <v>7205</v>
      </c>
      <c r="BA544">
        <v>1</v>
      </c>
      <c r="BB544" t="str">
        <f t="shared" si="26"/>
        <v xml:space="preserve">KAP400  </v>
      </c>
      <c r="BC544">
        <v>1</v>
      </c>
      <c r="BE544">
        <v>0</v>
      </c>
      <c r="BF544">
        <v>0</v>
      </c>
      <c r="BG544">
        <v>0</v>
      </c>
      <c r="BI544">
        <v>1</v>
      </c>
      <c r="BJ544">
        <v>1</v>
      </c>
      <c r="BK544">
        <v>1</v>
      </c>
      <c r="BL544">
        <v>0</v>
      </c>
      <c r="BO544">
        <v>0</v>
      </c>
      <c r="BP544">
        <v>0</v>
      </c>
      <c r="BW544" t="str">
        <f>"19:11:54.787"</f>
        <v>19:11:54.787</v>
      </c>
      <c r="BX544" t="s">
        <v>119</v>
      </c>
      <c r="BY544" t="s">
        <v>120</v>
      </c>
      <c r="CJ544">
        <v>0</v>
      </c>
      <c r="CK544">
        <v>0</v>
      </c>
      <c r="CL544">
        <v>0</v>
      </c>
      <c r="CM544">
        <v>2</v>
      </c>
      <c r="CN544">
        <v>0</v>
      </c>
      <c r="CO544">
        <v>6</v>
      </c>
      <c r="CP544" t="s">
        <v>121</v>
      </c>
      <c r="CQ544">
        <v>580</v>
      </c>
      <c r="CR544">
        <v>0</v>
      </c>
      <c r="CW544">
        <v>231222</v>
      </c>
      <c r="CY544">
        <v>0</v>
      </c>
      <c r="CZ544">
        <v>0</v>
      </c>
      <c r="DA544">
        <v>0</v>
      </c>
      <c r="DB544">
        <v>1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</row>
    <row r="545" spans="1:113" x14ac:dyDescent="0.3">
      <c r="A545" t="str">
        <f>"06/16/2022 19:11:56.050"</f>
        <v>06/16/2022 19:11:56.050</v>
      </c>
      <c r="C545" t="str">
        <f t="shared" si="24"/>
        <v>FFBF5BC0</v>
      </c>
      <c r="D545" t="s">
        <v>113</v>
      </c>
      <c r="E545">
        <v>8</v>
      </c>
      <c r="H545">
        <v>206</v>
      </c>
      <c r="I545" t="s">
        <v>114</v>
      </c>
      <c r="J545" t="s">
        <v>115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>"19:11:55.750"</f>
        <v>19:11:55.750</v>
      </c>
      <c r="T545" t="str">
        <f>"19:11:55.750"</f>
        <v>19:11:55.750</v>
      </c>
      <c r="U545" t="str">
        <f t="shared" si="25"/>
        <v>AB63B2</v>
      </c>
      <c r="V545">
        <v>0</v>
      </c>
      <c r="W545">
        <v>0</v>
      </c>
      <c r="X545">
        <v>6</v>
      </c>
      <c r="Z545">
        <v>0</v>
      </c>
      <c r="AA545">
        <v>9</v>
      </c>
      <c r="AB545">
        <v>3</v>
      </c>
      <c r="AC545">
        <v>0</v>
      </c>
      <c r="AD545">
        <v>10</v>
      </c>
      <c r="AE545">
        <v>0</v>
      </c>
      <c r="AF545">
        <v>0</v>
      </c>
      <c r="AG545">
        <v>2</v>
      </c>
      <c r="AH545">
        <v>0</v>
      </c>
      <c r="AI545" t="s">
        <v>560</v>
      </c>
      <c r="AJ545">
        <v>41.971164000000002</v>
      </c>
      <c r="AK545" t="s">
        <v>536</v>
      </c>
      <c r="AL545">
        <v>-87.901331999999996</v>
      </c>
      <c r="AS545">
        <v>1</v>
      </c>
      <c r="AT545" t="s">
        <v>118</v>
      </c>
      <c r="AU545" t="b">
        <v>1</v>
      </c>
      <c r="AV545">
        <v>180</v>
      </c>
      <c r="AW545">
        <v>10.125</v>
      </c>
      <c r="AX545">
        <v>1</v>
      </c>
      <c r="AZ545">
        <v>7205</v>
      </c>
      <c r="BA545">
        <v>1</v>
      </c>
      <c r="BB545" t="str">
        <f t="shared" si="26"/>
        <v xml:space="preserve">KAP400  </v>
      </c>
      <c r="BC545">
        <v>1</v>
      </c>
      <c r="BE545">
        <v>0</v>
      </c>
      <c r="BF545">
        <v>0</v>
      </c>
      <c r="BG545">
        <v>0</v>
      </c>
      <c r="BI545">
        <v>1</v>
      </c>
      <c r="BJ545">
        <v>1</v>
      </c>
      <c r="BK545">
        <v>1</v>
      </c>
      <c r="BL545">
        <v>0</v>
      </c>
      <c r="BO545">
        <v>0</v>
      </c>
      <c r="BP545">
        <v>0</v>
      </c>
      <c r="BW545" t="str">
        <f>"19:11:55.754"</f>
        <v>19:11:55.754</v>
      </c>
      <c r="BX545" t="s">
        <v>119</v>
      </c>
      <c r="BY545" t="s">
        <v>120</v>
      </c>
      <c r="CJ545">
        <v>0</v>
      </c>
      <c r="CK545">
        <v>0</v>
      </c>
      <c r="CL545">
        <v>0</v>
      </c>
      <c r="CM545">
        <v>2</v>
      </c>
      <c r="CN545">
        <v>0</v>
      </c>
      <c r="CO545">
        <v>7</v>
      </c>
      <c r="CP545" t="s">
        <v>121</v>
      </c>
      <c r="CQ545">
        <v>579</v>
      </c>
      <c r="CR545">
        <v>0</v>
      </c>
      <c r="CW545">
        <v>1327552</v>
      </c>
      <c r="CY545">
        <v>0</v>
      </c>
      <c r="CZ545">
        <v>0</v>
      </c>
      <c r="DA545">
        <v>0</v>
      </c>
      <c r="DB545">
        <v>1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</row>
    <row r="546" spans="1:113" x14ac:dyDescent="0.3">
      <c r="A546" t="str">
        <f>"06/16/2022 19:11:57.549"</f>
        <v>06/16/2022 19:11:57.549</v>
      </c>
      <c r="C546" t="str">
        <f t="shared" si="24"/>
        <v>FFBF5BC0</v>
      </c>
      <c r="D546" t="s">
        <v>113</v>
      </c>
      <c r="E546">
        <v>8</v>
      </c>
      <c r="H546">
        <v>206</v>
      </c>
      <c r="I546" t="s">
        <v>114</v>
      </c>
      <c r="J546" t="s">
        <v>115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>"19:11:57.305"</f>
        <v>19:11:57.305</v>
      </c>
      <c r="T546" t="str">
        <f>"19:11:57.305"</f>
        <v>19:11:57.305</v>
      </c>
      <c r="U546" t="str">
        <f t="shared" si="25"/>
        <v>AB63B2</v>
      </c>
      <c r="V546">
        <v>0</v>
      </c>
      <c r="W546">
        <v>0</v>
      </c>
      <c r="X546">
        <v>6</v>
      </c>
      <c r="Z546">
        <v>0</v>
      </c>
      <c r="AA546">
        <v>9</v>
      </c>
      <c r="AB546">
        <v>3</v>
      </c>
      <c r="AC546">
        <v>0</v>
      </c>
      <c r="AD546">
        <v>10</v>
      </c>
      <c r="AE546">
        <v>0</v>
      </c>
      <c r="AF546">
        <v>0</v>
      </c>
      <c r="AG546">
        <v>2</v>
      </c>
      <c r="AH546">
        <v>0</v>
      </c>
      <c r="AI546" t="s">
        <v>561</v>
      </c>
      <c r="AJ546">
        <v>41.971099000000002</v>
      </c>
      <c r="AK546" t="s">
        <v>536</v>
      </c>
      <c r="AL546">
        <v>-87.901331999999996</v>
      </c>
      <c r="AS546">
        <v>1</v>
      </c>
      <c r="AT546" t="s">
        <v>118</v>
      </c>
      <c r="AU546" t="b">
        <v>1</v>
      </c>
      <c r="AV546">
        <v>180</v>
      </c>
      <c r="AW546">
        <v>10.125</v>
      </c>
      <c r="AX546">
        <v>1</v>
      </c>
      <c r="AZ546">
        <v>7205</v>
      </c>
      <c r="BA546">
        <v>1</v>
      </c>
      <c r="BB546" t="str">
        <f t="shared" si="26"/>
        <v xml:space="preserve">KAP400  </v>
      </c>
      <c r="BC546">
        <v>1</v>
      </c>
      <c r="BE546">
        <v>0</v>
      </c>
      <c r="BF546">
        <v>0</v>
      </c>
      <c r="BG546">
        <v>0</v>
      </c>
      <c r="BI546">
        <v>1</v>
      </c>
      <c r="BJ546">
        <v>1</v>
      </c>
      <c r="BK546">
        <v>1</v>
      </c>
      <c r="BL546">
        <v>0</v>
      </c>
      <c r="BO546">
        <v>0</v>
      </c>
      <c r="BP546">
        <v>0</v>
      </c>
      <c r="BW546" t="str">
        <f>"19:11:57.310"</f>
        <v>19:11:57.310</v>
      </c>
      <c r="BX546" t="s">
        <v>119</v>
      </c>
      <c r="BY546" t="s">
        <v>120</v>
      </c>
      <c r="CJ546">
        <v>0</v>
      </c>
      <c r="CK546">
        <v>0</v>
      </c>
      <c r="CL546">
        <v>0</v>
      </c>
      <c r="CM546">
        <v>2</v>
      </c>
      <c r="CN546">
        <v>0</v>
      </c>
      <c r="CO546">
        <v>7</v>
      </c>
      <c r="CP546" t="s">
        <v>121</v>
      </c>
      <c r="CQ546">
        <v>579</v>
      </c>
      <c r="CR546">
        <v>0</v>
      </c>
      <c r="CW546">
        <v>1330563</v>
      </c>
      <c r="CY546">
        <v>0</v>
      </c>
      <c r="CZ546">
        <v>0</v>
      </c>
      <c r="DA546">
        <v>0</v>
      </c>
      <c r="DB546">
        <v>1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</row>
    <row r="547" spans="1:113" x14ac:dyDescent="0.3">
      <c r="A547" t="str">
        <f>"06/16/2022 19:11:58.689"</f>
        <v>06/16/2022 19:11:58.689</v>
      </c>
      <c r="C547" t="str">
        <f t="shared" si="24"/>
        <v>FFBF5BC0</v>
      </c>
      <c r="D547" t="s">
        <v>113</v>
      </c>
      <c r="E547">
        <v>8</v>
      </c>
      <c r="H547">
        <v>206</v>
      </c>
      <c r="I547" t="s">
        <v>114</v>
      </c>
      <c r="J547" t="s">
        <v>115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>"19:11:58.438"</f>
        <v>19:11:58.438</v>
      </c>
      <c r="T547" t="str">
        <f>"19:11:58.438"</f>
        <v>19:11:58.438</v>
      </c>
      <c r="U547" t="str">
        <f t="shared" si="25"/>
        <v>AB63B2</v>
      </c>
      <c r="V547">
        <v>0</v>
      </c>
      <c r="W547">
        <v>0</v>
      </c>
      <c r="X547">
        <v>6</v>
      </c>
      <c r="Z547">
        <v>0</v>
      </c>
      <c r="AA547">
        <v>9</v>
      </c>
      <c r="AB547">
        <v>3</v>
      </c>
      <c r="AC547">
        <v>0</v>
      </c>
      <c r="AD547">
        <v>10</v>
      </c>
      <c r="AE547">
        <v>0</v>
      </c>
      <c r="AF547">
        <v>0</v>
      </c>
      <c r="AG547">
        <v>2</v>
      </c>
      <c r="AH547">
        <v>0</v>
      </c>
      <c r="AI547" t="s">
        <v>562</v>
      </c>
      <c r="AJ547">
        <v>41.971035000000001</v>
      </c>
      <c r="AK547" t="s">
        <v>536</v>
      </c>
      <c r="AL547">
        <v>-87.901331999999996</v>
      </c>
      <c r="AS547">
        <v>1</v>
      </c>
      <c r="AT547" t="s">
        <v>118</v>
      </c>
      <c r="AU547" t="b">
        <v>1</v>
      </c>
      <c r="AV547">
        <v>180</v>
      </c>
      <c r="AW547">
        <v>10.125</v>
      </c>
      <c r="AX547">
        <v>1</v>
      </c>
      <c r="AZ547">
        <v>7205</v>
      </c>
      <c r="BA547">
        <v>1</v>
      </c>
      <c r="BB547" t="str">
        <f t="shared" si="26"/>
        <v xml:space="preserve">KAP400  </v>
      </c>
      <c r="BC547">
        <v>1</v>
      </c>
      <c r="BE547">
        <v>0</v>
      </c>
      <c r="BF547">
        <v>0</v>
      </c>
      <c r="BG547">
        <v>0</v>
      </c>
      <c r="BI547">
        <v>1</v>
      </c>
      <c r="BJ547">
        <v>1</v>
      </c>
      <c r="BK547">
        <v>1</v>
      </c>
      <c r="BL547">
        <v>0</v>
      </c>
      <c r="BO547">
        <v>0</v>
      </c>
      <c r="BP547">
        <v>0</v>
      </c>
      <c r="BW547" t="str">
        <f>"19:11:58.439"</f>
        <v>19:11:58.439</v>
      </c>
      <c r="BX547" t="s">
        <v>119</v>
      </c>
      <c r="BY547" t="s">
        <v>120</v>
      </c>
      <c r="CJ547">
        <v>0</v>
      </c>
      <c r="CK547">
        <v>0</v>
      </c>
      <c r="CL547">
        <v>0</v>
      </c>
      <c r="CM547">
        <v>2</v>
      </c>
      <c r="CN547">
        <v>0</v>
      </c>
      <c r="CO547">
        <v>7</v>
      </c>
      <c r="CP547" t="s">
        <v>121</v>
      </c>
      <c r="CQ547">
        <v>579</v>
      </c>
      <c r="CR547">
        <v>0</v>
      </c>
      <c r="CW547">
        <v>1332821</v>
      </c>
      <c r="CY547">
        <v>0</v>
      </c>
      <c r="CZ547">
        <v>0</v>
      </c>
      <c r="DA547">
        <v>0</v>
      </c>
      <c r="DB547">
        <v>1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</row>
    <row r="548" spans="1:113" x14ac:dyDescent="0.3">
      <c r="A548" t="str">
        <f>"06/16/2022 19:11:59.580"</f>
        <v>06/16/2022 19:11:59.580</v>
      </c>
      <c r="C548" t="str">
        <f t="shared" si="24"/>
        <v>FFBF5BC0</v>
      </c>
      <c r="D548" t="s">
        <v>113</v>
      </c>
      <c r="E548">
        <v>8</v>
      </c>
      <c r="H548">
        <v>206</v>
      </c>
      <c r="I548" t="s">
        <v>114</v>
      </c>
      <c r="J548" t="s">
        <v>115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>"19:11:59.281"</f>
        <v>19:11:59.281</v>
      </c>
      <c r="T548" t="str">
        <f>"19:11:59.281"</f>
        <v>19:11:59.281</v>
      </c>
      <c r="U548" t="str">
        <f t="shared" si="25"/>
        <v>AB63B2</v>
      </c>
      <c r="V548">
        <v>0</v>
      </c>
      <c r="W548">
        <v>0</v>
      </c>
      <c r="X548">
        <v>6</v>
      </c>
      <c r="Z548">
        <v>0</v>
      </c>
      <c r="AA548">
        <v>9</v>
      </c>
      <c r="AB548">
        <v>3</v>
      </c>
      <c r="AC548">
        <v>0</v>
      </c>
      <c r="AD548">
        <v>10</v>
      </c>
      <c r="AE548">
        <v>0</v>
      </c>
      <c r="AF548">
        <v>0</v>
      </c>
      <c r="AG548">
        <v>2</v>
      </c>
      <c r="AH548">
        <v>0</v>
      </c>
      <c r="AI548" t="s">
        <v>563</v>
      </c>
      <c r="AJ548">
        <v>41.970992000000003</v>
      </c>
      <c r="AK548" t="s">
        <v>536</v>
      </c>
      <c r="AL548">
        <v>-87.901331999999996</v>
      </c>
      <c r="AS548">
        <v>1</v>
      </c>
      <c r="AT548" t="s">
        <v>118</v>
      </c>
      <c r="AU548" t="b">
        <v>1</v>
      </c>
      <c r="AV548">
        <v>180</v>
      </c>
      <c r="AW548">
        <v>10.125</v>
      </c>
      <c r="AX548">
        <v>1</v>
      </c>
      <c r="AZ548">
        <v>7205</v>
      </c>
      <c r="BA548">
        <v>1</v>
      </c>
      <c r="BB548" t="str">
        <f t="shared" si="26"/>
        <v xml:space="preserve">KAP400  </v>
      </c>
      <c r="BC548">
        <v>1</v>
      </c>
      <c r="BE548">
        <v>0</v>
      </c>
      <c r="BF548">
        <v>0</v>
      </c>
      <c r="BG548">
        <v>0</v>
      </c>
      <c r="BI548">
        <v>1</v>
      </c>
      <c r="BJ548">
        <v>1</v>
      </c>
      <c r="BK548">
        <v>1</v>
      </c>
      <c r="BL548">
        <v>0</v>
      </c>
      <c r="BO548">
        <v>0</v>
      </c>
      <c r="BP548">
        <v>0</v>
      </c>
      <c r="BW548" t="str">
        <f>"19:11:59.286"</f>
        <v>19:11:59.286</v>
      </c>
      <c r="BX548" t="s">
        <v>119</v>
      </c>
      <c r="BY548" t="s">
        <v>120</v>
      </c>
      <c r="CJ548">
        <v>0</v>
      </c>
      <c r="CK548">
        <v>0</v>
      </c>
      <c r="CL548">
        <v>0</v>
      </c>
      <c r="CM548">
        <v>2</v>
      </c>
      <c r="CN548">
        <v>0</v>
      </c>
      <c r="CO548">
        <v>7</v>
      </c>
      <c r="CP548" t="s">
        <v>121</v>
      </c>
      <c r="CQ548">
        <v>579</v>
      </c>
      <c r="CR548">
        <v>0</v>
      </c>
      <c r="CW548">
        <v>1334624</v>
      </c>
      <c r="CY548">
        <v>0</v>
      </c>
      <c r="CZ548">
        <v>0</v>
      </c>
      <c r="DA548">
        <v>0</v>
      </c>
      <c r="DB548">
        <v>1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</row>
    <row r="549" spans="1:113" x14ac:dyDescent="0.3">
      <c r="A549" t="str">
        <f>"06/16/2022 19:12:00.643"</f>
        <v>06/16/2022 19:12:00.643</v>
      </c>
      <c r="C549" t="str">
        <f t="shared" si="24"/>
        <v>FFBF5BC0</v>
      </c>
      <c r="D549" t="s">
        <v>113</v>
      </c>
      <c r="E549">
        <v>8</v>
      </c>
      <c r="H549">
        <v>206</v>
      </c>
      <c r="I549" t="s">
        <v>114</v>
      </c>
      <c r="J549" t="s">
        <v>115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>"19:12:00.375"</f>
        <v>19:12:00.375</v>
      </c>
      <c r="T549" t="str">
        <f>"19:12:00.375"</f>
        <v>19:12:00.375</v>
      </c>
      <c r="U549" t="str">
        <f t="shared" si="25"/>
        <v>AB63B2</v>
      </c>
      <c r="V549">
        <v>0</v>
      </c>
      <c r="W549">
        <v>0</v>
      </c>
      <c r="X549">
        <v>6</v>
      </c>
      <c r="Z549">
        <v>0</v>
      </c>
      <c r="AA549">
        <v>9</v>
      </c>
      <c r="AB549">
        <v>3</v>
      </c>
      <c r="AC549">
        <v>0</v>
      </c>
      <c r="AD549">
        <v>10</v>
      </c>
      <c r="AE549">
        <v>0</v>
      </c>
      <c r="AF549">
        <v>0</v>
      </c>
      <c r="AG549">
        <v>2</v>
      </c>
      <c r="AH549">
        <v>0</v>
      </c>
      <c r="AI549" t="s">
        <v>564</v>
      </c>
      <c r="AJ549">
        <v>41.970948999999997</v>
      </c>
      <c r="AK549" t="s">
        <v>536</v>
      </c>
      <c r="AL549">
        <v>-87.901331999999996</v>
      </c>
      <c r="AS549">
        <v>1</v>
      </c>
      <c r="AT549" t="s">
        <v>118</v>
      </c>
      <c r="AU549" t="b">
        <v>1</v>
      </c>
      <c r="AV549">
        <v>180</v>
      </c>
      <c r="AW549">
        <v>9.625</v>
      </c>
      <c r="AX549">
        <v>1</v>
      </c>
      <c r="AZ549">
        <v>7205</v>
      </c>
      <c r="BA549">
        <v>1</v>
      </c>
      <c r="BB549" t="str">
        <f t="shared" si="26"/>
        <v xml:space="preserve">KAP400  </v>
      </c>
      <c r="BC549">
        <v>1</v>
      </c>
      <c r="BE549">
        <v>0</v>
      </c>
      <c r="BF549">
        <v>0</v>
      </c>
      <c r="BG549">
        <v>0</v>
      </c>
      <c r="BI549">
        <v>1</v>
      </c>
      <c r="BJ549">
        <v>1</v>
      </c>
      <c r="BK549">
        <v>1</v>
      </c>
      <c r="BL549">
        <v>0</v>
      </c>
      <c r="BO549">
        <v>0</v>
      </c>
      <c r="BP549">
        <v>0</v>
      </c>
      <c r="BW549" t="str">
        <f>"19:12:00.382"</f>
        <v>19:12:00.382</v>
      </c>
      <c r="BX549" t="s">
        <v>119</v>
      </c>
      <c r="BY549" t="s">
        <v>120</v>
      </c>
      <c r="CJ549">
        <v>0</v>
      </c>
      <c r="CK549">
        <v>0</v>
      </c>
      <c r="CL549">
        <v>0</v>
      </c>
      <c r="CM549">
        <v>2</v>
      </c>
      <c r="CN549">
        <v>0</v>
      </c>
      <c r="CO549">
        <v>7</v>
      </c>
      <c r="CP549" t="s">
        <v>121</v>
      </c>
      <c r="CQ549">
        <v>579</v>
      </c>
      <c r="CR549">
        <v>0</v>
      </c>
      <c r="CW549">
        <v>1336799</v>
      </c>
      <c r="CY549">
        <v>0</v>
      </c>
      <c r="CZ549">
        <v>0</v>
      </c>
      <c r="DA549">
        <v>0</v>
      </c>
      <c r="DB549">
        <v>1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</row>
    <row r="550" spans="1:113" x14ac:dyDescent="0.3">
      <c r="A550" t="str">
        <f>"06/16/2022 19:12:01.753"</f>
        <v>06/16/2022 19:12:01.753</v>
      </c>
      <c r="C550" t="str">
        <f t="shared" si="24"/>
        <v>FFBF5BC0</v>
      </c>
      <c r="D550" t="s">
        <v>113</v>
      </c>
      <c r="E550">
        <v>8</v>
      </c>
      <c r="H550">
        <v>206</v>
      </c>
      <c r="I550" t="s">
        <v>114</v>
      </c>
      <c r="J550" t="s">
        <v>115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>"19:12:01.453"</f>
        <v>19:12:01.453</v>
      </c>
      <c r="T550" t="str">
        <f>"19:12:01.453"</f>
        <v>19:12:01.453</v>
      </c>
      <c r="U550" t="str">
        <f t="shared" si="25"/>
        <v>AB63B2</v>
      </c>
      <c r="V550">
        <v>0</v>
      </c>
      <c r="W550">
        <v>0</v>
      </c>
      <c r="X550">
        <v>6</v>
      </c>
      <c r="Z550">
        <v>0</v>
      </c>
      <c r="AA550">
        <v>9</v>
      </c>
      <c r="AB550">
        <v>3</v>
      </c>
      <c r="AC550">
        <v>0</v>
      </c>
      <c r="AD550">
        <v>10</v>
      </c>
      <c r="AE550">
        <v>0</v>
      </c>
      <c r="AF550">
        <v>0</v>
      </c>
      <c r="AG550">
        <v>2</v>
      </c>
      <c r="AH550">
        <v>0</v>
      </c>
      <c r="AI550" t="s">
        <v>565</v>
      </c>
      <c r="AJ550">
        <v>41.970905999999999</v>
      </c>
      <c r="AK550" t="s">
        <v>536</v>
      </c>
      <c r="AL550">
        <v>-87.901331999999996</v>
      </c>
      <c r="AS550">
        <v>1</v>
      </c>
      <c r="AT550" t="s">
        <v>118</v>
      </c>
      <c r="AU550" t="b">
        <v>1</v>
      </c>
      <c r="AV550">
        <v>180</v>
      </c>
      <c r="AW550">
        <v>9.625</v>
      </c>
      <c r="AX550">
        <v>1</v>
      </c>
      <c r="AZ550">
        <v>7205</v>
      </c>
      <c r="BA550">
        <v>1</v>
      </c>
      <c r="BB550" t="str">
        <f t="shared" si="26"/>
        <v xml:space="preserve">KAP400  </v>
      </c>
      <c r="BC550">
        <v>1</v>
      </c>
      <c r="BE550">
        <v>0</v>
      </c>
      <c r="BF550">
        <v>0</v>
      </c>
      <c r="BG550">
        <v>0</v>
      </c>
      <c r="BI550">
        <v>1</v>
      </c>
      <c r="BJ550">
        <v>1</v>
      </c>
      <c r="BK550">
        <v>1</v>
      </c>
      <c r="BL550">
        <v>0</v>
      </c>
      <c r="BO550">
        <v>0</v>
      </c>
      <c r="BP550">
        <v>0</v>
      </c>
      <c r="BW550" t="str">
        <f>"19:12:01.457"</f>
        <v>19:12:01.457</v>
      </c>
      <c r="BX550" t="s">
        <v>119</v>
      </c>
      <c r="BY550" t="s">
        <v>120</v>
      </c>
      <c r="CJ550">
        <v>0</v>
      </c>
      <c r="CK550">
        <v>0</v>
      </c>
      <c r="CL550">
        <v>0</v>
      </c>
      <c r="CM550">
        <v>2</v>
      </c>
      <c r="CN550">
        <v>0</v>
      </c>
      <c r="CO550">
        <v>7</v>
      </c>
      <c r="CP550" t="s">
        <v>121</v>
      </c>
      <c r="CQ550">
        <v>580</v>
      </c>
      <c r="CR550">
        <v>0</v>
      </c>
      <c r="CW550">
        <v>244304</v>
      </c>
      <c r="CY550">
        <v>0</v>
      </c>
      <c r="CZ550">
        <v>0</v>
      </c>
      <c r="DA550">
        <v>0</v>
      </c>
      <c r="DB550">
        <v>1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</row>
    <row r="551" spans="1:113" x14ac:dyDescent="0.3">
      <c r="A551" t="str">
        <f>"06/16/2022 19:12:02.923"</f>
        <v>06/16/2022 19:12:02.923</v>
      </c>
      <c r="C551" t="str">
        <f t="shared" si="24"/>
        <v>FFBF5BC0</v>
      </c>
      <c r="D551" t="s">
        <v>113</v>
      </c>
      <c r="E551">
        <v>8</v>
      </c>
      <c r="H551">
        <v>206</v>
      </c>
      <c r="I551" t="s">
        <v>114</v>
      </c>
      <c r="J551" t="s">
        <v>115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>"19:12:02.500"</f>
        <v>19:12:02.500</v>
      </c>
      <c r="T551" t="str">
        <f>"19:12:02.500"</f>
        <v>19:12:02.500</v>
      </c>
      <c r="U551" t="str">
        <f t="shared" si="25"/>
        <v>AB63B2</v>
      </c>
      <c r="V551">
        <v>0</v>
      </c>
      <c r="W551">
        <v>0</v>
      </c>
      <c r="X551">
        <v>6</v>
      </c>
      <c r="Z551">
        <v>0</v>
      </c>
      <c r="AA551">
        <v>9</v>
      </c>
      <c r="AB551">
        <v>3</v>
      </c>
      <c r="AC551">
        <v>0</v>
      </c>
      <c r="AD551">
        <v>10</v>
      </c>
      <c r="AE551">
        <v>0</v>
      </c>
      <c r="AF551">
        <v>0</v>
      </c>
      <c r="AG551">
        <v>2</v>
      </c>
      <c r="AH551">
        <v>0</v>
      </c>
      <c r="AI551" t="s">
        <v>566</v>
      </c>
      <c r="AJ551">
        <v>41.970863000000001</v>
      </c>
      <c r="AK551" t="s">
        <v>536</v>
      </c>
      <c r="AL551">
        <v>-87.901331999999996</v>
      </c>
      <c r="AS551">
        <v>1</v>
      </c>
      <c r="AT551" t="s">
        <v>118</v>
      </c>
      <c r="AU551" t="b">
        <v>1</v>
      </c>
      <c r="AV551">
        <v>180</v>
      </c>
      <c r="AW551">
        <v>9.625</v>
      </c>
      <c r="AX551">
        <v>1</v>
      </c>
      <c r="AZ551">
        <v>7205</v>
      </c>
      <c r="BA551">
        <v>1</v>
      </c>
      <c r="BB551" t="str">
        <f t="shared" si="26"/>
        <v xml:space="preserve">KAP400  </v>
      </c>
      <c r="BC551">
        <v>1</v>
      </c>
      <c r="BE551">
        <v>0</v>
      </c>
      <c r="BF551">
        <v>0</v>
      </c>
      <c r="BG551">
        <v>0</v>
      </c>
      <c r="BI551">
        <v>1</v>
      </c>
      <c r="BJ551">
        <v>1</v>
      </c>
      <c r="BK551">
        <v>1</v>
      </c>
      <c r="BL551">
        <v>0</v>
      </c>
      <c r="BO551">
        <v>0</v>
      </c>
      <c r="BP551">
        <v>0</v>
      </c>
      <c r="BW551" t="str">
        <f>"19:12:02.501"</f>
        <v>19:12:02.501</v>
      </c>
      <c r="BX551" t="s">
        <v>119</v>
      </c>
      <c r="BY551" t="s">
        <v>120</v>
      </c>
      <c r="CJ551">
        <v>0</v>
      </c>
      <c r="CK551">
        <v>0</v>
      </c>
      <c r="CL551">
        <v>0</v>
      </c>
      <c r="CM551">
        <v>2</v>
      </c>
      <c r="CN551">
        <v>0</v>
      </c>
      <c r="CO551">
        <v>7</v>
      </c>
      <c r="CP551" t="s">
        <v>121</v>
      </c>
      <c r="CQ551">
        <v>579</v>
      </c>
      <c r="CR551">
        <v>0</v>
      </c>
      <c r="CW551">
        <v>1340847</v>
      </c>
      <c r="CY551">
        <v>0</v>
      </c>
      <c r="CZ551">
        <v>0</v>
      </c>
      <c r="DA551">
        <v>0</v>
      </c>
      <c r="DB551">
        <v>1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</row>
    <row r="552" spans="1:113" x14ac:dyDescent="0.3">
      <c r="A552" t="str">
        <f>"06/16/2022 19:12:03.876"</f>
        <v>06/16/2022 19:12:03.876</v>
      </c>
      <c r="C552" t="str">
        <f t="shared" si="24"/>
        <v>FFBF5BC0</v>
      </c>
      <c r="D552" t="s">
        <v>113</v>
      </c>
      <c r="E552">
        <v>8</v>
      </c>
      <c r="H552">
        <v>206</v>
      </c>
      <c r="I552" t="s">
        <v>114</v>
      </c>
      <c r="J552" t="s">
        <v>115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>"19:12:03.586"</f>
        <v>19:12:03.586</v>
      </c>
      <c r="T552" t="str">
        <f>"19:12:03.586"</f>
        <v>19:12:03.586</v>
      </c>
      <c r="U552" t="str">
        <f t="shared" si="25"/>
        <v>AB63B2</v>
      </c>
      <c r="V552">
        <v>0</v>
      </c>
      <c r="W552">
        <v>0</v>
      </c>
      <c r="X552">
        <v>6</v>
      </c>
      <c r="Z552">
        <v>0</v>
      </c>
      <c r="AA552">
        <v>9</v>
      </c>
      <c r="AB552">
        <v>3</v>
      </c>
      <c r="AC552">
        <v>0</v>
      </c>
      <c r="AD552">
        <v>10</v>
      </c>
      <c r="AE552">
        <v>0</v>
      </c>
      <c r="AF552">
        <v>0</v>
      </c>
      <c r="AG552">
        <v>2</v>
      </c>
      <c r="AH552">
        <v>0</v>
      </c>
      <c r="AI552" t="s">
        <v>567</v>
      </c>
      <c r="AJ552">
        <v>41.970820000000003</v>
      </c>
      <c r="AK552" t="s">
        <v>536</v>
      </c>
      <c r="AL552">
        <v>-87.901331999999996</v>
      </c>
      <c r="AS552">
        <v>1</v>
      </c>
      <c r="AT552" t="s">
        <v>118</v>
      </c>
      <c r="AU552" t="b">
        <v>1</v>
      </c>
      <c r="AV552">
        <v>177.19</v>
      </c>
      <c r="AW552">
        <v>9.125</v>
      </c>
      <c r="AX552">
        <v>1</v>
      </c>
      <c r="AZ552">
        <v>7205</v>
      </c>
      <c r="BA552">
        <v>1</v>
      </c>
      <c r="BB552" t="str">
        <f t="shared" si="26"/>
        <v xml:space="preserve">KAP400  </v>
      </c>
      <c r="BC552">
        <v>1</v>
      </c>
      <c r="BE552">
        <v>0</v>
      </c>
      <c r="BF552">
        <v>0</v>
      </c>
      <c r="BG552">
        <v>0</v>
      </c>
      <c r="BI552">
        <v>1</v>
      </c>
      <c r="BJ552">
        <v>1</v>
      </c>
      <c r="BK552">
        <v>1</v>
      </c>
      <c r="BL552">
        <v>0</v>
      </c>
      <c r="BO552">
        <v>0</v>
      </c>
      <c r="BP552">
        <v>0</v>
      </c>
      <c r="BW552" t="str">
        <f>"19:12:03.594"</f>
        <v>19:12:03.594</v>
      </c>
      <c r="BX552" t="s">
        <v>119</v>
      </c>
      <c r="BY552" t="s">
        <v>120</v>
      </c>
      <c r="CJ552">
        <v>0</v>
      </c>
      <c r="CK552">
        <v>0</v>
      </c>
      <c r="CL552">
        <v>0</v>
      </c>
      <c r="CM552">
        <v>2</v>
      </c>
      <c r="CN552">
        <v>0</v>
      </c>
      <c r="CO552">
        <v>6</v>
      </c>
      <c r="CP552" t="s">
        <v>121</v>
      </c>
      <c r="CQ552">
        <v>580</v>
      </c>
      <c r="CR552">
        <v>0</v>
      </c>
      <c r="CW552">
        <v>248493</v>
      </c>
      <c r="CY552">
        <v>0</v>
      </c>
      <c r="CZ552">
        <v>0</v>
      </c>
      <c r="DA552">
        <v>0</v>
      </c>
      <c r="DB552">
        <v>1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</row>
    <row r="553" spans="1:113" x14ac:dyDescent="0.3">
      <c r="A553" t="str">
        <f>"06/16/2022 19:12:04.908"</f>
        <v>06/16/2022 19:12:04.908</v>
      </c>
      <c r="C553" t="str">
        <f t="shared" si="24"/>
        <v>FFBF5BC0</v>
      </c>
      <c r="D553" t="s">
        <v>113</v>
      </c>
      <c r="E553">
        <v>8</v>
      </c>
      <c r="H553">
        <v>206</v>
      </c>
      <c r="I553" t="s">
        <v>114</v>
      </c>
      <c r="J553" t="s">
        <v>115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>"19:12:04.625"</f>
        <v>19:12:04.625</v>
      </c>
      <c r="T553" t="str">
        <f>"19:12:04.625"</f>
        <v>19:12:04.625</v>
      </c>
      <c r="U553" t="str">
        <f t="shared" si="25"/>
        <v>AB63B2</v>
      </c>
      <c r="V553">
        <v>0</v>
      </c>
      <c r="W553">
        <v>0</v>
      </c>
      <c r="X553">
        <v>6</v>
      </c>
      <c r="Z553">
        <v>0</v>
      </c>
      <c r="AA553">
        <v>9</v>
      </c>
      <c r="AB553">
        <v>3</v>
      </c>
      <c r="AC553">
        <v>0</v>
      </c>
      <c r="AD553">
        <v>10</v>
      </c>
      <c r="AE553">
        <v>0</v>
      </c>
      <c r="AF553">
        <v>0</v>
      </c>
      <c r="AG553">
        <v>2</v>
      </c>
      <c r="AH553">
        <v>0</v>
      </c>
      <c r="AI553" t="s">
        <v>568</v>
      </c>
      <c r="AJ553">
        <v>41.970778000000003</v>
      </c>
      <c r="AK553" t="s">
        <v>536</v>
      </c>
      <c r="AL553">
        <v>-87.901331999999996</v>
      </c>
      <c r="AS553">
        <v>1</v>
      </c>
      <c r="AT553" t="s">
        <v>118</v>
      </c>
      <c r="AU553" t="b">
        <v>1</v>
      </c>
      <c r="AV553">
        <v>174.38</v>
      </c>
      <c r="AW553">
        <v>9.125</v>
      </c>
      <c r="AX553">
        <v>1</v>
      </c>
      <c r="AZ553">
        <v>7205</v>
      </c>
      <c r="BA553">
        <v>1</v>
      </c>
      <c r="BB553" t="str">
        <f t="shared" si="26"/>
        <v xml:space="preserve">KAP400  </v>
      </c>
      <c r="BC553">
        <v>1</v>
      </c>
      <c r="BE553">
        <v>0</v>
      </c>
      <c r="BF553">
        <v>0</v>
      </c>
      <c r="BG553">
        <v>0</v>
      </c>
      <c r="BI553">
        <v>1</v>
      </c>
      <c r="BJ553">
        <v>1</v>
      </c>
      <c r="BK553">
        <v>1</v>
      </c>
      <c r="BL553">
        <v>0</v>
      </c>
      <c r="BO553">
        <v>0</v>
      </c>
      <c r="BP553">
        <v>0</v>
      </c>
      <c r="BW553" t="str">
        <f>"19:12:04.627"</f>
        <v>19:12:04.627</v>
      </c>
      <c r="BX553" t="s">
        <v>119</v>
      </c>
      <c r="BY553" t="s">
        <v>120</v>
      </c>
      <c r="CJ553">
        <v>0</v>
      </c>
      <c r="CK553">
        <v>0</v>
      </c>
      <c r="CL553">
        <v>0</v>
      </c>
      <c r="CM553">
        <v>2</v>
      </c>
      <c r="CN553">
        <v>0</v>
      </c>
      <c r="CO553">
        <v>7</v>
      </c>
      <c r="CP553" t="s">
        <v>121</v>
      </c>
      <c r="CQ553">
        <v>580</v>
      </c>
      <c r="CR553">
        <v>0</v>
      </c>
      <c r="CW553">
        <v>250560</v>
      </c>
      <c r="CY553">
        <v>0</v>
      </c>
      <c r="CZ553">
        <v>0</v>
      </c>
      <c r="DA553">
        <v>0</v>
      </c>
      <c r="DB553">
        <v>1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</row>
    <row r="554" spans="1:113" x14ac:dyDescent="0.3">
      <c r="A554" t="str">
        <f>"06/16/2022 19:12:05.736"</f>
        <v>06/16/2022 19:12:05.736</v>
      </c>
      <c r="C554" t="str">
        <f t="shared" si="24"/>
        <v>FFBF5BC0</v>
      </c>
      <c r="D554" t="s">
        <v>113</v>
      </c>
      <c r="E554">
        <v>8</v>
      </c>
      <c r="H554">
        <v>206</v>
      </c>
      <c r="I554" t="s">
        <v>114</v>
      </c>
      <c r="J554" t="s">
        <v>115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>"19:12:05.516"</f>
        <v>19:12:05.516</v>
      </c>
      <c r="T554" t="str">
        <f>"19:12:05.516"</f>
        <v>19:12:05.516</v>
      </c>
      <c r="U554" t="str">
        <f t="shared" si="25"/>
        <v>AB63B2</v>
      </c>
      <c r="V554">
        <v>0</v>
      </c>
      <c r="W554">
        <v>0</v>
      </c>
      <c r="X554">
        <v>6</v>
      </c>
      <c r="Z554">
        <v>0</v>
      </c>
      <c r="AA554">
        <v>9</v>
      </c>
      <c r="AB554">
        <v>3</v>
      </c>
      <c r="AC554">
        <v>0</v>
      </c>
      <c r="AD554">
        <v>10</v>
      </c>
      <c r="AE554">
        <v>0</v>
      </c>
      <c r="AF554">
        <v>0</v>
      </c>
      <c r="AG554">
        <v>2</v>
      </c>
      <c r="AH554">
        <v>0</v>
      </c>
      <c r="AI554" t="s">
        <v>569</v>
      </c>
      <c r="AJ554">
        <v>41.970734999999998</v>
      </c>
      <c r="AK554" t="s">
        <v>533</v>
      </c>
      <c r="AL554">
        <v>-87.901311000000007</v>
      </c>
      <c r="AS554">
        <v>1</v>
      </c>
      <c r="AT554" t="s">
        <v>118</v>
      </c>
      <c r="AU554" t="b">
        <v>1</v>
      </c>
      <c r="AV554">
        <v>171.56</v>
      </c>
      <c r="AW554">
        <v>9.625</v>
      </c>
      <c r="AX554">
        <v>1</v>
      </c>
      <c r="AZ554">
        <v>7205</v>
      </c>
      <c r="BA554">
        <v>1</v>
      </c>
      <c r="BB554" t="str">
        <f t="shared" si="26"/>
        <v xml:space="preserve">KAP400  </v>
      </c>
      <c r="BC554">
        <v>1</v>
      </c>
      <c r="BE554">
        <v>0</v>
      </c>
      <c r="BF554">
        <v>0</v>
      </c>
      <c r="BG554">
        <v>0</v>
      </c>
      <c r="BI554">
        <v>1</v>
      </c>
      <c r="BJ554">
        <v>1</v>
      </c>
      <c r="BK554">
        <v>1</v>
      </c>
      <c r="BL554">
        <v>0</v>
      </c>
      <c r="BO554">
        <v>0</v>
      </c>
      <c r="BP554">
        <v>0</v>
      </c>
      <c r="BW554" t="str">
        <f>"19:12:05.520"</f>
        <v>19:12:05.520</v>
      </c>
      <c r="BX554" t="s">
        <v>119</v>
      </c>
      <c r="BY554" t="s">
        <v>120</v>
      </c>
      <c r="CJ554">
        <v>0</v>
      </c>
      <c r="CK554">
        <v>0</v>
      </c>
      <c r="CL554">
        <v>0</v>
      </c>
      <c r="CM554">
        <v>2</v>
      </c>
      <c r="CN554">
        <v>0</v>
      </c>
      <c r="CO554">
        <v>7</v>
      </c>
      <c r="CP554" t="s">
        <v>121</v>
      </c>
      <c r="CQ554">
        <v>580</v>
      </c>
      <c r="CR554">
        <v>0</v>
      </c>
      <c r="CW554">
        <v>252267</v>
      </c>
      <c r="CY554">
        <v>0</v>
      </c>
      <c r="CZ554">
        <v>0</v>
      </c>
      <c r="DA554">
        <v>0</v>
      </c>
      <c r="DB554">
        <v>1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</row>
    <row r="555" spans="1:113" x14ac:dyDescent="0.3">
      <c r="A555" t="str">
        <f>"06/16/2022 19:12:06.815"</f>
        <v>06/16/2022 19:12:06.815</v>
      </c>
      <c r="C555" t="str">
        <f t="shared" si="24"/>
        <v>FFBF5BC0</v>
      </c>
      <c r="D555" t="s">
        <v>113</v>
      </c>
      <c r="E555">
        <v>8</v>
      </c>
      <c r="H555">
        <v>206</v>
      </c>
      <c r="I555" t="s">
        <v>114</v>
      </c>
      <c r="J555" t="s">
        <v>115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>"19:12:06.523"</f>
        <v>19:12:06.523</v>
      </c>
      <c r="T555" t="str">
        <f>"19:12:06.523"</f>
        <v>19:12:06.523</v>
      </c>
      <c r="U555" t="str">
        <f t="shared" si="25"/>
        <v>AB63B2</v>
      </c>
      <c r="V555">
        <v>0</v>
      </c>
      <c r="W555">
        <v>0</v>
      </c>
      <c r="X555">
        <v>6</v>
      </c>
      <c r="Z555">
        <v>0</v>
      </c>
      <c r="AA555">
        <v>9</v>
      </c>
      <c r="AB555">
        <v>3</v>
      </c>
      <c r="AC555">
        <v>0</v>
      </c>
      <c r="AD555">
        <v>10</v>
      </c>
      <c r="AE555">
        <v>0</v>
      </c>
      <c r="AF555">
        <v>0</v>
      </c>
      <c r="AG555">
        <v>2</v>
      </c>
      <c r="AH555">
        <v>0</v>
      </c>
      <c r="AI555" t="s">
        <v>570</v>
      </c>
      <c r="AJ555">
        <v>41.970713000000003</v>
      </c>
      <c r="AK555" t="s">
        <v>532</v>
      </c>
      <c r="AL555">
        <v>-87.901289000000006</v>
      </c>
      <c r="AS555">
        <v>1</v>
      </c>
      <c r="AT555" t="s">
        <v>118</v>
      </c>
      <c r="AU555" t="b">
        <v>1</v>
      </c>
      <c r="AV555">
        <v>165.94</v>
      </c>
      <c r="AW555">
        <v>9.625</v>
      </c>
      <c r="AX555">
        <v>1</v>
      </c>
      <c r="AZ555">
        <v>7205</v>
      </c>
      <c r="BA555">
        <v>1</v>
      </c>
      <c r="BB555" t="str">
        <f t="shared" si="26"/>
        <v xml:space="preserve">KAP400  </v>
      </c>
      <c r="BC555">
        <v>1</v>
      </c>
      <c r="BE555">
        <v>0</v>
      </c>
      <c r="BF555">
        <v>0</v>
      </c>
      <c r="BG555">
        <v>0</v>
      </c>
      <c r="BI555">
        <v>1</v>
      </c>
      <c r="BJ555">
        <v>1</v>
      </c>
      <c r="BK555">
        <v>1</v>
      </c>
      <c r="BL555">
        <v>0</v>
      </c>
      <c r="BO555">
        <v>0</v>
      </c>
      <c r="BP555">
        <v>0</v>
      </c>
      <c r="BW555" t="str">
        <f>"19:12:06.526"</f>
        <v>19:12:06.526</v>
      </c>
      <c r="BX555" t="s">
        <v>119</v>
      </c>
      <c r="BY555" t="s">
        <v>120</v>
      </c>
      <c r="CJ555">
        <v>0</v>
      </c>
      <c r="CK555">
        <v>0</v>
      </c>
      <c r="CL555">
        <v>0</v>
      </c>
      <c r="CM555">
        <v>2</v>
      </c>
      <c r="CN555">
        <v>0</v>
      </c>
      <c r="CO555">
        <v>7</v>
      </c>
      <c r="CP555" t="s">
        <v>121</v>
      </c>
      <c r="CQ555">
        <v>580</v>
      </c>
      <c r="CR555">
        <v>0</v>
      </c>
      <c r="CW555">
        <v>254166</v>
      </c>
      <c r="CY555">
        <v>0</v>
      </c>
      <c r="CZ555">
        <v>0</v>
      </c>
      <c r="DA555">
        <v>0</v>
      </c>
      <c r="DB555">
        <v>1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</row>
    <row r="556" spans="1:113" x14ac:dyDescent="0.3">
      <c r="A556" t="str">
        <f>"06/16/2022 19:12:07.705"</f>
        <v>06/16/2022 19:12:07.705</v>
      </c>
      <c r="C556" t="str">
        <f t="shared" si="24"/>
        <v>FFBF5BC0</v>
      </c>
      <c r="D556" t="s">
        <v>113</v>
      </c>
      <c r="E556">
        <v>8</v>
      </c>
      <c r="H556">
        <v>206</v>
      </c>
      <c r="I556" t="s">
        <v>114</v>
      </c>
      <c r="J556" t="s">
        <v>115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>"19:12:07.453"</f>
        <v>19:12:07.453</v>
      </c>
      <c r="T556" t="str">
        <f>"19:12:07.453"</f>
        <v>19:12:07.453</v>
      </c>
      <c r="U556" t="str">
        <f t="shared" si="25"/>
        <v>AB63B2</v>
      </c>
      <c r="V556">
        <v>0</v>
      </c>
      <c r="W556">
        <v>0</v>
      </c>
      <c r="X556">
        <v>6</v>
      </c>
      <c r="Z556">
        <v>0</v>
      </c>
      <c r="AA556">
        <v>9</v>
      </c>
      <c r="AB556">
        <v>3</v>
      </c>
      <c r="AC556">
        <v>0</v>
      </c>
      <c r="AD556">
        <v>10</v>
      </c>
      <c r="AE556">
        <v>0</v>
      </c>
      <c r="AF556">
        <v>0</v>
      </c>
      <c r="AG556">
        <v>2</v>
      </c>
      <c r="AH556">
        <v>0</v>
      </c>
      <c r="AI556" t="s">
        <v>571</v>
      </c>
      <c r="AJ556">
        <v>41.970669999999998</v>
      </c>
      <c r="AK556" t="s">
        <v>532</v>
      </c>
      <c r="AL556">
        <v>-87.901289000000006</v>
      </c>
      <c r="AS556">
        <v>1</v>
      </c>
      <c r="AT556" t="s">
        <v>118</v>
      </c>
      <c r="AU556" t="b">
        <v>1</v>
      </c>
      <c r="AV556">
        <v>157.5</v>
      </c>
      <c r="AW556">
        <v>9.625</v>
      </c>
      <c r="AX556">
        <v>1</v>
      </c>
      <c r="AZ556">
        <v>7205</v>
      </c>
      <c r="BA556">
        <v>1</v>
      </c>
      <c r="BB556" t="str">
        <f t="shared" si="26"/>
        <v xml:space="preserve">KAP400  </v>
      </c>
      <c r="BC556">
        <v>1</v>
      </c>
      <c r="BE556">
        <v>0</v>
      </c>
      <c r="BF556">
        <v>0</v>
      </c>
      <c r="BG556">
        <v>0</v>
      </c>
      <c r="BI556">
        <v>1</v>
      </c>
      <c r="BJ556">
        <v>1</v>
      </c>
      <c r="BK556">
        <v>1</v>
      </c>
      <c r="BL556">
        <v>0</v>
      </c>
      <c r="BO556">
        <v>0</v>
      </c>
      <c r="BP556">
        <v>0</v>
      </c>
      <c r="BW556" t="str">
        <f>"19:12:07.455"</f>
        <v>19:12:07.455</v>
      </c>
      <c r="BX556" t="s">
        <v>119</v>
      </c>
      <c r="BY556" t="s">
        <v>120</v>
      </c>
      <c r="CJ556">
        <v>0</v>
      </c>
      <c r="CK556">
        <v>0</v>
      </c>
      <c r="CL556">
        <v>0</v>
      </c>
      <c r="CM556">
        <v>2</v>
      </c>
      <c r="CN556">
        <v>0</v>
      </c>
      <c r="CO556">
        <v>7</v>
      </c>
      <c r="CP556" t="s">
        <v>121</v>
      </c>
      <c r="CQ556">
        <v>580</v>
      </c>
      <c r="CR556">
        <v>0</v>
      </c>
      <c r="CW556">
        <v>255981</v>
      </c>
      <c r="CY556">
        <v>0</v>
      </c>
      <c r="CZ556">
        <v>0</v>
      </c>
      <c r="DA556">
        <v>0</v>
      </c>
      <c r="DB556">
        <v>1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</row>
    <row r="557" spans="1:113" x14ac:dyDescent="0.3">
      <c r="A557" t="str">
        <f>"06/16/2022 19:12:08.720"</f>
        <v>06/16/2022 19:12:08.720</v>
      </c>
      <c r="C557" t="str">
        <f t="shared" si="24"/>
        <v>FFBF5BC0</v>
      </c>
      <c r="D557" t="s">
        <v>113</v>
      </c>
      <c r="E557">
        <v>8</v>
      </c>
      <c r="H557">
        <v>206</v>
      </c>
      <c r="I557" t="s">
        <v>114</v>
      </c>
      <c r="J557" t="s">
        <v>115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>"19:12:08.500"</f>
        <v>19:12:08.500</v>
      </c>
      <c r="T557" t="str">
        <f>"19:12:08.500"</f>
        <v>19:12:08.500</v>
      </c>
      <c r="U557" t="str">
        <f t="shared" si="25"/>
        <v>AB63B2</v>
      </c>
      <c r="V557">
        <v>0</v>
      </c>
      <c r="W557">
        <v>0</v>
      </c>
      <c r="X557">
        <v>6</v>
      </c>
      <c r="Z557">
        <v>0</v>
      </c>
      <c r="AA557">
        <v>9</v>
      </c>
      <c r="AB557">
        <v>3</v>
      </c>
      <c r="AC557">
        <v>0</v>
      </c>
      <c r="AD557">
        <v>10</v>
      </c>
      <c r="AE557">
        <v>0</v>
      </c>
      <c r="AF557">
        <v>0</v>
      </c>
      <c r="AG557">
        <v>2</v>
      </c>
      <c r="AH557">
        <v>0</v>
      </c>
      <c r="AI557" t="s">
        <v>572</v>
      </c>
      <c r="AJ557">
        <v>41.970627</v>
      </c>
      <c r="AK557" t="s">
        <v>530</v>
      </c>
      <c r="AL557">
        <v>-87.901268000000002</v>
      </c>
      <c r="AS557">
        <v>1</v>
      </c>
      <c r="AT557" t="s">
        <v>118</v>
      </c>
      <c r="AU557" t="b">
        <v>1</v>
      </c>
      <c r="AV557">
        <v>149.06</v>
      </c>
      <c r="AW557">
        <v>9.625</v>
      </c>
      <c r="AX557">
        <v>1</v>
      </c>
      <c r="AZ557">
        <v>7205</v>
      </c>
      <c r="BA557">
        <v>1</v>
      </c>
      <c r="BB557" t="str">
        <f t="shared" si="26"/>
        <v xml:space="preserve">KAP400  </v>
      </c>
      <c r="BC557">
        <v>1</v>
      </c>
      <c r="BE557">
        <v>0</v>
      </c>
      <c r="BF557">
        <v>0</v>
      </c>
      <c r="BG557">
        <v>0</v>
      </c>
      <c r="BI557">
        <v>1</v>
      </c>
      <c r="BJ557">
        <v>1</v>
      </c>
      <c r="BK557">
        <v>1</v>
      </c>
      <c r="BL557">
        <v>0</v>
      </c>
      <c r="BO557">
        <v>0</v>
      </c>
      <c r="BP557">
        <v>0</v>
      </c>
      <c r="BW557" t="str">
        <f>"19:12:08.507"</f>
        <v>19:12:08.507</v>
      </c>
      <c r="BX557" t="s">
        <v>119</v>
      </c>
      <c r="BY557" t="s">
        <v>120</v>
      </c>
      <c r="CJ557">
        <v>0</v>
      </c>
      <c r="CK557">
        <v>0</v>
      </c>
      <c r="CL557">
        <v>0</v>
      </c>
      <c r="CM557">
        <v>2</v>
      </c>
      <c r="CN557">
        <v>0</v>
      </c>
      <c r="CO557">
        <v>7</v>
      </c>
      <c r="CP557" t="s">
        <v>121</v>
      </c>
      <c r="CQ557">
        <v>580</v>
      </c>
      <c r="CR557">
        <v>0</v>
      </c>
      <c r="CW557">
        <v>258063</v>
      </c>
      <c r="CY557">
        <v>0</v>
      </c>
      <c r="CZ557">
        <v>0</v>
      </c>
      <c r="DA557">
        <v>0</v>
      </c>
      <c r="DB557">
        <v>1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</row>
    <row r="558" spans="1:113" x14ac:dyDescent="0.3">
      <c r="A558" t="str">
        <f>"06/16/2022 19:12:09.736"</f>
        <v>06/16/2022 19:12:09.736</v>
      </c>
      <c r="C558" t="str">
        <f t="shared" si="24"/>
        <v>FFBF5BC0</v>
      </c>
      <c r="D558" t="s">
        <v>113</v>
      </c>
      <c r="E558">
        <v>8</v>
      </c>
      <c r="H558">
        <v>206</v>
      </c>
      <c r="I558" t="s">
        <v>114</v>
      </c>
      <c r="J558" t="s">
        <v>115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>"19:12:09.500"</f>
        <v>19:12:09.500</v>
      </c>
      <c r="T558" t="str">
        <f>"19:12:09.500"</f>
        <v>19:12:09.500</v>
      </c>
      <c r="U558" t="str">
        <f t="shared" si="25"/>
        <v>AB63B2</v>
      </c>
      <c r="V558">
        <v>0</v>
      </c>
      <c r="W558">
        <v>0</v>
      </c>
      <c r="X558">
        <v>6</v>
      </c>
      <c r="Z558">
        <v>0</v>
      </c>
      <c r="AA558">
        <v>9</v>
      </c>
      <c r="AB558">
        <v>3</v>
      </c>
      <c r="AC558">
        <v>0</v>
      </c>
      <c r="AD558">
        <v>10</v>
      </c>
      <c r="AE558">
        <v>0</v>
      </c>
      <c r="AF558">
        <v>0</v>
      </c>
      <c r="AG558">
        <v>2</v>
      </c>
      <c r="AH558">
        <v>0</v>
      </c>
      <c r="AI558" t="s">
        <v>573</v>
      </c>
      <c r="AJ558">
        <v>41.970584000000002</v>
      </c>
      <c r="AK558" t="s">
        <v>528</v>
      </c>
      <c r="AL558">
        <v>-87.901246999999998</v>
      </c>
      <c r="AS558">
        <v>1</v>
      </c>
      <c r="AT558" t="s">
        <v>118</v>
      </c>
      <c r="AU558" t="b">
        <v>1</v>
      </c>
      <c r="AV558">
        <v>143.44</v>
      </c>
      <c r="AW558">
        <v>9.125</v>
      </c>
      <c r="AX558">
        <v>1</v>
      </c>
      <c r="AZ558">
        <v>7205</v>
      </c>
      <c r="BA558">
        <v>1</v>
      </c>
      <c r="BB558" t="str">
        <f t="shared" si="26"/>
        <v xml:space="preserve">KAP400  </v>
      </c>
      <c r="BC558">
        <v>1</v>
      </c>
      <c r="BE558">
        <v>0</v>
      </c>
      <c r="BF558">
        <v>0</v>
      </c>
      <c r="BG558">
        <v>0</v>
      </c>
      <c r="BI558">
        <v>1</v>
      </c>
      <c r="BJ558">
        <v>1</v>
      </c>
      <c r="BK558">
        <v>1</v>
      </c>
      <c r="BL558">
        <v>0</v>
      </c>
      <c r="BO558">
        <v>0</v>
      </c>
      <c r="BP558">
        <v>0</v>
      </c>
      <c r="BW558" t="str">
        <f>"19:12:09.505"</f>
        <v>19:12:09.505</v>
      </c>
      <c r="BX558" t="s">
        <v>119</v>
      </c>
      <c r="BY558" t="s">
        <v>120</v>
      </c>
      <c r="CJ558">
        <v>0</v>
      </c>
      <c r="CK558">
        <v>0</v>
      </c>
      <c r="CL558">
        <v>0</v>
      </c>
      <c r="CM558">
        <v>2</v>
      </c>
      <c r="CN558">
        <v>0</v>
      </c>
      <c r="CO558">
        <v>7</v>
      </c>
      <c r="CP558" t="s">
        <v>121</v>
      </c>
      <c r="CQ558">
        <v>580</v>
      </c>
      <c r="CR558">
        <v>0</v>
      </c>
      <c r="CW558">
        <v>260040</v>
      </c>
      <c r="CY558">
        <v>0</v>
      </c>
      <c r="CZ558">
        <v>0</v>
      </c>
      <c r="DA558">
        <v>0</v>
      </c>
      <c r="DB558">
        <v>1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</row>
    <row r="559" spans="1:113" x14ac:dyDescent="0.3">
      <c r="A559" t="str">
        <f>"06/16/2022 19:12:10.736"</f>
        <v>06/16/2022 19:12:10.736</v>
      </c>
      <c r="C559" t="str">
        <f t="shared" si="24"/>
        <v>FFBF5BC0</v>
      </c>
      <c r="D559" t="s">
        <v>113</v>
      </c>
      <c r="E559">
        <v>8</v>
      </c>
      <c r="H559">
        <v>206</v>
      </c>
      <c r="I559" t="s">
        <v>114</v>
      </c>
      <c r="J559" t="s">
        <v>115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>"19:12:10.391"</f>
        <v>19:12:10.391</v>
      </c>
      <c r="T559" t="str">
        <f>"19:12:10.391"</f>
        <v>19:12:10.391</v>
      </c>
      <c r="U559" t="str">
        <f t="shared" si="25"/>
        <v>AB63B2</v>
      </c>
      <c r="V559">
        <v>0</v>
      </c>
      <c r="W559">
        <v>0</v>
      </c>
      <c r="X559">
        <v>6</v>
      </c>
      <c r="Z559">
        <v>0</v>
      </c>
      <c r="AA559">
        <v>9</v>
      </c>
      <c r="AB559">
        <v>3</v>
      </c>
      <c r="AC559">
        <v>0</v>
      </c>
      <c r="AD559">
        <v>10</v>
      </c>
      <c r="AE559">
        <v>0</v>
      </c>
      <c r="AF559">
        <v>0</v>
      </c>
      <c r="AG559">
        <v>2</v>
      </c>
      <c r="AH559">
        <v>0</v>
      </c>
      <c r="AI559" t="s">
        <v>574</v>
      </c>
      <c r="AJ559">
        <v>41.970562999999999</v>
      </c>
      <c r="AK559" t="s">
        <v>525</v>
      </c>
      <c r="AL559">
        <v>-87.901204000000007</v>
      </c>
      <c r="AS559">
        <v>1</v>
      </c>
      <c r="AT559" t="s">
        <v>118</v>
      </c>
      <c r="AU559" t="b">
        <v>1</v>
      </c>
      <c r="AV559">
        <v>137.81</v>
      </c>
      <c r="AW559">
        <v>8.625</v>
      </c>
      <c r="AX559">
        <v>1</v>
      </c>
      <c r="AZ559">
        <v>7205</v>
      </c>
      <c r="BA559">
        <v>1</v>
      </c>
      <c r="BB559" t="str">
        <f t="shared" si="26"/>
        <v xml:space="preserve">KAP400  </v>
      </c>
      <c r="BC559">
        <v>1</v>
      </c>
      <c r="BE559">
        <v>0</v>
      </c>
      <c r="BF559">
        <v>0</v>
      </c>
      <c r="BG559">
        <v>0</v>
      </c>
      <c r="BI559">
        <v>1</v>
      </c>
      <c r="BJ559">
        <v>1</v>
      </c>
      <c r="BK559">
        <v>1</v>
      </c>
      <c r="BL559">
        <v>0</v>
      </c>
      <c r="BO559">
        <v>0</v>
      </c>
      <c r="BP559">
        <v>0</v>
      </c>
      <c r="BW559" t="str">
        <f>"19:12:10.393"</f>
        <v>19:12:10.393</v>
      </c>
      <c r="BX559" t="s">
        <v>119</v>
      </c>
      <c r="BY559" t="s">
        <v>120</v>
      </c>
      <c r="CJ559">
        <v>0</v>
      </c>
      <c r="CK559">
        <v>0</v>
      </c>
      <c r="CL559">
        <v>0</v>
      </c>
      <c r="CM559">
        <v>2</v>
      </c>
      <c r="CN559">
        <v>0</v>
      </c>
      <c r="CO559">
        <v>6</v>
      </c>
      <c r="CP559" t="s">
        <v>121</v>
      </c>
      <c r="CQ559">
        <v>579</v>
      </c>
      <c r="CR559">
        <v>0</v>
      </c>
      <c r="CW559">
        <v>1356447</v>
      </c>
      <c r="CY559">
        <v>0</v>
      </c>
      <c r="CZ559">
        <v>0</v>
      </c>
      <c r="DA559">
        <v>0</v>
      </c>
      <c r="DB559">
        <v>1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</row>
    <row r="560" spans="1:113" x14ac:dyDescent="0.3">
      <c r="A560" t="str">
        <f>"06/16/2022 19:12:11.690"</f>
        <v>06/16/2022 19:12:11.690</v>
      </c>
      <c r="C560" t="str">
        <f t="shared" si="24"/>
        <v>FFBF5BC0</v>
      </c>
      <c r="D560" t="s">
        <v>113</v>
      </c>
      <c r="E560">
        <v>8</v>
      </c>
      <c r="H560">
        <v>206</v>
      </c>
      <c r="I560" t="s">
        <v>114</v>
      </c>
      <c r="J560" t="s">
        <v>115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>"19:12:11.477"</f>
        <v>19:12:11.477</v>
      </c>
      <c r="T560" t="str">
        <f>"19:12:11.477"</f>
        <v>19:12:11.477</v>
      </c>
      <c r="U560" t="str">
        <f t="shared" si="25"/>
        <v>AB63B2</v>
      </c>
      <c r="V560">
        <v>0</v>
      </c>
      <c r="W560">
        <v>0</v>
      </c>
      <c r="X560">
        <v>6</v>
      </c>
      <c r="Z560">
        <v>0</v>
      </c>
      <c r="AA560">
        <v>9</v>
      </c>
      <c r="AB560">
        <v>3</v>
      </c>
      <c r="AC560">
        <v>0</v>
      </c>
      <c r="AD560">
        <v>10</v>
      </c>
      <c r="AE560">
        <v>0</v>
      </c>
      <c r="AF560">
        <v>0</v>
      </c>
      <c r="AG560">
        <v>2</v>
      </c>
      <c r="AH560">
        <v>0</v>
      </c>
      <c r="AI560" t="s">
        <v>575</v>
      </c>
      <c r="AJ560">
        <v>41.97052</v>
      </c>
      <c r="AK560" t="s">
        <v>524</v>
      </c>
      <c r="AL560">
        <v>-87.901182000000006</v>
      </c>
      <c r="AS560">
        <v>1</v>
      </c>
      <c r="AT560" t="s">
        <v>118</v>
      </c>
      <c r="AU560" t="b">
        <v>1</v>
      </c>
      <c r="AV560">
        <v>129.38</v>
      </c>
      <c r="AW560">
        <v>8.125</v>
      </c>
      <c r="AX560">
        <v>1</v>
      </c>
      <c r="AZ560">
        <v>7205</v>
      </c>
      <c r="BA560">
        <v>1</v>
      </c>
      <c r="BB560" t="str">
        <f t="shared" si="26"/>
        <v xml:space="preserve">KAP400  </v>
      </c>
      <c r="BC560">
        <v>1</v>
      </c>
      <c r="BE560">
        <v>0</v>
      </c>
      <c r="BF560">
        <v>0</v>
      </c>
      <c r="BG560">
        <v>0</v>
      </c>
      <c r="BI560">
        <v>1</v>
      </c>
      <c r="BJ560">
        <v>1</v>
      </c>
      <c r="BK560">
        <v>1</v>
      </c>
      <c r="BL560">
        <v>0</v>
      </c>
      <c r="BO560">
        <v>0</v>
      </c>
      <c r="BP560">
        <v>0</v>
      </c>
      <c r="BW560" t="str">
        <f>"19:12:11.478"</f>
        <v>19:12:11.478</v>
      </c>
      <c r="BX560" t="s">
        <v>119</v>
      </c>
      <c r="BY560" t="s">
        <v>120</v>
      </c>
      <c r="CJ560">
        <v>0</v>
      </c>
      <c r="CK560">
        <v>0</v>
      </c>
      <c r="CL560">
        <v>0</v>
      </c>
      <c r="CM560">
        <v>2</v>
      </c>
      <c r="CN560">
        <v>0</v>
      </c>
      <c r="CO560">
        <v>7</v>
      </c>
      <c r="CP560" t="s">
        <v>121</v>
      </c>
      <c r="CQ560">
        <v>579</v>
      </c>
      <c r="CR560">
        <v>0</v>
      </c>
      <c r="CW560">
        <v>1358502</v>
      </c>
      <c r="CY560">
        <v>0</v>
      </c>
      <c r="CZ560">
        <v>0</v>
      </c>
      <c r="DA560">
        <v>0</v>
      </c>
      <c r="DB560">
        <v>1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</row>
    <row r="561" spans="1:113" x14ac:dyDescent="0.3">
      <c r="A561" t="str">
        <f>"06/16/2022 19:12:12.689"</f>
        <v>06/16/2022 19:12:12.689</v>
      </c>
      <c r="C561" t="str">
        <f t="shared" si="24"/>
        <v>FFBF5BC0</v>
      </c>
      <c r="D561" t="s">
        <v>113</v>
      </c>
      <c r="E561">
        <v>8</v>
      </c>
      <c r="H561">
        <v>206</v>
      </c>
      <c r="I561" t="s">
        <v>114</v>
      </c>
      <c r="J561" t="s">
        <v>115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>"19:12:12.469"</f>
        <v>19:12:12.469</v>
      </c>
      <c r="T561" t="str">
        <f>"19:12:12.469"</f>
        <v>19:12:12.469</v>
      </c>
      <c r="U561" t="str">
        <f t="shared" si="25"/>
        <v>AB63B2</v>
      </c>
      <c r="V561">
        <v>0</v>
      </c>
      <c r="W561">
        <v>0</v>
      </c>
      <c r="X561">
        <v>6</v>
      </c>
      <c r="Z561">
        <v>0</v>
      </c>
      <c r="AA561">
        <v>9</v>
      </c>
      <c r="AB561">
        <v>3</v>
      </c>
      <c r="AC561">
        <v>0</v>
      </c>
      <c r="AD561">
        <v>10</v>
      </c>
      <c r="AE561">
        <v>0</v>
      </c>
      <c r="AF561">
        <v>0</v>
      </c>
      <c r="AG561">
        <v>2</v>
      </c>
      <c r="AH561">
        <v>0</v>
      </c>
      <c r="AI561" t="s">
        <v>576</v>
      </c>
      <c r="AJ561">
        <v>41.970498999999997</v>
      </c>
      <c r="AK561" t="s">
        <v>521</v>
      </c>
      <c r="AL561">
        <v>-87.901139000000001</v>
      </c>
      <c r="AS561">
        <v>1</v>
      </c>
      <c r="AT561" t="s">
        <v>118</v>
      </c>
      <c r="AU561" t="b">
        <v>1</v>
      </c>
      <c r="AV561">
        <v>126.56</v>
      </c>
      <c r="AW561">
        <v>8.125</v>
      </c>
      <c r="AX561">
        <v>1</v>
      </c>
      <c r="AZ561">
        <v>7205</v>
      </c>
      <c r="BA561">
        <v>1</v>
      </c>
      <c r="BB561" t="str">
        <f t="shared" si="26"/>
        <v xml:space="preserve">KAP400  </v>
      </c>
      <c r="BC561">
        <v>1</v>
      </c>
      <c r="BE561">
        <v>0</v>
      </c>
      <c r="BF561">
        <v>0</v>
      </c>
      <c r="BG561">
        <v>0</v>
      </c>
      <c r="BI561">
        <v>1</v>
      </c>
      <c r="BJ561">
        <v>1</v>
      </c>
      <c r="BK561">
        <v>1</v>
      </c>
      <c r="BL561">
        <v>0</v>
      </c>
      <c r="BO561">
        <v>0</v>
      </c>
      <c r="BP561">
        <v>0</v>
      </c>
      <c r="BW561" t="str">
        <f>"19:12:12.469"</f>
        <v>19:12:12.469</v>
      </c>
      <c r="BX561" t="s">
        <v>119</v>
      </c>
      <c r="BY561" t="s">
        <v>120</v>
      </c>
      <c r="CJ561">
        <v>0</v>
      </c>
      <c r="CK561">
        <v>0</v>
      </c>
      <c r="CL561">
        <v>0</v>
      </c>
      <c r="CM561">
        <v>2</v>
      </c>
      <c r="CN561">
        <v>0</v>
      </c>
      <c r="CO561">
        <v>7</v>
      </c>
      <c r="CP561" t="s">
        <v>121</v>
      </c>
      <c r="CQ561">
        <v>579</v>
      </c>
      <c r="CR561">
        <v>0</v>
      </c>
      <c r="CW561">
        <v>1360540</v>
      </c>
      <c r="CY561">
        <v>0</v>
      </c>
      <c r="CZ561">
        <v>0</v>
      </c>
      <c r="DA561">
        <v>0</v>
      </c>
      <c r="DB561">
        <v>1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</row>
    <row r="562" spans="1:113" x14ac:dyDescent="0.3">
      <c r="A562" t="str">
        <f>"06/16/2022 19:12:27.862"</f>
        <v>06/16/2022 19:12:27.862</v>
      </c>
      <c r="C562" t="str">
        <f t="shared" si="24"/>
        <v>FFBF5BC0</v>
      </c>
      <c r="D562" t="s">
        <v>113</v>
      </c>
      <c r="E562">
        <v>8</v>
      </c>
      <c r="H562">
        <v>206</v>
      </c>
      <c r="I562" t="s">
        <v>114</v>
      </c>
      <c r="J562" t="s">
        <v>115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>"19:12:27.648"</f>
        <v>19:12:27.648</v>
      </c>
      <c r="T562" t="str">
        <f>"19:12:27.648"</f>
        <v>19:12:27.648</v>
      </c>
      <c r="U562" t="str">
        <f t="shared" si="25"/>
        <v>AB63B2</v>
      </c>
      <c r="V562">
        <v>0</v>
      </c>
      <c r="W562">
        <v>0</v>
      </c>
      <c r="X562">
        <v>6</v>
      </c>
      <c r="Z562">
        <v>0</v>
      </c>
      <c r="AA562">
        <v>9</v>
      </c>
      <c r="AB562">
        <v>3</v>
      </c>
      <c r="AC562">
        <v>0</v>
      </c>
      <c r="AD562">
        <v>10</v>
      </c>
      <c r="AE562">
        <v>0</v>
      </c>
      <c r="AF562">
        <v>0</v>
      </c>
      <c r="AG562">
        <v>2</v>
      </c>
      <c r="AH562">
        <v>0</v>
      </c>
      <c r="AI562" t="s">
        <v>577</v>
      </c>
      <c r="AJ562">
        <v>41.970433999999997</v>
      </c>
      <c r="AK562" t="s">
        <v>578</v>
      </c>
      <c r="AL562">
        <v>-87.900345000000002</v>
      </c>
      <c r="AS562">
        <v>1</v>
      </c>
      <c r="AT562" t="s">
        <v>118</v>
      </c>
      <c r="AU562" t="b">
        <v>1</v>
      </c>
      <c r="AV562">
        <v>90</v>
      </c>
      <c r="AW562">
        <v>9.625</v>
      </c>
      <c r="AX562">
        <v>1</v>
      </c>
      <c r="AZ562">
        <v>7205</v>
      </c>
      <c r="BA562">
        <v>1</v>
      </c>
      <c r="BB562" t="str">
        <f t="shared" si="26"/>
        <v xml:space="preserve">KAP400  </v>
      </c>
      <c r="BC562">
        <v>1</v>
      </c>
      <c r="BE562">
        <v>0</v>
      </c>
      <c r="BF562">
        <v>0</v>
      </c>
      <c r="BG562">
        <v>0</v>
      </c>
      <c r="BI562">
        <v>1</v>
      </c>
      <c r="BJ562">
        <v>1</v>
      </c>
      <c r="BK562">
        <v>1</v>
      </c>
      <c r="BL562">
        <v>0</v>
      </c>
      <c r="BO562">
        <v>0</v>
      </c>
      <c r="BP562">
        <v>0</v>
      </c>
      <c r="BW562" t="str">
        <f>"19:12:27.651"</f>
        <v>19:12:27.651</v>
      </c>
      <c r="BX562" t="s">
        <v>119</v>
      </c>
      <c r="BY562" t="s">
        <v>120</v>
      </c>
      <c r="CJ562">
        <v>0</v>
      </c>
      <c r="CK562">
        <v>0</v>
      </c>
      <c r="CL562">
        <v>0</v>
      </c>
      <c r="CM562">
        <v>2</v>
      </c>
      <c r="CN562">
        <v>0</v>
      </c>
      <c r="CO562">
        <v>7</v>
      </c>
      <c r="CP562" t="s">
        <v>121</v>
      </c>
      <c r="CQ562">
        <v>580</v>
      </c>
      <c r="CR562">
        <v>0</v>
      </c>
      <c r="CW562">
        <v>294719</v>
      </c>
      <c r="CY562">
        <v>0</v>
      </c>
      <c r="CZ562">
        <v>0</v>
      </c>
      <c r="DA562">
        <v>0</v>
      </c>
      <c r="DB562">
        <v>1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</row>
    <row r="563" spans="1:113" x14ac:dyDescent="0.3">
      <c r="A563" t="str">
        <f>"06/16/2022 19:12:29.534"</f>
        <v>06/16/2022 19:12:29.534</v>
      </c>
      <c r="C563" t="str">
        <f t="shared" si="24"/>
        <v>FFBF5BC0</v>
      </c>
      <c r="D563" t="s">
        <v>113</v>
      </c>
      <c r="E563">
        <v>8</v>
      </c>
      <c r="H563">
        <v>206</v>
      </c>
      <c r="I563" t="s">
        <v>114</v>
      </c>
      <c r="J563" t="s">
        <v>115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>"19:12:29.250"</f>
        <v>19:12:29.250</v>
      </c>
      <c r="T563" t="str">
        <f>"19:12:29.250"</f>
        <v>19:12:29.250</v>
      </c>
      <c r="U563" t="str">
        <f t="shared" si="25"/>
        <v>AB63B2</v>
      </c>
      <c r="V563">
        <v>0</v>
      </c>
      <c r="W563">
        <v>0</v>
      </c>
      <c r="X563">
        <v>6</v>
      </c>
      <c r="Z563">
        <v>0</v>
      </c>
      <c r="AA563">
        <v>9</v>
      </c>
      <c r="AB563">
        <v>3</v>
      </c>
      <c r="AC563">
        <v>0</v>
      </c>
      <c r="AD563">
        <v>10</v>
      </c>
      <c r="AE563">
        <v>0</v>
      </c>
      <c r="AF563">
        <v>0</v>
      </c>
      <c r="AG563">
        <v>2</v>
      </c>
      <c r="AH563">
        <v>0</v>
      </c>
      <c r="AI563" t="s">
        <v>577</v>
      </c>
      <c r="AJ563">
        <v>41.970433999999997</v>
      </c>
      <c r="AK563" t="s">
        <v>579</v>
      </c>
      <c r="AL563">
        <v>-87.900259000000005</v>
      </c>
      <c r="AS563">
        <v>1</v>
      </c>
      <c r="AT563" t="s">
        <v>118</v>
      </c>
      <c r="AU563" t="b">
        <v>1</v>
      </c>
      <c r="AV563">
        <v>87.19</v>
      </c>
      <c r="AW563">
        <v>9.625</v>
      </c>
      <c r="AX563">
        <v>1</v>
      </c>
      <c r="AZ563">
        <v>7205</v>
      </c>
      <c r="BA563">
        <v>1</v>
      </c>
      <c r="BB563" t="str">
        <f t="shared" si="26"/>
        <v xml:space="preserve">KAP400  </v>
      </c>
      <c r="BC563">
        <v>1</v>
      </c>
      <c r="BE563">
        <v>0</v>
      </c>
      <c r="BF563">
        <v>0</v>
      </c>
      <c r="BG563">
        <v>0</v>
      </c>
      <c r="BI563">
        <v>1</v>
      </c>
      <c r="BJ563">
        <v>1</v>
      </c>
      <c r="BK563">
        <v>1</v>
      </c>
      <c r="BL563">
        <v>0</v>
      </c>
      <c r="BO563">
        <v>0</v>
      </c>
      <c r="BP563">
        <v>0</v>
      </c>
      <c r="BW563" t="str">
        <f>"19:12:29.253"</f>
        <v>19:12:29.253</v>
      </c>
      <c r="BX563" t="s">
        <v>119</v>
      </c>
      <c r="BY563" t="s">
        <v>120</v>
      </c>
      <c r="CJ563">
        <v>0</v>
      </c>
      <c r="CK563">
        <v>0</v>
      </c>
      <c r="CL563">
        <v>0</v>
      </c>
      <c r="CM563">
        <v>2</v>
      </c>
      <c r="CN563">
        <v>0</v>
      </c>
      <c r="CO563">
        <v>6</v>
      </c>
      <c r="CP563" t="s">
        <v>121</v>
      </c>
      <c r="CQ563">
        <v>579</v>
      </c>
      <c r="CR563">
        <v>0</v>
      </c>
      <c r="CW563">
        <v>1393309</v>
      </c>
      <c r="CY563">
        <v>0</v>
      </c>
      <c r="CZ563">
        <v>0</v>
      </c>
      <c r="DA563">
        <v>0</v>
      </c>
      <c r="DB563">
        <v>1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</row>
    <row r="564" spans="1:113" x14ac:dyDescent="0.3">
      <c r="A564" t="str">
        <f>"06/16/2022 19:12:31.002"</f>
        <v>06/16/2022 19:12:31.002</v>
      </c>
      <c r="C564" t="str">
        <f t="shared" si="24"/>
        <v>FFBF5BC0</v>
      </c>
      <c r="D564" t="s">
        <v>113</v>
      </c>
      <c r="E564">
        <v>8</v>
      </c>
      <c r="H564">
        <v>206</v>
      </c>
      <c r="I564" t="s">
        <v>114</v>
      </c>
      <c r="J564" t="s">
        <v>115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>"19:12:30.586"</f>
        <v>19:12:30.586</v>
      </c>
      <c r="T564" t="str">
        <f>"19:12:30.586"</f>
        <v>19:12:30.586</v>
      </c>
      <c r="U564" t="str">
        <f t="shared" si="25"/>
        <v>AB63B2</v>
      </c>
      <c r="V564">
        <v>0</v>
      </c>
      <c r="W564">
        <v>0</v>
      </c>
      <c r="X564">
        <v>6</v>
      </c>
      <c r="Z564">
        <v>0</v>
      </c>
      <c r="AA564">
        <v>9</v>
      </c>
      <c r="AB564">
        <v>3</v>
      </c>
      <c r="AC564">
        <v>0</v>
      </c>
      <c r="AD564">
        <v>10</v>
      </c>
      <c r="AE564">
        <v>0</v>
      </c>
      <c r="AF564">
        <v>0</v>
      </c>
      <c r="AG564">
        <v>2</v>
      </c>
      <c r="AH564">
        <v>0</v>
      </c>
      <c r="AI564" t="s">
        <v>577</v>
      </c>
      <c r="AJ564">
        <v>41.970433999999997</v>
      </c>
      <c r="AK564" t="s">
        <v>580</v>
      </c>
      <c r="AL564">
        <v>-87.900194999999997</v>
      </c>
      <c r="AS564">
        <v>1</v>
      </c>
      <c r="AT564" t="s">
        <v>118</v>
      </c>
      <c r="AU564" t="b">
        <v>1</v>
      </c>
      <c r="AV564">
        <v>87.19</v>
      </c>
      <c r="AW564">
        <v>9.125</v>
      </c>
      <c r="AX564">
        <v>1</v>
      </c>
      <c r="AZ564">
        <v>7205</v>
      </c>
      <c r="BA564">
        <v>1</v>
      </c>
      <c r="BB564" t="str">
        <f t="shared" si="26"/>
        <v xml:space="preserve">KAP400  </v>
      </c>
      <c r="BC564">
        <v>1</v>
      </c>
      <c r="BE564">
        <v>0</v>
      </c>
      <c r="BF564">
        <v>0</v>
      </c>
      <c r="BG564">
        <v>0</v>
      </c>
      <c r="BI564">
        <v>1</v>
      </c>
      <c r="BJ564">
        <v>1</v>
      </c>
      <c r="BK564">
        <v>1</v>
      </c>
      <c r="BL564">
        <v>0</v>
      </c>
      <c r="BO564">
        <v>0</v>
      </c>
      <c r="BP564">
        <v>0</v>
      </c>
      <c r="BW564" t="str">
        <f>"19:12:30.587"</f>
        <v>19:12:30.587</v>
      </c>
      <c r="BX564" t="s">
        <v>119</v>
      </c>
      <c r="BY564" t="s">
        <v>120</v>
      </c>
      <c r="CJ564">
        <v>0</v>
      </c>
      <c r="CK564">
        <v>0</v>
      </c>
      <c r="CL564">
        <v>0</v>
      </c>
      <c r="CM564">
        <v>2</v>
      </c>
      <c r="CN564">
        <v>0</v>
      </c>
      <c r="CO564">
        <v>6</v>
      </c>
      <c r="CP564" t="s">
        <v>121</v>
      </c>
      <c r="CQ564">
        <v>580</v>
      </c>
      <c r="CR564">
        <v>0</v>
      </c>
      <c r="CW564">
        <v>300278</v>
      </c>
      <c r="CY564">
        <v>0</v>
      </c>
      <c r="CZ564">
        <v>0</v>
      </c>
      <c r="DA564">
        <v>0</v>
      </c>
      <c r="DB564">
        <v>1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</row>
    <row r="565" spans="1:113" x14ac:dyDescent="0.3">
      <c r="A565" t="str">
        <f>"06/16/2022 19:12:32.548"</f>
        <v>06/16/2022 19:12:32.548</v>
      </c>
      <c r="C565" t="str">
        <f t="shared" si="24"/>
        <v>FFBF5BC0</v>
      </c>
      <c r="D565" t="s">
        <v>113</v>
      </c>
      <c r="E565">
        <v>8</v>
      </c>
      <c r="H565">
        <v>206</v>
      </c>
      <c r="I565" t="s">
        <v>114</v>
      </c>
      <c r="J565" t="s">
        <v>115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>"19:12:32.000"</f>
        <v>19:12:32.000</v>
      </c>
      <c r="T565" t="str">
        <f>"19:12:32.000"</f>
        <v>19:12:32.000</v>
      </c>
      <c r="U565" t="str">
        <f t="shared" si="25"/>
        <v>AB63B2</v>
      </c>
      <c r="V565">
        <v>0</v>
      </c>
      <c r="W565">
        <v>0</v>
      </c>
      <c r="X565">
        <v>6</v>
      </c>
      <c r="Z565">
        <v>0</v>
      </c>
      <c r="AA565">
        <v>9</v>
      </c>
      <c r="AB565">
        <v>3</v>
      </c>
      <c r="AC565">
        <v>0</v>
      </c>
      <c r="AD565">
        <v>10</v>
      </c>
      <c r="AE565">
        <v>0</v>
      </c>
      <c r="AF565">
        <v>0</v>
      </c>
      <c r="AG565">
        <v>2</v>
      </c>
      <c r="AH565">
        <v>0</v>
      </c>
      <c r="AI565" t="s">
        <v>577</v>
      </c>
      <c r="AJ565">
        <v>41.970433999999997</v>
      </c>
      <c r="AK565" t="s">
        <v>581</v>
      </c>
      <c r="AL565">
        <v>-87.900109</v>
      </c>
      <c r="AS565">
        <v>1</v>
      </c>
      <c r="AT565" t="s">
        <v>118</v>
      </c>
      <c r="AU565" t="b">
        <v>1</v>
      </c>
      <c r="AV565">
        <v>87.19</v>
      </c>
      <c r="AW565">
        <v>9.625</v>
      </c>
      <c r="AX565">
        <v>1</v>
      </c>
      <c r="AZ565">
        <v>7205</v>
      </c>
      <c r="BA565">
        <v>1</v>
      </c>
      <c r="BB565" t="str">
        <f t="shared" si="26"/>
        <v xml:space="preserve">KAP400  </v>
      </c>
      <c r="BC565">
        <v>1</v>
      </c>
      <c r="BE565">
        <v>0</v>
      </c>
      <c r="BF565">
        <v>0</v>
      </c>
      <c r="BG565">
        <v>0</v>
      </c>
      <c r="BI565">
        <v>1</v>
      </c>
      <c r="BJ565">
        <v>1</v>
      </c>
      <c r="BK565">
        <v>1</v>
      </c>
      <c r="BL565">
        <v>0</v>
      </c>
      <c r="BO565">
        <v>0</v>
      </c>
      <c r="BP565">
        <v>0</v>
      </c>
      <c r="BW565" t="str">
        <f>"19:12:32.004"</f>
        <v>19:12:32.004</v>
      </c>
      <c r="BX565" t="s">
        <v>119</v>
      </c>
      <c r="BY565" t="s">
        <v>120</v>
      </c>
      <c r="CJ565">
        <v>0</v>
      </c>
      <c r="CK565">
        <v>0</v>
      </c>
      <c r="CL565">
        <v>0</v>
      </c>
      <c r="CM565">
        <v>2</v>
      </c>
      <c r="CN565">
        <v>0</v>
      </c>
      <c r="CO565">
        <v>6</v>
      </c>
      <c r="CP565" t="s">
        <v>121</v>
      </c>
      <c r="CQ565">
        <v>579</v>
      </c>
      <c r="CR565">
        <v>0</v>
      </c>
      <c r="CW565">
        <v>1398802</v>
      </c>
      <c r="CY565">
        <v>0</v>
      </c>
      <c r="CZ565">
        <v>0</v>
      </c>
      <c r="DA565">
        <v>0</v>
      </c>
      <c r="DB565">
        <v>1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</row>
    <row r="566" spans="1:113" x14ac:dyDescent="0.3">
      <c r="A566" t="str">
        <f>"06/16/2022 19:12:33.298"</f>
        <v>06/16/2022 19:12:33.298</v>
      </c>
      <c r="C566" t="str">
        <f t="shared" si="24"/>
        <v>FFBF5BC0</v>
      </c>
      <c r="D566" t="s">
        <v>113</v>
      </c>
      <c r="E566">
        <v>8</v>
      </c>
      <c r="H566">
        <v>206</v>
      </c>
      <c r="I566" t="s">
        <v>114</v>
      </c>
      <c r="J566" t="s">
        <v>115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>"19:12:33.063"</f>
        <v>19:12:33.063</v>
      </c>
      <c r="T566" t="str">
        <f>"19:12:33.063"</f>
        <v>19:12:33.063</v>
      </c>
      <c r="U566" t="str">
        <f t="shared" si="25"/>
        <v>AB63B2</v>
      </c>
      <c r="V566">
        <v>0</v>
      </c>
      <c r="W566">
        <v>0</v>
      </c>
      <c r="X566">
        <v>6</v>
      </c>
      <c r="Z566">
        <v>0</v>
      </c>
      <c r="AA566">
        <v>9</v>
      </c>
      <c r="AB566">
        <v>3</v>
      </c>
      <c r="AC566">
        <v>0</v>
      </c>
      <c r="AD566">
        <v>10</v>
      </c>
      <c r="AE566">
        <v>0</v>
      </c>
      <c r="AF566">
        <v>0</v>
      </c>
      <c r="AG566">
        <v>2</v>
      </c>
      <c r="AH566">
        <v>0</v>
      </c>
      <c r="AI566" t="s">
        <v>577</v>
      </c>
      <c r="AJ566">
        <v>41.970433999999997</v>
      </c>
      <c r="AK566" t="s">
        <v>582</v>
      </c>
      <c r="AL566">
        <v>-87.900045000000006</v>
      </c>
      <c r="AS566">
        <v>1</v>
      </c>
      <c r="AT566" t="s">
        <v>118</v>
      </c>
      <c r="AU566" t="b">
        <v>1</v>
      </c>
      <c r="AV566">
        <v>87.19</v>
      </c>
      <c r="AW566">
        <v>9.625</v>
      </c>
      <c r="AX566">
        <v>1</v>
      </c>
      <c r="AZ566">
        <v>7205</v>
      </c>
      <c r="BA566">
        <v>1</v>
      </c>
      <c r="BB566" t="str">
        <f t="shared" si="26"/>
        <v xml:space="preserve">KAP400  </v>
      </c>
      <c r="BC566">
        <v>1</v>
      </c>
      <c r="BE566">
        <v>0</v>
      </c>
      <c r="BF566">
        <v>0</v>
      </c>
      <c r="BG566">
        <v>0</v>
      </c>
      <c r="BI566">
        <v>1</v>
      </c>
      <c r="BJ566">
        <v>1</v>
      </c>
      <c r="BK566">
        <v>1</v>
      </c>
      <c r="BL566">
        <v>0</v>
      </c>
      <c r="BO566">
        <v>0</v>
      </c>
      <c r="BP566">
        <v>0</v>
      </c>
      <c r="BW566" t="str">
        <f>"19:12:33.066"</f>
        <v>19:12:33.066</v>
      </c>
      <c r="BX566" t="s">
        <v>119</v>
      </c>
      <c r="BY566" t="s">
        <v>120</v>
      </c>
      <c r="CJ566">
        <v>0</v>
      </c>
      <c r="CK566">
        <v>0</v>
      </c>
      <c r="CL566">
        <v>0</v>
      </c>
      <c r="CM566">
        <v>2</v>
      </c>
      <c r="CN566">
        <v>0</v>
      </c>
      <c r="CO566">
        <v>6</v>
      </c>
      <c r="CP566" t="s">
        <v>121</v>
      </c>
      <c r="CQ566">
        <v>579</v>
      </c>
      <c r="CR566">
        <v>0</v>
      </c>
      <c r="CW566">
        <v>1400843</v>
      </c>
      <c r="CY566">
        <v>0</v>
      </c>
      <c r="CZ566">
        <v>0</v>
      </c>
      <c r="DA566">
        <v>0</v>
      </c>
      <c r="DB566">
        <v>1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</row>
    <row r="567" spans="1:113" x14ac:dyDescent="0.3">
      <c r="A567" t="str">
        <f>"06/16/2022 19:12:34.189"</f>
        <v>06/16/2022 19:12:34.189</v>
      </c>
      <c r="C567" t="str">
        <f t="shared" si="24"/>
        <v>FFBF5BC0</v>
      </c>
      <c r="D567" t="s">
        <v>113</v>
      </c>
      <c r="E567">
        <v>8</v>
      </c>
      <c r="H567">
        <v>206</v>
      </c>
      <c r="I567" t="s">
        <v>114</v>
      </c>
      <c r="J567" t="s">
        <v>115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>"19:12:33.922"</f>
        <v>19:12:33.922</v>
      </c>
      <c r="T567" t="str">
        <f>"19:12:33.922"</f>
        <v>19:12:33.922</v>
      </c>
      <c r="U567" t="str">
        <f t="shared" si="25"/>
        <v>AB63B2</v>
      </c>
      <c r="V567">
        <v>0</v>
      </c>
      <c r="W567">
        <v>0</v>
      </c>
      <c r="X567">
        <v>6</v>
      </c>
      <c r="Z567">
        <v>0</v>
      </c>
      <c r="AA567">
        <v>9</v>
      </c>
      <c r="AB567">
        <v>3</v>
      </c>
      <c r="AC567">
        <v>0</v>
      </c>
      <c r="AD567">
        <v>10</v>
      </c>
      <c r="AE567">
        <v>0</v>
      </c>
      <c r="AF567">
        <v>0</v>
      </c>
      <c r="AG567">
        <v>2</v>
      </c>
      <c r="AH567">
        <v>0</v>
      </c>
      <c r="AI567" t="s">
        <v>577</v>
      </c>
      <c r="AJ567">
        <v>41.970433999999997</v>
      </c>
      <c r="AK567" t="s">
        <v>583</v>
      </c>
      <c r="AL567">
        <v>-87.900002000000001</v>
      </c>
      <c r="AS567">
        <v>1</v>
      </c>
      <c r="AT567" t="s">
        <v>118</v>
      </c>
      <c r="AU567" t="b">
        <v>1</v>
      </c>
      <c r="AV567">
        <v>90</v>
      </c>
      <c r="AW567">
        <v>9.625</v>
      </c>
      <c r="AX567">
        <v>1</v>
      </c>
      <c r="AZ567">
        <v>7205</v>
      </c>
      <c r="BA567">
        <v>1</v>
      </c>
      <c r="BB567" t="str">
        <f t="shared" si="26"/>
        <v xml:space="preserve">KAP400  </v>
      </c>
      <c r="BC567">
        <v>1</v>
      </c>
      <c r="BE567">
        <v>0</v>
      </c>
      <c r="BF567">
        <v>0</v>
      </c>
      <c r="BG567">
        <v>0</v>
      </c>
      <c r="BI567">
        <v>1</v>
      </c>
      <c r="BJ567">
        <v>1</v>
      </c>
      <c r="BK567">
        <v>1</v>
      </c>
      <c r="BL567">
        <v>0</v>
      </c>
      <c r="BO567">
        <v>0</v>
      </c>
      <c r="BP567">
        <v>0</v>
      </c>
      <c r="BW567" t="str">
        <f>"19:12:33.929"</f>
        <v>19:12:33.929</v>
      </c>
      <c r="BX567" t="s">
        <v>119</v>
      </c>
      <c r="BY567" t="s">
        <v>120</v>
      </c>
      <c r="CJ567">
        <v>0</v>
      </c>
      <c r="CK567">
        <v>0</v>
      </c>
      <c r="CL567">
        <v>0</v>
      </c>
      <c r="CM567">
        <v>2</v>
      </c>
      <c r="CN567">
        <v>0</v>
      </c>
      <c r="CO567">
        <v>6</v>
      </c>
      <c r="CP567" t="s">
        <v>121</v>
      </c>
      <c r="CQ567">
        <v>579</v>
      </c>
      <c r="CR567">
        <v>0</v>
      </c>
      <c r="CW567">
        <v>1402517</v>
      </c>
      <c r="CY567">
        <v>0</v>
      </c>
      <c r="CZ567">
        <v>0</v>
      </c>
      <c r="DA567">
        <v>0</v>
      </c>
      <c r="DB567">
        <v>1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</row>
    <row r="568" spans="1:113" x14ac:dyDescent="0.3">
      <c r="A568" t="str">
        <f>"06/16/2022 19:12:35.236"</f>
        <v>06/16/2022 19:12:35.236</v>
      </c>
      <c r="C568" t="str">
        <f t="shared" si="24"/>
        <v>FFBF5BC0</v>
      </c>
      <c r="D568" t="s">
        <v>113</v>
      </c>
      <c r="E568">
        <v>8</v>
      </c>
      <c r="H568">
        <v>206</v>
      </c>
      <c r="I568" t="s">
        <v>114</v>
      </c>
      <c r="J568" t="s">
        <v>115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>"19:12:34.961"</f>
        <v>19:12:34.961</v>
      </c>
      <c r="T568" t="str">
        <f>"19:12:34.961"</f>
        <v>19:12:34.961</v>
      </c>
      <c r="U568" t="str">
        <f t="shared" si="25"/>
        <v>AB63B2</v>
      </c>
      <c r="V568">
        <v>0</v>
      </c>
      <c r="W568">
        <v>0</v>
      </c>
      <c r="X568">
        <v>6</v>
      </c>
      <c r="Z568">
        <v>0</v>
      </c>
      <c r="AA568">
        <v>9</v>
      </c>
      <c r="AB568">
        <v>3</v>
      </c>
      <c r="AC568">
        <v>0</v>
      </c>
      <c r="AD568">
        <v>10</v>
      </c>
      <c r="AE568">
        <v>0</v>
      </c>
      <c r="AF568">
        <v>0</v>
      </c>
      <c r="AG568">
        <v>2</v>
      </c>
      <c r="AH568">
        <v>0</v>
      </c>
      <c r="AI568" t="s">
        <v>577</v>
      </c>
      <c r="AJ568">
        <v>41.970433999999997</v>
      </c>
      <c r="AK568" t="s">
        <v>584</v>
      </c>
      <c r="AL568">
        <v>-87.899938000000006</v>
      </c>
      <c r="AS568">
        <v>1</v>
      </c>
      <c r="AT568" t="s">
        <v>118</v>
      </c>
      <c r="AU568" t="b">
        <v>1</v>
      </c>
      <c r="AV568">
        <v>90</v>
      </c>
      <c r="AW568">
        <v>10.125</v>
      </c>
      <c r="AX568">
        <v>1</v>
      </c>
      <c r="AZ568">
        <v>7205</v>
      </c>
      <c r="BA568">
        <v>1</v>
      </c>
      <c r="BB568" t="str">
        <f t="shared" si="26"/>
        <v xml:space="preserve">KAP400  </v>
      </c>
      <c r="BC568">
        <v>1</v>
      </c>
      <c r="BE568">
        <v>0</v>
      </c>
      <c r="BF568">
        <v>0</v>
      </c>
      <c r="BG568">
        <v>0</v>
      </c>
      <c r="BI568">
        <v>1</v>
      </c>
      <c r="BJ568">
        <v>1</v>
      </c>
      <c r="BK568">
        <v>1</v>
      </c>
      <c r="BL568">
        <v>0</v>
      </c>
      <c r="BO568">
        <v>0</v>
      </c>
      <c r="BP568">
        <v>0</v>
      </c>
      <c r="BW568" t="str">
        <f>"19:12:34.961"</f>
        <v>19:12:34.961</v>
      </c>
      <c r="BX568" t="s">
        <v>119</v>
      </c>
      <c r="BY568" t="s">
        <v>120</v>
      </c>
      <c r="CJ568">
        <v>0</v>
      </c>
      <c r="CK568">
        <v>0</v>
      </c>
      <c r="CL568">
        <v>0</v>
      </c>
      <c r="CM568">
        <v>2</v>
      </c>
      <c r="CN568">
        <v>0</v>
      </c>
      <c r="CO568">
        <v>7</v>
      </c>
      <c r="CP568" t="s">
        <v>121</v>
      </c>
      <c r="CQ568">
        <v>579</v>
      </c>
      <c r="CR568">
        <v>0</v>
      </c>
      <c r="CW568">
        <v>1404601</v>
      </c>
      <c r="CY568">
        <v>0</v>
      </c>
      <c r="CZ568">
        <v>0</v>
      </c>
      <c r="DA568">
        <v>0</v>
      </c>
      <c r="DB568">
        <v>1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</row>
    <row r="569" spans="1:113" x14ac:dyDescent="0.3">
      <c r="A569" t="str">
        <f>"06/16/2022 19:12:36.330"</f>
        <v>06/16/2022 19:12:36.330</v>
      </c>
      <c r="C569" t="str">
        <f t="shared" si="24"/>
        <v>FFBF5BC0</v>
      </c>
      <c r="D569" t="s">
        <v>113</v>
      </c>
      <c r="E569">
        <v>8</v>
      </c>
      <c r="H569">
        <v>206</v>
      </c>
      <c r="I569" t="s">
        <v>114</v>
      </c>
      <c r="J569" t="s">
        <v>115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>"19:12:35.992"</f>
        <v>19:12:35.992</v>
      </c>
      <c r="T569" t="str">
        <f>"19:12:35.992"</f>
        <v>19:12:35.992</v>
      </c>
      <c r="U569" t="str">
        <f t="shared" si="25"/>
        <v>AB63B2</v>
      </c>
      <c r="V569">
        <v>0</v>
      </c>
      <c r="W569">
        <v>0</v>
      </c>
      <c r="X569">
        <v>6</v>
      </c>
      <c r="Z569">
        <v>0</v>
      </c>
      <c r="AA569">
        <v>9</v>
      </c>
      <c r="AB569">
        <v>3</v>
      </c>
      <c r="AC569">
        <v>0</v>
      </c>
      <c r="AD569">
        <v>10</v>
      </c>
      <c r="AE569">
        <v>0</v>
      </c>
      <c r="AF569">
        <v>0</v>
      </c>
      <c r="AG569">
        <v>2</v>
      </c>
      <c r="AH569">
        <v>0</v>
      </c>
      <c r="AI569" t="s">
        <v>577</v>
      </c>
      <c r="AJ569">
        <v>41.970433999999997</v>
      </c>
      <c r="AK569" t="s">
        <v>585</v>
      </c>
      <c r="AL569">
        <v>-87.899872999999999</v>
      </c>
      <c r="AS569">
        <v>1</v>
      </c>
      <c r="AT569" t="s">
        <v>118</v>
      </c>
      <c r="AU569" t="b">
        <v>1</v>
      </c>
      <c r="AV569">
        <v>90</v>
      </c>
      <c r="AW569">
        <v>10.125</v>
      </c>
      <c r="AX569">
        <v>1</v>
      </c>
      <c r="AZ569">
        <v>7205</v>
      </c>
      <c r="BA569">
        <v>1</v>
      </c>
      <c r="BB569" t="str">
        <f t="shared" si="26"/>
        <v xml:space="preserve">KAP400  </v>
      </c>
      <c r="BC569">
        <v>1</v>
      </c>
      <c r="BE569">
        <v>0</v>
      </c>
      <c r="BF569">
        <v>0</v>
      </c>
      <c r="BG569">
        <v>0</v>
      </c>
      <c r="BI569">
        <v>1</v>
      </c>
      <c r="BJ569">
        <v>1</v>
      </c>
      <c r="BK569">
        <v>1</v>
      </c>
      <c r="BL569">
        <v>0</v>
      </c>
      <c r="BO569">
        <v>0</v>
      </c>
      <c r="BP569">
        <v>0</v>
      </c>
      <c r="BW569" t="str">
        <f>"19:12:35.997"</f>
        <v>19:12:35.997</v>
      </c>
      <c r="BX569" t="s">
        <v>119</v>
      </c>
      <c r="BY569" t="s">
        <v>120</v>
      </c>
      <c r="CJ569">
        <v>0</v>
      </c>
      <c r="CK569">
        <v>0</v>
      </c>
      <c r="CL569">
        <v>0</v>
      </c>
      <c r="CM569">
        <v>2</v>
      </c>
      <c r="CN569">
        <v>0</v>
      </c>
      <c r="CO569">
        <v>6</v>
      </c>
      <c r="CP569" t="s">
        <v>121</v>
      </c>
      <c r="CQ569">
        <v>579</v>
      </c>
      <c r="CR569">
        <v>0</v>
      </c>
      <c r="CW569">
        <v>1406712</v>
      </c>
      <c r="CY569">
        <v>0</v>
      </c>
      <c r="CZ569">
        <v>0</v>
      </c>
      <c r="DA569">
        <v>0</v>
      </c>
      <c r="DB569">
        <v>1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</row>
    <row r="570" spans="1:113" x14ac:dyDescent="0.3">
      <c r="A570" t="str">
        <f>"06/16/2022 19:12:37.221"</f>
        <v>06/16/2022 19:12:37.221</v>
      </c>
      <c r="C570" t="str">
        <f t="shared" si="24"/>
        <v>FFBF5BC0</v>
      </c>
      <c r="D570" t="s">
        <v>113</v>
      </c>
      <c r="E570">
        <v>8</v>
      </c>
      <c r="H570">
        <v>206</v>
      </c>
      <c r="I570" t="s">
        <v>114</v>
      </c>
      <c r="J570" t="s">
        <v>115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>"19:12:36.891"</f>
        <v>19:12:36.891</v>
      </c>
      <c r="T570" t="str">
        <f>"19:12:36.891"</f>
        <v>19:12:36.891</v>
      </c>
      <c r="U570" t="str">
        <f t="shared" si="25"/>
        <v>AB63B2</v>
      </c>
      <c r="V570">
        <v>0</v>
      </c>
      <c r="W570">
        <v>0</v>
      </c>
      <c r="X570">
        <v>6</v>
      </c>
      <c r="Z570">
        <v>0</v>
      </c>
      <c r="AA570">
        <v>9</v>
      </c>
      <c r="AB570">
        <v>3</v>
      </c>
      <c r="AC570">
        <v>0</v>
      </c>
      <c r="AD570">
        <v>10</v>
      </c>
      <c r="AE570">
        <v>0</v>
      </c>
      <c r="AF570">
        <v>0</v>
      </c>
      <c r="AG570">
        <v>2</v>
      </c>
      <c r="AH570">
        <v>0</v>
      </c>
      <c r="AI570" t="s">
        <v>577</v>
      </c>
      <c r="AJ570">
        <v>41.970433999999997</v>
      </c>
      <c r="AK570" t="s">
        <v>509</v>
      </c>
      <c r="AL570">
        <v>-87.899809000000005</v>
      </c>
      <c r="AS570">
        <v>1</v>
      </c>
      <c r="AT570" t="s">
        <v>118</v>
      </c>
      <c r="AU570" t="b">
        <v>1</v>
      </c>
      <c r="AV570">
        <v>90</v>
      </c>
      <c r="AW570">
        <v>10.125</v>
      </c>
      <c r="AX570">
        <v>1</v>
      </c>
      <c r="AZ570">
        <v>7205</v>
      </c>
      <c r="BA570">
        <v>1</v>
      </c>
      <c r="BB570" t="str">
        <f t="shared" si="26"/>
        <v xml:space="preserve">KAP400  </v>
      </c>
      <c r="BC570">
        <v>1</v>
      </c>
      <c r="BE570">
        <v>0</v>
      </c>
      <c r="BF570">
        <v>0</v>
      </c>
      <c r="BG570">
        <v>0</v>
      </c>
      <c r="BI570">
        <v>1</v>
      </c>
      <c r="BJ570">
        <v>1</v>
      </c>
      <c r="BK570">
        <v>1</v>
      </c>
      <c r="BL570">
        <v>0</v>
      </c>
      <c r="BO570">
        <v>0</v>
      </c>
      <c r="BP570">
        <v>0</v>
      </c>
      <c r="BW570" t="str">
        <f>"19:12:36.891"</f>
        <v>19:12:36.891</v>
      </c>
      <c r="BX570" t="s">
        <v>119</v>
      </c>
      <c r="BY570" t="s">
        <v>120</v>
      </c>
      <c r="CJ570">
        <v>0</v>
      </c>
      <c r="CK570">
        <v>0</v>
      </c>
      <c r="CL570">
        <v>0</v>
      </c>
      <c r="CM570">
        <v>2</v>
      </c>
      <c r="CN570">
        <v>0</v>
      </c>
      <c r="CO570">
        <v>7</v>
      </c>
      <c r="CP570" t="s">
        <v>121</v>
      </c>
      <c r="CQ570">
        <v>579</v>
      </c>
      <c r="CR570">
        <v>0</v>
      </c>
      <c r="CW570">
        <v>1408446</v>
      </c>
      <c r="CY570">
        <v>0</v>
      </c>
      <c r="CZ570">
        <v>0</v>
      </c>
      <c r="DA570">
        <v>0</v>
      </c>
      <c r="DB570">
        <v>1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</row>
    <row r="571" spans="1:113" x14ac:dyDescent="0.3">
      <c r="A571" t="str">
        <f>"06/16/2022 19:12:38.674"</f>
        <v>06/16/2022 19:12:38.674</v>
      </c>
      <c r="C571" t="str">
        <f t="shared" si="24"/>
        <v>FFBF5BC0</v>
      </c>
      <c r="D571" t="s">
        <v>113</v>
      </c>
      <c r="E571">
        <v>8</v>
      </c>
      <c r="H571">
        <v>206</v>
      </c>
      <c r="I571" t="s">
        <v>114</v>
      </c>
      <c r="J571" t="s">
        <v>115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>"19:12:38.438"</f>
        <v>19:12:38.438</v>
      </c>
      <c r="T571" t="str">
        <f>"19:12:38.438"</f>
        <v>19:12:38.438</v>
      </c>
      <c r="U571" t="str">
        <f t="shared" si="25"/>
        <v>AB63B2</v>
      </c>
      <c r="V571">
        <v>0</v>
      </c>
      <c r="W571">
        <v>0</v>
      </c>
      <c r="X571">
        <v>6</v>
      </c>
      <c r="Z571">
        <v>0</v>
      </c>
      <c r="AA571">
        <v>9</v>
      </c>
      <c r="AB571">
        <v>3</v>
      </c>
      <c r="AC571">
        <v>0</v>
      </c>
      <c r="AD571">
        <v>10</v>
      </c>
      <c r="AE571">
        <v>0</v>
      </c>
      <c r="AF571">
        <v>0</v>
      </c>
      <c r="AG571">
        <v>2</v>
      </c>
      <c r="AH571">
        <v>0</v>
      </c>
      <c r="AI571" t="s">
        <v>577</v>
      </c>
      <c r="AJ571">
        <v>41.970433999999997</v>
      </c>
      <c r="AK571" t="s">
        <v>508</v>
      </c>
      <c r="AL571">
        <v>-87.899722999999994</v>
      </c>
      <c r="AS571">
        <v>1</v>
      </c>
      <c r="AT571" t="s">
        <v>118</v>
      </c>
      <c r="AU571" t="b">
        <v>1</v>
      </c>
      <c r="AV571">
        <v>90</v>
      </c>
      <c r="AW571">
        <v>10.125</v>
      </c>
      <c r="AX571">
        <v>1</v>
      </c>
      <c r="AZ571">
        <v>7205</v>
      </c>
      <c r="BA571">
        <v>1</v>
      </c>
      <c r="BB571" t="str">
        <f t="shared" si="26"/>
        <v xml:space="preserve">KAP400  </v>
      </c>
      <c r="BC571">
        <v>1</v>
      </c>
      <c r="BE571">
        <v>0</v>
      </c>
      <c r="BF571">
        <v>0</v>
      </c>
      <c r="BG571">
        <v>0</v>
      </c>
      <c r="BI571">
        <v>1</v>
      </c>
      <c r="BJ571">
        <v>1</v>
      </c>
      <c r="BK571">
        <v>1</v>
      </c>
      <c r="BL571">
        <v>0</v>
      </c>
      <c r="BO571">
        <v>0</v>
      </c>
      <c r="BP571">
        <v>0</v>
      </c>
      <c r="BW571" t="str">
        <f>"19:12:38.441"</f>
        <v>19:12:38.441</v>
      </c>
      <c r="BX571" t="s">
        <v>119</v>
      </c>
      <c r="BY571" t="s">
        <v>120</v>
      </c>
      <c r="CJ571">
        <v>0</v>
      </c>
      <c r="CK571">
        <v>0</v>
      </c>
      <c r="CL571">
        <v>0</v>
      </c>
      <c r="CM571">
        <v>2</v>
      </c>
      <c r="CN571">
        <v>0</v>
      </c>
      <c r="CO571">
        <v>7</v>
      </c>
      <c r="CP571" t="s">
        <v>121</v>
      </c>
      <c r="CQ571">
        <v>579</v>
      </c>
      <c r="CR571">
        <v>0</v>
      </c>
      <c r="CW571">
        <v>1411411</v>
      </c>
      <c r="CY571">
        <v>0</v>
      </c>
      <c r="CZ571">
        <v>0</v>
      </c>
      <c r="DA571">
        <v>0</v>
      </c>
      <c r="DB571">
        <v>1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</row>
    <row r="572" spans="1:113" x14ac:dyDescent="0.3">
      <c r="A572" t="str">
        <f>"06/16/2022 19:12:39.689"</f>
        <v>06/16/2022 19:12:39.689</v>
      </c>
      <c r="C572" t="str">
        <f t="shared" si="24"/>
        <v>FFBF5BC0</v>
      </c>
      <c r="D572" t="s">
        <v>113</v>
      </c>
      <c r="E572">
        <v>8</v>
      </c>
      <c r="H572">
        <v>206</v>
      </c>
      <c r="I572" t="s">
        <v>114</v>
      </c>
      <c r="J572" t="s">
        <v>115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>"19:12:39.453"</f>
        <v>19:12:39.453</v>
      </c>
      <c r="T572" t="str">
        <f>"19:12:39.453"</f>
        <v>19:12:39.453</v>
      </c>
      <c r="U572" t="str">
        <f t="shared" si="25"/>
        <v>AB63B2</v>
      </c>
      <c r="V572">
        <v>0</v>
      </c>
      <c r="W572">
        <v>0</v>
      </c>
      <c r="X572">
        <v>6</v>
      </c>
      <c r="Z572">
        <v>0</v>
      </c>
      <c r="AA572">
        <v>9</v>
      </c>
      <c r="AB572">
        <v>3</v>
      </c>
      <c r="AC572">
        <v>0</v>
      </c>
      <c r="AD572">
        <v>10</v>
      </c>
      <c r="AE572">
        <v>0</v>
      </c>
      <c r="AF572">
        <v>0</v>
      </c>
      <c r="AG572">
        <v>2</v>
      </c>
      <c r="AH572">
        <v>0</v>
      </c>
      <c r="AI572" t="s">
        <v>577</v>
      </c>
      <c r="AJ572">
        <v>41.970433999999997</v>
      </c>
      <c r="AK572" t="s">
        <v>586</v>
      </c>
      <c r="AL572">
        <v>-87.899659</v>
      </c>
      <c r="AS572">
        <v>1</v>
      </c>
      <c r="AT572" t="s">
        <v>118</v>
      </c>
      <c r="AU572" t="b">
        <v>1</v>
      </c>
      <c r="AV572">
        <v>90</v>
      </c>
      <c r="AW572">
        <v>10.125</v>
      </c>
      <c r="AX572">
        <v>1</v>
      </c>
      <c r="AZ572">
        <v>7205</v>
      </c>
      <c r="BA572">
        <v>1</v>
      </c>
      <c r="BB572" t="str">
        <f t="shared" si="26"/>
        <v xml:space="preserve">KAP400  </v>
      </c>
      <c r="BC572">
        <v>1</v>
      </c>
      <c r="BE572">
        <v>0</v>
      </c>
      <c r="BF572">
        <v>0</v>
      </c>
      <c r="BG572">
        <v>0</v>
      </c>
      <c r="BI572">
        <v>1</v>
      </c>
      <c r="BJ572">
        <v>1</v>
      </c>
      <c r="BK572">
        <v>1</v>
      </c>
      <c r="BL572">
        <v>0</v>
      </c>
      <c r="BO572">
        <v>0</v>
      </c>
      <c r="BP572">
        <v>0</v>
      </c>
      <c r="BW572" t="str">
        <f>"19:12:39.454"</f>
        <v>19:12:39.454</v>
      </c>
      <c r="BX572" t="s">
        <v>119</v>
      </c>
      <c r="BY572" t="s">
        <v>120</v>
      </c>
      <c r="CJ572">
        <v>0</v>
      </c>
      <c r="CK572">
        <v>0</v>
      </c>
      <c r="CL572">
        <v>0</v>
      </c>
      <c r="CM572">
        <v>2</v>
      </c>
      <c r="CN572">
        <v>0</v>
      </c>
      <c r="CO572">
        <v>7</v>
      </c>
      <c r="CP572" t="s">
        <v>121</v>
      </c>
      <c r="CQ572">
        <v>579</v>
      </c>
      <c r="CR572">
        <v>0</v>
      </c>
      <c r="CW572">
        <v>1413452</v>
      </c>
      <c r="CY572">
        <v>0</v>
      </c>
      <c r="CZ572">
        <v>0</v>
      </c>
      <c r="DA572">
        <v>0</v>
      </c>
      <c r="DB572">
        <v>1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</row>
    <row r="573" spans="1:113" x14ac:dyDescent="0.3">
      <c r="A573" t="str">
        <f>"06/16/2022 19:12:41.393"</f>
        <v>06/16/2022 19:12:41.393</v>
      </c>
      <c r="C573" t="str">
        <f t="shared" si="24"/>
        <v>FFBF5BC0</v>
      </c>
      <c r="D573" t="s">
        <v>113</v>
      </c>
      <c r="E573">
        <v>8</v>
      </c>
      <c r="H573">
        <v>206</v>
      </c>
      <c r="I573" t="s">
        <v>114</v>
      </c>
      <c r="J573" t="s">
        <v>115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>"19:12:41.031"</f>
        <v>19:12:41.031</v>
      </c>
      <c r="T573" t="str">
        <f>"19:12:41.031"</f>
        <v>19:12:41.031</v>
      </c>
      <c r="U573" t="str">
        <f t="shared" si="25"/>
        <v>AB63B2</v>
      </c>
      <c r="V573">
        <v>0</v>
      </c>
      <c r="W573">
        <v>0</v>
      </c>
      <c r="X573">
        <v>6</v>
      </c>
      <c r="Z573">
        <v>0</v>
      </c>
      <c r="AA573">
        <v>9</v>
      </c>
      <c r="AB573">
        <v>3</v>
      </c>
      <c r="AC573">
        <v>0</v>
      </c>
      <c r="AD573">
        <v>10</v>
      </c>
      <c r="AE573">
        <v>0</v>
      </c>
      <c r="AF573">
        <v>0</v>
      </c>
      <c r="AG573">
        <v>2</v>
      </c>
      <c r="AH573">
        <v>0</v>
      </c>
      <c r="AI573" t="s">
        <v>577</v>
      </c>
      <c r="AJ573">
        <v>41.970433999999997</v>
      </c>
      <c r="AK573" t="s">
        <v>587</v>
      </c>
      <c r="AL573">
        <v>-87.899573000000004</v>
      </c>
      <c r="AS573">
        <v>1</v>
      </c>
      <c r="AT573" t="s">
        <v>118</v>
      </c>
      <c r="AU573" t="b">
        <v>1</v>
      </c>
      <c r="AV573">
        <v>90</v>
      </c>
      <c r="AW573">
        <v>10.125</v>
      </c>
      <c r="AX573">
        <v>1</v>
      </c>
      <c r="AZ573">
        <v>7205</v>
      </c>
      <c r="BA573">
        <v>1</v>
      </c>
      <c r="BB573" t="str">
        <f t="shared" si="26"/>
        <v xml:space="preserve">KAP400  </v>
      </c>
      <c r="BC573">
        <v>1</v>
      </c>
      <c r="BE573">
        <v>0</v>
      </c>
      <c r="BF573">
        <v>0</v>
      </c>
      <c r="BG573">
        <v>0</v>
      </c>
      <c r="BI573">
        <v>1</v>
      </c>
      <c r="BJ573">
        <v>1</v>
      </c>
      <c r="BK573">
        <v>1</v>
      </c>
      <c r="BL573">
        <v>0</v>
      </c>
      <c r="BO573">
        <v>0</v>
      </c>
      <c r="BP573">
        <v>0</v>
      </c>
      <c r="BW573" t="str">
        <f>"19:12:41.038"</f>
        <v>19:12:41.038</v>
      </c>
      <c r="BX573" t="s">
        <v>119</v>
      </c>
      <c r="BY573" t="s">
        <v>120</v>
      </c>
      <c r="CJ573">
        <v>0</v>
      </c>
      <c r="CK573">
        <v>0</v>
      </c>
      <c r="CL573">
        <v>0</v>
      </c>
      <c r="CM573">
        <v>2</v>
      </c>
      <c r="CN573">
        <v>0</v>
      </c>
      <c r="CO573">
        <v>6</v>
      </c>
      <c r="CP573" t="s">
        <v>121</v>
      </c>
      <c r="CQ573">
        <v>579</v>
      </c>
      <c r="CR573">
        <v>0</v>
      </c>
      <c r="CW573">
        <v>1416557</v>
      </c>
      <c r="CY573">
        <v>0</v>
      </c>
      <c r="CZ573">
        <v>0</v>
      </c>
      <c r="DA573">
        <v>0</v>
      </c>
      <c r="DB573">
        <v>1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</row>
    <row r="574" spans="1:113" x14ac:dyDescent="0.3">
      <c r="A574" t="str">
        <f>"06/16/2022 19:12:42.437"</f>
        <v>06/16/2022 19:12:42.437</v>
      </c>
      <c r="C574" t="str">
        <f t="shared" si="24"/>
        <v>FFBF5BC0</v>
      </c>
      <c r="D574" t="s">
        <v>113</v>
      </c>
      <c r="E574">
        <v>8</v>
      </c>
      <c r="H574">
        <v>206</v>
      </c>
      <c r="I574" t="s">
        <v>114</v>
      </c>
      <c r="J574" t="s">
        <v>115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>"19:12:42.148"</f>
        <v>19:12:42.148</v>
      </c>
      <c r="T574" t="str">
        <f>"19:12:42.148"</f>
        <v>19:12:42.148</v>
      </c>
      <c r="U574" t="str">
        <f t="shared" si="25"/>
        <v>AB63B2</v>
      </c>
      <c r="V574">
        <v>0</v>
      </c>
      <c r="W574">
        <v>0</v>
      </c>
      <c r="X574">
        <v>6</v>
      </c>
      <c r="Z574">
        <v>0</v>
      </c>
      <c r="AA574">
        <v>9</v>
      </c>
      <c r="AB574">
        <v>3</v>
      </c>
      <c r="AC574">
        <v>0</v>
      </c>
      <c r="AD574">
        <v>10</v>
      </c>
      <c r="AE574">
        <v>0</v>
      </c>
      <c r="AF574">
        <v>0</v>
      </c>
      <c r="AG574">
        <v>2</v>
      </c>
      <c r="AH574">
        <v>0</v>
      </c>
      <c r="AI574" t="s">
        <v>577</v>
      </c>
      <c r="AJ574">
        <v>41.970433999999997</v>
      </c>
      <c r="AK574" t="s">
        <v>588</v>
      </c>
      <c r="AL574">
        <v>-87.899507999999997</v>
      </c>
      <c r="AS574">
        <v>1</v>
      </c>
      <c r="AT574" t="s">
        <v>118</v>
      </c>
      <c r="AU574" t="b">
        <v>1</v>
      </c>
      <c r="AV574">
        <v>90</v>
      </c>
      <c r="AW574">
        <v>10.125</v>
      </c>
      <c r="AX574">
        <v>1</v>
      </c>
      <c r="AZ574">
        <v>7205</v>
      </c>
      <c r="BA574">
        <v>1</v>
      </c>
      <c r="BB574" t="str">
        <f t="shared" si="26"/>
        <v xml:space="preserve">KAP400  </v>
      </c>
      <c r="BC574">
        <v>1</v>
      </c>
      <c r="BE574">
        <v>0</v>
      </c>
      <c r="BF574">
        <v>0</v>
      </c>
      <c r="BG574">
        <v>0</v>
      </c>
      <c r="BI574">
        <v>1</v>
      </c>
      <c r="BJ574">
        <v>1</v>
      </c>
      <c r="BK574">
        <v>1</v>
      </c>
      <c r="BL574">
        <v>0</v>
      </c>
      <c r="BO574">
        <v>0</v>
      </c>
      <c r="BP574">
        <v>0</v>
      </c>
      <c r="BW574" t="str">
        <f>"19:12:42.149"</f>
        <v>19:12:42.149</v>
      </c>
      <c r="BX574" t="s">
        <v>119</v>
      </c>
      <c r="BY574" t="s">
        <v>120</v>
      </c>
      <c r="CJ574">
        <v>0</v>
      </c>
      <c r="CK574">
        <v>0</v>
      </c>
      <c r="CL574">
        <v>0</v>
      </c>
      <c r="CM574">
        <v>2</v>
      </c>
      <c r="CN574">
        <v>0</v>
      </c>
      <c r="CO574">
        <v>6</v>
      </c>
      <c r="CP574" t="s">
        <v>121</v>
      </c>
      <c r="CQ574">
        <v>579</v>
      </c>
      <c r="CR574">
        <v>0</v>
      </c>
      <c r="CW574">
        <v>1418661</v>
      </c>
      <c r="CY574">
        <v>0</v>
      </c>
      <c r="CZ574">
        <v>0</v>
      </c>
      <c r="DA574">
        <v>0</v>
      </c>
      <c r="DB574">
        <v>1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</row>
    <row r="575" spans="1:113" x14ac:dyDescent="0.3">
      <c r="A575" t="str">
        <f>"06/16/2022 19:12:43.379"</f>
        <v>06/16/2022 19:12:43.379</v>
      </c>
      <c r="C575" t="str">
        <f t="shared" si="24"/>
        <v>FFBF5BC0</v>
      </c>
      <c r="D575" t="s">
        <v>113</v>
      </c>
      <c r="E575">
        <v>8</v>
      </c>
      <c r="H575">
        <v>206</v>
      </c>
      <c r="I575" t="s">
        <v>114</v>
      </c>
      <c r="J575" t="s">
        <v>115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>"19:12:43.102"</f>
        <v>19:12:43.102</v>
      </c>
      <c r="T575" t="str">
        <f>"19:12:43.102"</f>
        <v>19:12:43.102</v>
      </c>
      <c r="U575" t="str">
        <f t="shared" si="25"/>
        <v>AB63B2</v>
      </c>
      <c r="V575">
        <v>0</v>
      </c>
      <c r="W575">
        <v>0</v>
      </c>
      <c r="X575">
        <v>6</v>
      </c>
      <c r="Z575">
        <v>0</v>
      </c>
      <c r="AA575">
        <v>9</v>
      </c>
      <c r="AB575">
        <v>3</v>
      </c>
      <c r="AC575">
        <v>0</v>
      </c>
      <c r="AD575">
        <v>10</v>
      </c>
      <c r="AE575">
        <v>0</v>
      </c>
      <c r="AF575">
        <v>0</v>
      </c>
      <c r="AG575">
        <v>2</v>
      </c>
      <c r="AH575">
        <v>0</v>
      </c>
      <c r="AI575" t="s">
        <v>577</v>
      </c>
      <c r="AJ575">
        <v>41.970433999999997</v>
      </c>
      <c r="AK575" t="s">
        <v>505</v>
      </c>
      <c r="AL575">
        <v>-87.899466000000004</v>
      </c>
      <c r="AS575">
        <v>1</v>
      </c>
      <c r="AT575" t="s">
        <v>118</v>
      </c>
      <c r="AU575" t="b">
        <v>1</v>
      </c>
      <c r="AV575">
        <v>90</v>
      </c>
      <c r="AW575">
        <v>10.125</v>
      </c>
      <c r="AX575">
        <v>1</v>
      </c>
      <c r="AZ575">
        <v>7205</v>
      </c>
      <c r="BA575">
        <v>1</v>
      </c>
      <c r="BB575" t="str">
        <f t="shared" si="26"/>
        <v xml:space="preserve">KAP400  </v>
      </c>
      <c r="BC575">
        <v>1</v>
      </c>
      <c r="BE575">
        <v>0</v>
      </c>
      <c r="BF575">
        <v>0</v>
      </c>
      <c r="BG575">
        <v>0</v>
      </c>
      <c r="BI575">
        <v>1</v>
      </c>
      <c r="BJ575">
        <v>1</v>
      </c>
      <c r="BK575">
        <v>1</v>
      </c>
      <c r="BL575">
        <v>0</v>
      </c>
      <c r="BO575">
        <v>0</v>
      </c>
      <c r="BP575">
        <v>0</v>
      </c>
      <c r="BW575" t="str">
        <f>"19:12:43.107"</f>
        <v>19:12:43.107</v>
      </c>
      <c r="BX575" t="s">
        <v>119</v>
      </c>
      <c r="BY575" t="s">
        <v>120</v>
      </c>
      <c r="CJ575">
        <v>0</v>
      </c>
      <c r="CK575">
        <v>0</v>
      </c>
      <c r="CL575">
        <v>0</v>
      </c>
      <c r="CM575">
        <v>2</v>
      </c>
      <c r="CN575">
        <v>0</v>
      </c>
      <c r="CO575">
        <v>6</v>
      </c>
      <c r="CP575" t="s">
        <v>121</v>
      </c>
      <c r="CQ575">
        <v>579</v>
      </c>
      <c r="CR575">
        <v>0</v>
      </c>
      <c r="CW575">
        <v>1420496</v>
      </c>
      <c r="CY575">
        <v>0</v>
      </c>
      <c r="CZ575">
        <v>0</v>
      </c>
      <c r="DA575">
        <v>0</v>
      </c>
      <c r="DB575">
        <v>1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</row>
    <row r="576" spans="1:113" x14ac:dyDescent="0.3">
      <c r="A576" t="str">
        <f>"06/16/2022 19:12:44.347"</f>
        <v>06/16/2022 19:12:44.347</v>
      </c>
      <c r="C576" t="str">
        <f t="shared" si="24"/>
        <v>FFBF5BC0</v>
      </c>
      <c r="D576" t="s">
        <v>113</v>
      </c>
      <c r="E576">
        <v>8</v>
      </c>
      <c r="H576">
        <v>206</v>
      </c>
      <c r="I576" t="s">
        <v>114</v>
      </c>
      <c r="J576" t="s">
        <v>115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>"19:12:44.109"</f>
        <v>19:12:44.109</v>
      </c>
      <c r="T576" t="str">
        <f>"19:12:44.109"</f>
        <v>19:12:44.109</v>
      </c>
      <c r="U576" t="str">
        <f t="shared" si="25"/>
        <v>AB63B2</v>
      </c>
      <c r="V576">
        <v>0</v>
      </c>
      <c r="W576">
        <v>0</v>
      </c>
      <c r="X576">
        <v>6</v>
      </c>
      <c r="Z576">
        <v>0</v>
      </c>
      <c r="AA576">
        <v>9</v>
      </c>
      <c r="AB576">
        <v>3</v>
      </c>
      <c r="AC576">
        <v>0</v>
      </c>
      <c r="AD576">
        <v>10</v>
      </c>
      <c r="AE576">
        <v>0</v>
      </c>
      <c r="AF576">
        <v>0</v>
      </c>
      <c r="AG576">
        <v>2</v>
      </c>
      <c r="AH576">
        <v>0</v>
      </c>
      <c r="AI576" t="s">
        <v>577</v>
      </c>
      <c r="AJ576">
        <v>41.970433999999997</v>
      </c>
      <c r="AK576" t="s">
        <v>589</v>
      </c>
      <c r="AL576">
        <v>-87.899400999999997</v>
      </c>
      <c r="AS576">
        <v>1</v>
      </c>
      <c r="AT576" t="s">
        <v>118</v>
      </c>
      <c r="AU576" t="b">
        <v>1</v>
      </c>
      <c r="AV576">
        <v>90</v>
      </c>
      <c r="AW576">
        <v>10.125</v>
      </c>
      <c r="AX576">
        <v>1</v>
      </c>
      <c r="AZ576">
        <v>7205</v>
      </c>
      <c r="BA576">
        <v>1</v>
      </c>
      <c r="BB576" t="str">
        <f t="shared" si="26"/>
        <v xml:space="preserve">KAP400  </v>
      </c>
      <c r="BC576">
        <v>1</v>
      </c>
      <c r="BE576">
        <v>0</v>
      </c>
      <c r="BF576">
        <v>0</v>
      </c>
      <c r="BG576">
        <v>0</v>
      </c>
      <c r="BI576">
        <v>1</v>
      </c>
      <c r="BJ576">
        <v>1</v>
      </c>
      <c r="BK576">
        <v>1</v>
      </c>
      <c r="BL576">
        <v>0</v>
      </c>
      <c r="BO576">
        <v>0</v>
      </c>
      <c r="BP576">
        <v>0</v>
      </c>
      <c r="BW576" t="str">
        <f>"19:12:44.110"</f>
        <v>19:12:44.110</v>
      </c>
      <c r="BX576" t="s">
        <v>119</v>
      </c>
      <c r="BY576" t="s">
        <v>120</v>
      </c>
      <c r="CJ576">
        <v>0</v>
      </c>
      <c r="CK576">
        <v>0</v>
      </c>
      <c r="CL576">
        <v>0</v>
      </c>
      <c r="CM576">
        <v>2</v>
      </c>
      <c r="CN576">
        <v>0</v>
      </c>
      <c r="CO576">
        <v>6</v>
      </c>
      <c r="CP576" t="s">
        <v>121</v>
      </c>
      <c r="CQ576">
        <v>579</v>
      </c>
      <c r="CR576">
        <v>0</v>
      </c>
      <c r="CW576">
        <v>1422518</v>
      </c>
      <c r="CY576">
        <v>0</v>
      </c>
      <c r="CZ576">
        <v>0</v>
      </c>
      <c r="DA576">
        <v>0</v>
      </c>
      <c r="DB576">
        <v>1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</row>
    <row r="577" spans="1:113" x14ac:dyDescent="0.3">
      <c r="A577" t="str">
        <f>"06/16/2022 19:12:46.332"</f>
        <v>06/16/2022 19:12:46.332</v>
      </c>
      <c r="C577" t="str">
        <f t="shared" si="24"/>
        <v>FFBF5BC0</v>
      </c>
      <c r="D577" t="s">
        <v>113</v>
      </c>
      <c r="E577">
        <v>8</v>
      </c>
      <c r="H577">
        <v>206</v>
      </c>
      <c r="I577" t="s">
        <v>114</v>
      </c>
      <c r="J577" t="s">
        <v>115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>"19:12:46.047"</f>
        <v>19:12:46.047</v>
      </c>
      <c r="T577" t="str">
        <f>"19:12:46.047"</f>
        <v>19:12:46.047</v>
      </c>
      <c r="U577" t="str">
        <f t="shared" si="25"/>
        <v>AB63B2</v>
      </c>
      <c r="V577">
        <v>0</v>
      </c>
      <c r="W577">
        <v>0</v>
      </c>
      <c r="X577">
        <v>6</v>
      </c>
      <c r="Z577">
        <v>0</v>
      </c>
      <c r="AA577">
        <v>9</v>
      </c>
      <c r="AB577">
        <v>3</v>
      </c>
      <c r="AC577">
        <v>0</v>
      </c>
      <c r="AD577">
        <v>10</v>
      </c>
      <c r="AE577">
        <v>0</v>
      </c>
      <c r="AF577">
        <v>0</v>
      </c>
      <c r="AG577">
        <v>2</v>
      </c>
      <c r="AH577">
        <v>0</v>
      </c>
      <c r="AI577" t="s">
        <v>577</v>
      </c>
      <c r="AJ577">
        <v>41.970433999999997</v>
      </c>
      <c r="AK577" t="s">
        <v>502</v>
      </c>
      <c r="AL577">
        <v>-87.899271999999996</v>
      </c>
      <c r="AS577">
        <v>1</v>
      </c>
      <c r="AT577" t="s">
        <v>118</v>
      </c>
      <c r="AU577" t="b">
        <v>1</v>
      </c>
      <c r="AV577">
        <v>90</v>
      </c>
      <c r="AW577">
        <v>10.125</v>
      </c>
      <c r="AX577">
        <v>1</v>
      </c>
      <c r="AZ577">
        <v>7205</v>
      </c>
      <c r="BA577">
        <v>1</v>
      </c>
      <c r="BB577" t="str">
        <f t="shared" si="26"/>
        <v xml:space="preserve">KAP400  </v>
      </c>
      <c r="BC577">
        <v>1</v>
      </c>
      <c r="BE577">
        <v>0</v>
      </c>
      <c r="BF577">
        <v>0</v>
      </c>
      <c r="BG577">
        <v>0</v>
      </c>
      <c r="BI577">
        <v>1</v>
      </c>
      <c r="BJ577">
        <v>1</v>
      </c>
      <c r="BK577">
        <v>1</v>
      </c>
      <c r="BL577">
        <v>0</v>
      </c>
      <c r="BO577">
        <v>0</v>
      </c>
      <c r="BP577">
        <v>0</v>
      </c>
      <c r="BW577" t="str">
        <f>"19:12:46.052"</f>
        <v>19:12:46.052</v>
      </c>
      <c r="BX577" t="s">
        <v>119</v>
      </c>
      <c r="BY577" t="s">
        <v>120</v>
      </c>
      <c r="CJ577">
        <v>0</v>
      </c>
      <c r="CK577">
        <v>0</v>
      </c>
      <c r="CL577">
        <v>0</v>
      </c>
      <c r="CM577">
        <v>2</v>
      </c>
      <c r="CN577">
        <v>0</v>
      </c>
      <c r="CO577">
        <v>7</v>
      </c>
      <c r="CP577" t="s">
        <v>121</v>
      </c>
      <c r="CQ577">
        <v>580</v>
      </c>
      <c r="CR577">
        <v>0</v>
      </c>
      <c r="CW577">
        <v>329971</v>
      </c>
      <c r="CY577">
        <v>0</v>
      </c>
      <c r="CZ577">
        <v>0</v>
      </c>
      <c r="DA577">
        <v>0</v>
      </c>
      <c r="DB577">
        <v>1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</row>
    <row r="578" spans="1:113" x14ac:dyDescent="0.3">
      <c r="A578" t="str">
        <f>"06/16/2022 19:12:47.330"</f>
        <v>06/16/2022 19:12:47.330</v>
      </c>
      <c r="C578" t="str">
        <f t="shared" ref="C578:C588" si="27">"FFBF5BC0"</f>
        <v>FFBF5BC0</v>
      </c>
      <c r="D578" t="s">
        <v>113</v>
      </c>
      <c r="E578">
        <v>8</v>
      </c>
      <c r="H578">
        <v>206</v>
      </c>
      <c r="I578" t="s">
        <v>114</v>
      </c>
      <c r="J578" t="s">
        <v>115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>"19:12:47.047"</f>
        <v>19:12:47.047</v>
      </c>
      <c r="T578" t="str">
        <f>"19:12:47.047"</f>
        <v>19:12:47.047</v>
      </c>
      <c r="U578" t="str">
        <f t="shared" ref="U578:U641" si="28">"AB63B2"</f>
        <v>AB63B2</v>
      </c>
      <c r="V578">
        <v>0</v>
      </c>
      <c r="W578">
        <v>0</v>
      </c>
      <c r="X578">
        <v>6</v>
      </c>
      <c r="Z578">
        <v>0</v>
      </c>
      <c r="AA578">
        <v>9</v>
      </c>
      <c r="AB578">
        <v>3</v>
      </c>
      <c r="AC578">
        <v>0</v>
      </c>
      <c r="AD578">
        <v>10</v>
      </c>
      <c r="AE578">
        <v>0</v>
      </c>
      <c r="AF578">
        <v>0</v>
      </c>
      <c r="AG578">
        <v>2</v>
      </c>
      <c r="AH578">
        <v>0</v>
      </c>
      <c r="AI578" t="s">
        <v>577</v>
      </c>
      <c r="AJ578">
        <v>41.970433999999997</v>
      </c>
      <c r="AK578" t="s">
        <v>590</v>
      </c>
      <c r="AL578">
        <v>-87.899208000000002</v>
      </c>
      <c r="AS578">
        <v>1</v>
      </c>
      <c r="AT578" t="s">
        <v>118</v>
      </c>
      <c r="AU578" t="b">
        <v>1</v>
      </c>
      <c r="AV578">
        <v>90</v>
      </c>
      <c r="AW578">
        <v>10.125</v>
      </c>
      <c r="AX578">
        <v>1</v>
      </c>
      <c r="AZ578">
        <v>7205</v>
      </c>
      <c r="BA578">
        <v>1</v>
      </c>
      <c r="BB578" t="str">
        <f t="shared" ref="BB578:BB641" si="29">"KAP400  "</f>
        <v xml:space="preserve">KAP400  </v>
      </c>
      <c r="BC578">
        <v>1</v>
      </c>
      <c r="BE578">
        <v>0</v>
      </c>
      <c r="BF578">
        <v>0</v>
      </c>
      <c r="BG578">
        <v>0</v>
      </c>
      <c r="BI578">
        <v>1</v>
      </c>
      <c r="BJ578">
        <v>1</v>
      </c>
      <c r="BK578">
        <v>1</v>
      </c>
      <c r="BL578">
        <v>0</v>
      </c>
      <c r="BO578">
        <v>0</v>
      </c>
      <c r="BP578">
        <v>0</v>
      </c>
      <c r="BW578" t="str">
        <f>"19:12:47.053"</f>
        <v>19:12:47.053</v>
      </c>
      <c r="BX578" t="s">
        <v>119</v>
      </c>
      <c r="BY578" t="s">
        <v>120</v>
      </c>
      <c r="CJ578">
        <v>0</v>
      </c>
      <c r="CK578">
        <v>0</v>
      </c>
      <c r="CL578">
        <v>0</v>
      </c>
      <c r="CM578">
        <v>2</v>
      </c>
      <c r="CN578">
        <v>0</v>
      </c>
      <c r="CO578">
        <v>5</v>
      </c>
      <c r="CP578" t="s">
        <v>121</v>
      </c>
      <c r="CQ578">
        <v>579</v>
      </c>
      <c r="CR578">
        <v>0</v>
      </c>
      <c r="CW578">
        <v>1428318</v>
      </c>
      <c r="CY578">
        <v>0</v>
      </c>
      <c r="CZ578">
        <v>0</v>
      </c>
      <c r="DA578">
        <v>0</v>
      </c>
      <c r="DB578">
        <v>1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</row>
    <row r="579" spans="1:113" x14ac:dyDescent="0.3">
      <c r="A579" t="str">
        <f>"06/16/2022 19:12:48.924"</f>
        <v>06/16/2022 19:12:48.924</v>
      </c>
      <c r="C579" t="str">
        <f t="shared" si="27"/>
        <v>FFBF5BC0</v>
      </c>
      <c r="D579" t="s">
        <v>113</v>
      </c>
      <c r="E579">
        <v>8</v>
      </c>
      <c r="H579">
        <v>206</v>
      </c>
      <c r="I579" t="s">
        <v>114</v>
      </c>
      <c r="J579" t="s">
        <v>115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>"19:12:48.664"</f>
        <v>19:12:48.664</v>
      </c>
      <c r="T579" t="str">
        <f>"19:12:48.664"</f>
        <v>19:12:48.664</v>
      </c>
      <c r="U579" t="str">
        <f t="shared" si="28"/>
        <v>AB63B2</v>
      </c>
      <c r="V579">
        <v>0</v>
      </c>
      <c r="W579">
        <v>0</v>
      </c>
      <c r="X579">
        <v>6</v>
      </c>
      <c r="Z579">
        <v>0</v>
      </c>
      <c r="AA579">
        <v>9</v>
      </c>
      <c r="AB579">
        <v>3</v>
      </c>
      <c r="AC579">
        <v>0</v>
      </c>
      <c r="AD579">
        <v>10</v>
      </c>
      <c r="AE579">
        <v>0</v>
      </c>
      <c r="AF579">
        <v>0</v>
      </c>
      <c r="AG579">
        <v>2</v>
      </c>
      <c r="AH579">
        <v>0</v>
      </c>
      <c r="AI579" t="s">
        <v>577</v>
      </c>
      <c r="AJ579">
        <v>41.970433999999997</v>
      </c>
      <c r="AK579" t="s">
        <v>591</v>
      </c>
      <c r="AL579">
        <v>-87.899122000000006</v>
      </c>
      <c r="AS579">
        <v>1</v>
      </c>
      <c r="AT579" t="s">
        <v>118</v>
      </c>
      <c r="AU579" t="b">
        <v>1</v>
      </c>
      <c r="AV579">
        <v>90</v>
      </c>
      <c r="AW579">
        <v>10.125</v>
      </c>
      <c r="AX579">
        <v>1</v>
      </c>
      <c r="AZ579">
        <v>7205</v>
      </c>
      <c r="BA579">
        <v>1</v>
      </c>
      <c r="BB579" t="str">
        <f t="shared" si="29"/>
        <v xml:space="preserve">KAP400  </v>
      </c>
      <c r="BC579">
        <v>1</v>
      </c>
      <c r="BE579">
        <v>0</v>
      </c>
      <c r="BF579">
        <v>0</v>
      </c>
      <c r="BG579">
        <v>0</v>
      </c>
      <c r="BI579">
        <v>1</v>
      </c>
      <c r="BJ579">
        <v>1</v>
      </c>
      <c r="BK579">
        <v>1</v>
      </c>
      <c r="BL579">
        <v>0</v>
      </c>
      <c r="BO579">
        <v>0</v>
      </c>
      <c r="BP579">
        <v>0</v>
      </c>
      <c r="BW579" t="str">
        <f>"19:12:48.668"</f>
        <v>19:12:48.668</v>
      </c>
      <c r="BX579" t="s">
        <v>119</v>
      </c>
      <c r="BY579" t="s">
        <v>120</v>
      </c>
      <c r="CJ579">
        <v>0</v>
      </c>
      <c r="CK579">
        <v>0</v>
      </c>
      <c r="CL579">
        <v>0</v>
      </c>
      <c r="CM579">
        <v>2</v>
      </c>
      <c r="CN579">
        <v>0</v>
      </c>
      <c r="CO579">
        <v>5</v>
      </c>
      <c r="CP579" t="s">
        <v>121</v>
      </c>
      <c r="CQ579">
        <v>579</v>
      </c>
      <c r="CR579">
        <v>0</v>
      </c>
      <c r="CW579">
        <v>1431594</v>
      </c>
      <c r="CY579">
        <v>0</v>
      </c>
      <c r="CZ579">
        <v>0</v>
      </c>
      <c r="DA579">
        <v>0</v>
      </c>
      <c r="DB579">
        <v>1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</row>
    <row r="580" spans="1:113" x14ac:dyDescent="0.3">
      <c r="A580" t="str">
        <f>"06/16/2022 19:12:49.893"</f>
        <v>06/16/2022 19:12:49.893</v>
      </c>
      <c r="C580" t="str">
        <f t="shared" si="27"/>
        <v>FFBF5BC0</v>
      </c>
      <c r="D580" t="s">
        <v>113</v>
      </c>
      <c r="E580">
        <v>8</v>
      </c>
      <c r="H580">
        <v>206</v>
      </c>
      <c r="I580" t="s">
        <v>114</v>
      </c>
      <c r="J580" t="s">
        <v>115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>"19:12:49.625"</f>
        <v>19:12:49.625</v>
      </c>
      <c r="T580" t="str">
        <f>"19:12:49.625"</f>
        <v>19:12:49.625</v>
      </c>
      <c r="U580" t="str">
        <f t="shared" si="28"/>
        <v>AB63B2</v>
      </c>
      <c r="V580">
        <v>0</v>
      </c>
      <c r="W580">
        <v>0</v>
      </c>
      <c r="X580">
        <v>6</v>
      </c>
      <c r="Z580">
        <v>0</v>
      </c>
      <c r="AA580">
        <v>9</v>
      </c>
      <c r="AB580">
        <v>3</v>
      </c>
      <c r="AC580">
        <v>0</v>
      </c>
      <c r="AD580">
        <v>10</v>
      </c>
      <c r="AE580">
        <v>0</v>
      </c>
      <c r="AF580">
        <v>0</v>
      </c>
      <c r="AG580">
        <v>2</v>
      </c>
      <c r="AH580">
        <v>0</v>
      </c>
      <c r="AI580" t="s">
        <v>577</v>
      </c>
      <c r="AJ580">
        <v>41.970433999999997</v>
      </c>
      <c r="AK580" t="s">
        <v>592</v>
      </c>
      <c r="AL580">
        <v>-87.899057999999997</v>
      </c>
      <c r="AS580">
        <v>1</v>
      </c>
      <c r="AT580" t="s">
        <v>118</v>
      </c>
      <c r="AU580" t="b">
        <v>1</v>
      </c>
      <c r="AV580">
        <v>90</v>
      </c>
      <c r="AW580">
        <v>10.125</v>
      </c>
      <c r="AX580">
        <v>1</v>
      </c>
      <c r="AZ580">
        <v>7205</v>
      </c>
      <c r="BA580">
        <v>1</v>
      </c>
      <c r="BB580" t="str">
        <f t="shared" si="29"/>
        <v xml:space="preserve">KAP400  </v>
      </c>
      <c r="BC580">
        <v>1</v>
      </c>
      <c r="BE580">
        <v>0</v>
      </c>
      <c r="BF580">
        <v>0</v>
      </c>
      <c r="BG580">
        <v>0</v>
      </c>
      <c r="BI580">
        <v>1</v>
      </c>
      <c r="BJ580">
        <v>1</v>
      </c>
      <c r="BK580">
        <v>1</v>
      </c>
      <c r="BL580">
        <v>0</v>
      </c>
      <c r="BO580">
        <v>0</v>
      </c>
      <c r="BP580">
        <v>0</v>
      </c>
      <c r="BW580" t="str">
        <f>"19:12:49.628"</f>
        <v>19:12:49.628</v>
      </c>
      <c r="BX580" t="s">
        <v>119</v>
      </c>
      <c r="BY580" t="s">
        <v>120</v>
      </c>
      <c r="CJ580">
        <v>0</v>
      </c>
      <c r="CK580">
        <v>0</v>
      </c>
      <c r="CL580">
        <v>0</v>
      </c>
      <c r="CM580">
        <v>2</v>
      </c>
      <c r="CN580">
        <v>0</v>
      </c>
      <c r="CO580">
        <v>3</v>
      </c>
      <c r="CP580" t="s">
        <v>121</v>
      </c>
      <c r="CQ580">
        <v>582</v>
      </c>
      <c r="CR580">
        <v>0</v>
      </c>
      <c r="CW580">
        <v>6214787</v>
      </c>
      <c r="CY580">
        <v>0</v>
      </c>
      <c r="CZ580">
        <v>0</v>
      </c>
      <c r="DA580">
        <v>0</v>
      </c>
      <c r="DB580">
        <v>1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</row>
    <row r="581" spans="1:113" x14ac:dyDescent="0.3">
      <c r="A581" t="str">
        <f>"06/16/2022 19:12:50.908"</f>
        <v>06/16/2022 19:12:50.908</v>
      </c>
      <c r="C581" t="str">
        <f t="shared" si="27"/>
        <v>FFBF5BC0</v>
      </c>
      <c r="D581" t="s">
        <v>113</v>
      </c>
      <c r="E581">
        <v>8</v>
      </c>
      <c r="H581">
        <v>206</v>
      </c>
      <c r="I581" t="s">
        <v>114</v>
      </c>
      <c r="J581" t="s">
        <v>115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>"19:12:50.664"</f>
        <v>19:12:50.664</v>
      </c>
      <c r="T581" t="str">
        <f>"19:12:50.664"</f>
        <v>19:12:50.664</v>
      </c>
      <c r="U581" t="str">
        <f t="shared" si="28"/>
        <v>AB63B2</v>
      </c>
      <c r="V581">
        <v>0</v>
      </c>
      <c r="W581">
        <v>0</v>
      </c>
      <c r="X581">
        <v>6</v>
      </c>
      <c r="Z581">
        <v>0</v>
      </c>
      <c r="AA581">
        <v>9</v>
      </c>
      <c r="AB581">
        <v>3</v>
      </c>
      <c r="AC581">
        <v>0</v>
      </c>
      <c r="AD581">
        <v>10</v>
      </c>
      <c r="AE581">
        <v>0</v>
      </c>
      <c r="AF581">
        <v>0</v>
      </c>
      <c r="AG581">
        <v>2</v>
      </c>
      <c r="AH581">
        <v>0</v>
      </c>
      <c r="AI581" t="s">
        <v>577</v>
      </c>
      <c r="AJ581">
        <v>41.970433999999997</v>
      </c>
      <c r="AK581" t="s">
        <v>498</v>
      </c>
      <c r="AL581">
        <v>-87.898993000000004</v>
      </c>
      <c r="AS581">
        <v>1</v>
      </c>
      <c r="AT581" t="s">
        <v>118</v>
      </c>
      <c r="AU581" t="b">
        <v>1</v>
      </c>
      <c r="AV581">
        <v>90</v>
      </c>
      <c r="AW581">
        <v>10.125</v>
      </c>
      <c r="AX581">
        <v>1</v>
      </c>
      <c r="AZ581">
        <v>7205</v>
      </c>
      <c r="BA581">
        <v>1</v>
      </c>
      <c r="BB581" t="str">
        <f t="shared" si="29"/>
        <v xml:space="preserve">KAP400  </v>
      </c>
      <c r="BC581">
        <v>1</v>
      </c>
      <c r="BE581">
        <v>0</v>
      </c>
      <c r="BF581">
        <v>0</v>
      </c>
      <c r="BG581">
        <v>0</v>
      </c>
      <c r="BI581">
        <v>1</v>
      </c>
      <c r="BJ581">
        <v>1</v>
      </c>
      <c r="BK581">
        <v>1</v>
      </c>
      <c r="BL581">
        <v>0</v>
      </c>
      <c r="BO581">
        <v>0</v>
      </c>
      <c r="BP581">
        <v>0</v>
      </c>
      <c r="BW581" t="str">
        <f>"19:12:50.670"</f>
        <v>19:12:50.670</v>
      </c>
      <c r="BX581" t="s">
        <v>119</v>
      </c>
      <c r="BY581" t="s">
        <v>120</v>
      </c>
      <c r="CJ581">
        <v>0</v>
      </c>
      <c r="CK581">
        <v>0</v>
      </c>
      <c r="CL581">
        <v>0</v>
      </c>
      <c r="CM581">
        <v>2</v>
      </c>
      <c r="CN581">
        <v>0</v>
      </c>
      <c r="CO581">
        <v>4</v>
      </c>
      <c r="CP581" t="s">
        <v>121</v>
      </c>
      <c r="CQ581">
        <v>582</v>
      </c>
      <c r="CR581">
        <v>0</v>
      </c>
      <c r="CW581">
        <v>6216305</v>
      </c>
      <c r="CY581">
        <v>0</v>
      </c>
      <c r="CZ581">
        <v>0</v>
      </c>
      <c r="DA581">
        <v>0</v>
      </c>
      <c r="DB581">
        <v>1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</row>
    <row r="582" spans="1:113" x14ac:dyDescent="0.3">
      <c r="A582" t="str">
        <f>"06/16/2022 19:12:52.252"</f>
        <v>06/16/2022 19:12:52.252</v>
      </c>
      <c r="C582" t="str">
        <f t="shared" si="27"/>
        <v>FFBF5BC0</v>
      </c>
      <c r="D582" t="s">
        <v>113</v>
      </c>
      <c r="E582">
        <v>8</v>
      </c>
      <c r="H582">
        <v>206</v>
      </c>
      <c r="I582" t="s">
        <v>114</v>
      </c>
      <c r="J582" t="s">
        <v>115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>"19:12:52.016"</f>
        <v>19:12:52.016</v>
      </c>
      <c r="T582" t="str">
        <f>"19:12:52.016"</f>
        <v>19:12:52.016</v>
      </c>
      <c r="U582" t="str">
        <f t="shared" si="28"/>
        <v>AB63B2</v>
      </c>
      <c r="V582">
        <v>0</v>
      </c>
      <c r="W582">
        <v>0</v>
      </c>
      <c r="X582">
        <v>6</v>
      </c>
      <c r="Z582">
        <v>0</v>
      </c>
      <c r="AA582">
        <v>9</v>
      </c>
      <c r="AB582">
        <v>3</v>
      </c>
      <c r="AC582">
        <v>0</v>
      </c>
      <c r="AD582">
        <v>10</v>
      </c>
      <c r="AE582">
        <v>0</v>
      </c>
      <c r="AF582">
        <v>0</v>
      </c>
      <c r="AG582">
        <v>2</v>
      </c>
      <c r="AH582">
        <v>0</v>
      </c>
      <c r="AI582" t="s">
        <v>577</v>
      </c>
      <c r="AJ582">
        <v>41.970433999999997</v>
      </c>
      <c r="AK582" t="s">
        <v>496</v>
      </c>
      <c r="AL582">
        <v>-87.898908000000006</v>
      </c>
      <c r="AS582">
        <v>1</v>
      </c>
      <c r="AT582" t="s">
        <v>118</v>
      </c>
      <c r="AU582" t="b">
        <v>1</v>
      </c>
      <c r="AV582">
        <v>90</v>
      </c>
      <c r="AW582">
        <v>10.125</v>
      </c>
      <c r="AX582">
        <v>1</v>
      </c>
      <c r="AZ582">
        <v>7205</v>
      </c>
      <c r="BA582">
        <v>1</v>
      </c>
      <c r="BB582" t="str">
        <f t="shared" si="29"/>
        <v xml:space="preserve">KAP400  </v>
      </c>
      <c r="BC582">
        <v>1</v>
      </c>
      <c r="BE582">
        <v>0</v>
      </c>
      <c r="BF582">
        <v>0</v>
      </c>
      <c r="BG582">
        <v>0</v>
      </c>
      <c r="BI582">
        <v>1</v>
      </c>
      <c r="BJ582">
        <v>1</v>
      </c>
      <c r="BK582">
        <v>1</v>
      </c>
      <c r="BL582">
        <v>0</v>
      </c>
      <c r="BO582">
        <v>0</v>
      </c>
      <c r="BP582">
        <v>0</v>
      </c>
      <c r="BW582" t="str">
        <f>"19:12:52.019"</f>
        <v>19:12:52.019</v>
      </c>
      <c r="BX582" t="s">
        <v>119</v>
      </c>
      <c r="BY582" t="s">
        <v>120</v>
      </c>
      <c r="CJ582">
        <v>0</v>
      </c>
      <c r="CK582">
        <v>0</v>
      </c>
      <c r="CL582">
        <v>0</v>
      </c>
      <c r="CM582">
        <v>2</v>
      </c>
      <c r="CN582">
        <v>0</v>
      </c>
      <c r="CO582">
        <v>3</v>
      </c>
      <c r="CP582" t="s">
        <v>121</v>
      </c>
      <c r="CQ582">
        <v>581</v>
      </c>
      <c r="CR582">
        <v>0</v>
      </c>
      <c r="CW582">
        <v>15287879</v>
      </c>
      <c r="CY582">
        <v>0</v>
      </c>
      <c r="CZ582">
        <v>0</v>
      </c>
      <c r="DA582">
        <v>0</v>
      </c>
      <c r="DB582">
        <v>1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</row>
    <row r="583" spans="1:113" x14ac:dyDescent="0.3">
      <c r="A583" t="str">
        <f>"06/16/2022 19:12:54.222"</f>
        <v>06/16/2022 19:12:54.222</v>
      </c>
      <c r="C583" t="str">
        <f t="shared" si="27"/>
        <v>FFBF5BC0</v>
      </c>
      <c r="D583" t="s">
        <v>113</v>
      </c>
      <c r="E583">
        <v>8</v>
      </c>
      <c r="H583">
        <v>206</v>
      </c>
      <c r="I583" t="s">
        <v>114</v>
      </c>
      <c r="J583" t="s">
        <v>115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>"19:12:54.039"</f>
        <v>19:12:54.039</v>
      </c>
      <c r="T583" t="str">
        <f>"19:12:54.039"</f>
        <v>19:12:54.039</v>
      </c>
      <c r="U583" t="str">
        <f t="shared" si="28"/>
        <v>AB63B2</v>
      </c>
      <c r="V583">
        <v>0</v>
      </c>
      <c r="W583">
        <v>0</v>
      </c>
      <c r="X583">
        <v>6</v>
      </c>
      <c r="Z583">
        <v>0</v>
      </c>
      <c r="AA583">
        <v>9</v>
      </c>
      <c r="AB583">
        <v>3</v>
      </c>
      <c r="AC583">
        <v>0</v>
      </c>
      <c r="AD583">
        <v>10</v>
      </c>
      <c r="AE583">
        <v>0</v>
      </c>
      <c r="AF583">
        <v>0</v>
      </c>
      <c r="AG583">
        <v>2</v>
      </c>
      <c r="AH583">
        <v>0</v>
      </c>
      <c r="AI583" t="s">
        <v>577</v>
      </c>
      <c r="AJ583">
        <v>41.970433999999997</v>
      </c>
      <c r="AK583" t="s">
        <v>593</v>
      </c>
      <c r="AL583">
        <v>-87.898779000000005</v>
      </c>
      <c r="AS583">
        <v>1</v>
      </c>
      <c r="AT583" t="s">
        <v>118</v>
      </c>
      <c r="AU583" t="b">
        <v>1</v>
      </c>
      <c r="AV583">
        <v>90</v>
      </c>
      <c r="AW583">
        <v>9.625</v>
      </c>
      <c r="AX583">
        <v>1</v>
      </c>
      <c r="AZ583">
        <v>7205</v>
      </c>
      <c r="BA583">
        <v>1</v>
      </c>
      <c r="BB583" t="str">
        <f t="shared" si="29"/>
        <v xml:space="preserve">KAP400  </v>
      </c>
      <c r="BC583">
        <v>1</v>
      </c>
      <c r="BE583">
        <v>0</v>
      </c>
      <c r="BF583">
        <v>0</v>
      </c>
      <c r="BG583">
        <v>0</v>
      </c>
      <c r="BI583">
        <v>1</v>
      </c>
      <c r="BJ583">
        <v>1</v>
      </c>
      <c r="BK583">
        <v>1</v>
      </c>
      <c r="BL583">
        <v>0</v>
      </c>
      <c r="BO583">
        <v>0</v>
      </c>
      <c r="BP583">
        <v>0</v>
      </c>
      <c r="BW583" t="str">
        <f>"19:12:54.042"</f>
        <v>19:12:54.042</v>
      </c>
      <c r="BX583" t="s">
        <v>119</v>
      </c>
      <c r="BY583" t="s">
        <v>120</v>
      </c>
      <c r="CJ583">
        <v>0</v>
      </c>
      <c r="CK583">
        <v>0</v>
      </c>
      <c r="CL583">
        <v>0</v>
      </c>
      <c r="CM583">
        <v>2</v>
      </c>
      <c r="CN583">
        <v>0</v>
      </c>
      <c r="CO583">
        <v>6</v>
      </c>
      <c r="CP583" t="s">
        <v>121</v>
      </c>
      <c r="CQ583">
        <v>579</v>
      </c>
      <c r="CR583">
        <v>0</v>
      </c>
      <c r="CW583">
        <v>1442483</v>
      </c>
      <c r="CY583">
        <v>0</v>
      </c>
      <c r="CZ583">
        <v>0</v>
      </c>
      <c r="DA583">
        <v>0</v>
      </c>
      <c r="DB583">
        <v>1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</row>
    <row r="584" spans="1:113" x14ac:dyDescent="0.3">
      <c r="A584" t="str">
        <f>"06/16/2022 19:12:55.456"</f>
        <v>06/16/2022 19:12:55.456</v>
      </c>
      <c r="C584" t="str">
        <f t="shared" si="27"/>
        <v>FFBF5BC0</v>
      </c>
      <c r="D584" t="s">
        <v>113</v>
      </c>
      <c r="E584">
        <v>8</v>
      </c>
      <c r="H584">
        <v>206</v>
      </c>
      <c r="I584" t="s">
        <v>114</v>
      </c>
      <c r="J584" t="s">
        <v>115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>"19:12:55.188"</f>
        <v>19:12:55.188</v>
      </c>
      <c r="T584" t="str">
        <f>"19:12:55.188"</f>
        <v>19:12:55.188</v>
      </c>
      <c r="U584" t="str">
        <f t="shared" si="28"/>
        <v>AB63B2</v>
      </c>
      <c r="V584">
        <v>0</v>
      </c>
      <c r="W584">
        <v>0</v>
      </c>
      <c r="X584">
        <v>6</v>
      </c>
      <c r="Z584">
        <v>0</v>
      </c>
      <c r="AA584">
        <v>9</v>
      </c>
      <c r="AB584">
        <v>3</v>
      </c>
      <c r="AC584">
        <v>0</v>
      </c>
      <c r="AD584">
        <v>10</v>
      </c>
      <c r="AE584">
        <v>0</v>
      </c>
      <c r="AF584">
        <v>0</v>
      </c>
      <c r="AG584">
        <v>2</v>
      </c>
      <c r="AH584">
        <v>0</v>
      </c>
      <c r="AI584" t="s">
        <v>577</v>
      </c>
      <c r="AJ584">
        <v>41.970433999999997</v>
      </c>
      <c r="AK584" t="s">
        <v>493</v>
      </c>
      <c r="AL584">
        <v>-87.898714999999996</v>
      </c>
      <c r="AS584">
        <v>1</v>
      </c>
      <c r="AT584" t="s">
        <v>118</v>
      </c>
      <c r="AU584" t="b">
        <v>1</v>
      </c>
      <c r="AV584">
        <v>90</v>
      </c>
      <c r="AW584">
        <v>9.625</v>
      </c>
      <c r="AX584">
        <v>1</v>
      </c>
      <c r="AZ584">
        <v>7205</v>
      </c>
      <c r="BA584">
        <v>1</v>
      </c>
      <c r="BB584" t="str">
        <f t="shared" si="29"/>
        <v xml:space="preserve">KAP400  </v>
      </c>
      <c r="BC584">
        <v>1</v>
      </c>
      <c r="BE584">
        <v>0</v>
      </c>
      <c r="BF584">
        <v>0</v>
      </c>
      <c r="BG584">
        <v>0</v>
      </c>
      <c r="BI584">
        <v>1</v>
      </c>
      <c r="BJ584">
        <v>1</v>
      </c>
      <c r="BK584">
        <v>1</v>
      </c>
      <c r="BL584">
        <v>0</v>
      </c>
      <c r="BO584">
        <v>0</v>
      </c>
      <c r="BP584">
        <v>0</v>
      </c>
      <c r="BW584" t="str">
        <f>"19:12:55.191"</f>
        <v>19:12:55.191</v>
      </c>
      <c r="BX584" t="s">
        <v>119</v>
      </c>
      <c r="BY584" t="s">
        <v>120</v>
      </c>
      <c r="CJ584">
        <v>0</v>
      </c>
      <c r="CK584">
        <v>0</v>
      </c>
      <c r="CL584">
        <v>0</v>
      </c>
      <c r="CM584">
        <v>2</v>
      </c>
      <c r="CN584">
        <v>0</v>
      </c>
      <c r="CO584">
        <v>6</v>
      </c>
      <c r="CP584" t="s">
        <v>121</v>
      </c>
      <c r="CQ584">
        <v>579</v>
      </c>
      <c r="CR584">
        <v>0</v>
      </c>
      <c r="CW584">
        <v>1444756</v>
      </c>
      <c r="CY584">
        <v>0</v>
      </c>
      <c r="CZ584">
        <v>0</v>
      </c>
      <c r="DA584">
        <v>0</v>
      </c>
      <c r="DB584">
        <v>1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</row>
    <row r="585" spans="1:113" x14ac:dyDescent="0.3">
      <c r="A585" t="str">
        <f>"06/16/2022 19:12:56.582"</f>
        <v>06/16/2022 19:12:56.582</v>
      </c>
      <c r="C585" t="str">
        <f t="shared" si="27"/>
        <v>FFBF5BC0</v>
      </c>
      <c r="D585" t="s">
        <v>113</v>
      </c>
      <c r="E585">
        <v>8</v>
      </c>
      <c r="H585">
        <v>206</v>
      </c>
      <c r="I585" t="s">
        <v>114</v>
      </c>
      <c r="J585" t="s">
        <v>115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>"19:12:56.203"</f>
        <v>19:12:56.203</v>
      </c>
      <c r="T585" t="str">
        <f>"19:12:56.203"</f>
        <v>19:12:56.203</v>
      </c>
      <c r="U585" t="str">
        <f t="shared" si="28"/>
        <v>AB63B2</v>
      </c>
      <c r="V585">
        <v>0</v>
      </c>
      <c r="W585">
        <v>0</v>
      </c>
      <c r="X585">
        <v>6</v>
      </c>
      <c r="Z585">
        <v>0</v>
      </c>
      <c r="AA585">
        <v>9</v>
      </c>
      <c r="AB585">
        <v>3</v>
      </c>
      <c r="AC585">
        <v>0</v>
      </c>
      <c r="AD585">
        <v>10</v>
      </c>
      <c r="AE585">
        <v>0</v>
      </c>
      <c r="AF585">
        <v>0</v>
      </c>
      <c r="AG585">
        <v>2</v>
      </c>
      <c r="AH585">
        <v>0</v>
      </c>
      <c r="AI585" t="s">
        <v>577</v>
      </c>
      <c r="AJ585">
        <v>41.970433999999997</v>
      </c>
      <c r="AK585" t="s">
        <v>594</v>
      </c>
      <c r="AL585">
        <v>-87.898672000000005</v>
      </c>
      <c r="AS585">
        <v>1</v>
      </c>
      <c r="AT585" t="s">
        <v>118</v>
      </c>
      <c r="AU585" t="b">
        <v>1</v>
      </c>
      <c r="AV585">
        <v>90</v>
      </c>
      <c r="AW585">
        <v>9.125</v>
      </c>
      <c r="AX585">
        <v>1</v>
      </c>
      <c r="AZ585">
        <v>7205</v>
      </c>
      <c r="BA585">
        <v>1</v>
      </c>
      <c r="BB585" t="str">
        <f t="shared" si="29"/>
        <v xml:space="preserve">KAP400  </v>
      </c>
      <c r="BC585">
        <v>1</v>
      </c>
      <c r="BE585">
        <v>0</v>
      </c>
      <c r="BF585">
        <v>0</v>
      </c>
      <c r="BG585">
        <v>0</v>
      </c>
      <c r="BI585">
        <v>1</v>
      </c>
      <c r="BJ585">
        <v>1</v>
      </c>
      <c r="BK585">
        <v>1</v>
      </c>
      <c r="BL585">
        <v>0</v>
      </c>
      <c r="BO585">
        <v>0</v>
      </c>
      <c r="BP585">
        <v>0</v>
      </c>
      <c r="BW585" t="str">
        <f>"19:12:56.208"</f>
        <v>19:12:56.208</v>
      </c>
      <c r="BX585" t="s">
        <v>119</v>
      </c>
      <c r="BY585" t="s">
        <v>120</v>
      </c>
      <c r="CJ585">
        <v>0</v>
      </c>
      <c r="CK585">
        <v>0</v>
      </c>
      <c r="CL585">
        <v>0</v>
      </c>
      <c r="CM585">
        <v>2</v>
      </c>
      <c r="CN585">
        <v>0</v>
      </c>
      <c r="CO585">
        <v>6</v>
      </c>
      <c r="CP585" t="s">
        <v>121</v>
      </c>
      <c r="CQ585">
        <v>579</v>
      </c>
      <c r="CR585">
        <v>0</v>
      </c>
      <c r="CW585">
        <v>1446648</v>
      </c>
      <c r="CY585">
        <v>0</v>
      </c>
      <c r="CZ585">
        <v>0</v>
      </c>
      <c r="DA585">
        <v>0</v>
      </c>
      <c r="DB585">
        <v>1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</row>
    <row r="586" spans="1:113" x14ac:dyDescent="0.3">
      <c r="A586" t="str">
        <f>"06/16/2022 19:12:57.345"</f>
        <v>06/16/2022 19:12:57.345</v>
      </c>
      <c r="C586" t="str">
        <f t="shared" si="27"/>
        <v>FFBF5BC0</v>
      </c>
      <c r="D586" t="s">
        <v>113</v>
      </c>
      <c r="E586">
        <v>8</v>
      </c>
      <c r="H586">
        <v>206</v>
      </c>
      <c r="I586" t="s">
        <v>114</v>
      </c>
      <c r="J586" t="s">
        <v>115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>"19:12:57.070"</f>
        <v>19:12:57.070</v>
      </c>
      <c r="T586" t="str">
        <f>"19:12:57.070"</f>
        <v>19:12:57.070</v>
      </c>
      <c r="U586" t="str">
        <f t="shared" si="28"/>
        <v>AB63B2</v>
      </c>
      <c r="V586">
        <v>0</v>
      </c>
      <c r="W586">
        <v>0</v>
      </c>
      <c r="X586">
        <v>6</v>
      </c>
      <c r="Z586">
        <v>0</v>
      </c>
      <c r="AA586">
        <v>9</v>
      </c>
      <c r="AB586">
        <v>3</v>
      </c>
      <c r="AC586">
        <v>0</v>
      </c>
      <c r="AD586">
        <v>10</v>
      </c>
      <c r="AE586">
        <v>0</v>
      </c>
      <c r="AF586">
        <v>0</v>
      </c>
      <c r="AG586">
        <v>2</v>
      </c>
      <c r="AH586">
        <v>0</v>
      </c>
      <c r="AI586" t="s">
        <v>577</v>
      </c>
      <c r="AJ586">
        <v>41.970433999999997</v>
      </c>
      <c r="AK586" t="s">
        <v>595</v>
      </c>
      <c r="AL586">
        <v>-87.898606999999998</v>
      </c>
      <c r="AS586">
        <v>1</v>
      </c>
      <c r="AT586" t="s">
        <v>118</v>
      </c>
      <c r="AU586" t="b">
        <v>1</v>
      </c>
      <c r="AV586">
        <v>90</v>
      </c>
      <c r="AW586">
        <v>9.125</v>
      </c>
      <c r="AX586">
        <v>1</v>
      </c>
      <c r="AZ586">
        <v>7205</v>
      </c>
      <c r="BA586">
        <v>1</v>
      </c>
      <c r="BB586" t="str">
        <f t="shared" si="29"/>
        <v xml:space="preserve">KAP400  </v>
      </c>
      <c r="BC586">
        <v>1</v>
      </c>
      <c r="BE586">
        <v>0</v>
      </c>
      <c r="BF586">
        <v>0</v>
      </c>
      <c r="BG586">
        <v>0</v>
      </c>
      <c r="BI586">
        <v>1</v>
      </c>
      <c r="BJ586">
        <v>1</v>
      </c>
      <c r="BK586">
        <v>1</v>
      </c>
      <c r="BL586">
        <v>0</v>
      </c>
      <c r="BO586">
        <v>0</v>
      </c>
      <c r="BP586">
        <v>0</v>
      </c>
      <c r="BW586" t="str">
        <f>"19:12:57.073"</f>
        <v>19:12:57.073</v>
      </c>
      <c r="BX586" t="s">
        <v>119</v>
      </c>
      <c r="BY586" t="s">
        <v>120</v>
      </c>
      <c r="CJ586">
        <v>0</v>
      </c>
      <c r="CK586">
        <v>0</v>
      </c>
      <c r="CL586">
        <v>0</v>
      </c>
      <c r="CM586">
        <v>2</v>
      </c>
      <c r="CN586">
        <v>0</v>
      </c>
      <c r="CO586">
        <v>6</v>
      </c>
      <c r="CP586" t="s">
        <v>121</v>
      </c>
      <c r="CQ586">
        <v>579</v>
      </c>
      <c r="CR586">
        <v>0</v>
      </c>
      <c r="CW586">
        <v>1448333</v>
      </c>
      <c r="CY586">
        <v>0</v>
      </c>
      <c r="CZ586">
        <v>0</v>
      </c>
      <c r="DA586">
        <v>0</v>
      </c>
      <c r="DB586">
        <v>1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</row>
    <row r="587" spans="1:113" x14ac:dyDescent="0.3">
      <c r="A587" t="str">
        <f>"06/16/2022 19:12:58.830"</f>
        <v>06/16/2022 19:12:58.830</v>
      </c>
      <c r="C587" t="str">
        <f t="shared" si="27"/>
        <v>FFBF5BC0</v>
      </c>
      <c r="D587" t="s">
        <v>113</v>
      </c>
      <c r="E587">
        <v>8</v>
      </c>
      <c r="H587">
        <v>206</v>
      </c>
      <c r="I587" t="s">
        <v>114</v>
      </c>
      <c r="J587" t="s">
        <v>115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>"19:12:58.602"</f>
        <v>19:12:58.602</v>
      </c>
      <c r="T587" t="str">
        <f>"19:12:58.602"</f>
        <v>19:12:58.602</v>
      </c>
      <c r="U587" t="str">
        <f t="shared" si="28"/>
        <v>AB63B2</v>
      </c>
      <c r="V587">
        <v>0</v>
      </c>
      <c r="W587">
        <v>0</v>
      </c>
      <c r="X587">
        <v>6</v>
      </c>
      <c r="Z587">
        <v>0</v>
      </c>
      <c r="AA587">
        <v>9</v>
      </c>
      <c r="AB587">
        <v>3</v>
      </c>
      <c r="AC587">
        <v>0</v>
      </c>
      <c r="AD587">
        <v>10</v>
      </c>
      <c r="AE587">
        <v>0</v>
      </c>
      <c r="AF587">
        <v>0</v>
      </c>
      <c r="AG587">
        <v>2</v>
      </c>
      <c r="AH587">
        <v>0</v>
      </c>
      <c r="AI587" t="s">
        <v>577</v>
      </c>
      <c r="AJ587">
        <v>41.970433999999997</v>
      </c>
      <c r="AK587" t="s">
        <v>489</v>
      </c>
      <c r="AL587">
        <v>-87.898543000000004</v>
      </c>
      <c r="AS587">
        <v>1</v>
      </c>
      <c r="AT587" t="s">
        <v>118</v>
      </c>
      <c r="AU587" t="b">
        <v>1</v>
      </c>
      <c r="AV587">
        <v>90</v>
      </c>
      <c r="AW587">
        <v>9.125</v>
      </c>
      <c r="AX587">
        <v>1</v>
      </c>
      <c r="AZ587">
        <v>7205</v>
      </c>
      <c r="BA587">
        <v>1</v>
      </c>
      <c r="BB587" t="str">
        <f t="shared" si="29"/>
        <v xml:space="preserve">KAP400  </v>
      </c>
      <c r="BC587">
        <v>1</v>
      </c>
      <c r="BE587">
        <v>0</v>
      </c>
      <c r="BF587">
        <v>0</v>
      </c>
      <c r="BG587">
        <v>0</v>
      </c>
      <c r="BI587">
        <v>1</v>
      </c>
      <c r="BJ587">
        <v>1</v>
      </c>
      <c r="BK587">
        <v>1</v>
      </c>
      <c r="BL587">
        <v>0</v>
      </c>
      <c r="BO587">
        <v>0</v>
      </c>
      <c r="BP587">
        <v>0</v>
      </c>
      <c r="BW587" t="str">
        <f>"19:12:58.604"</f>
        <v>19:12:58.604</v>
      </c>
      <c r="BX587" t="s">
        <v>119</v>
      </c>
      <c r="BY587" t="s">
        <v>120</v>
      </c>
      <c r="CJ587">
        <v>0</v>
      </c>
      <c r="CK587">
        <v>0</v>
      </c>
      <c r="CL587">
        <v>0</v>
      </c>
      <c r="CM587">
        <v>2</v>
      </c>
      <c r="CN587">
        <v>0</v>
      </c>
      <c r="CO587">
        <v>4</v>
      </c>
      <c r="CP587" t="s">
        <v>121</v>
      </c>
      <c r="CQ587">
        <v>581</v>
      </c>
      <c r="CR587">
        <v>0</v>
      </c>
      <c r="CW587">
        <v>15298032</v>
      </c>
      <c r="CY587">
        <v>0</v>
      </c>
      <c r="CZ587">
        <v>0</v>
      </c>
      <c r="DA587">
        <v>0</v>
      </c>
      <c r="DB587">
        <v>1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</row>
    <row r="588" spans="1:113" x14ac:dyDescent="0.3">
      <c r="A588" t="str">
        <f>"06/16/2022 19:13:00.580"</f>
        <v>06/16/2022 19:13:00.580</v>
      </c>
      <c r="C588" t="str">
        <f t="shared" si="27"/>
        <v>FFBF5BC0</v>
      </c>
      <c r="D588" t="s">
        <v>113</v>
      </c>
      <c r="E588">
        <v>8</v>
      </c>
      <c r="H588">
        <v>206</v>
      </c>
      <c r="I588" t="s">
        <v>114</v>
      </c>
      <c r="J588" t="s">
        <v>115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>"19:13:00.305"</f>
        <v>19:13:00.305</v>
      </c>
      <c r="T588" t="str">
        <f>"19:13:00.305"</f>
        <v>19:13:00.305</v>
      </c>
      <c r="U588" t="str">
        <f t="shared" si="28"/>
        <v>AB63B2</v>
      </c>
      <c r="V588">
        <v>0</v>
      </c>
      <c r="W588">
        <v>0</v>
      </c>
      <c r="X588">
        <v>6</v>
      </c>
      <c r="Z588">
        <v>0</v>
      </c>
      <c r="AA588">
        <v>9</v>
      </c>
      <c r="AB588">
        <v>3</v>
      </c>
      <c r="AC588">
        <v>0</v>
      </c>
      <c r="AD588">
        <v>10</v>
      </c>
      <c r="AE588">
        <v>0</v>
      </c>
      <c r="AF588">
        <v>0</v>
      </c>
      <c r="AG588">
        <v>2</v>
      </c>
      <c r="AH588">
        <v>0</v>
      </c>
      <c r="AI588" t="s">
        <v>577</v>
      </c>
      <c r="AJ588">
        <v>41.970433999999997</v>
      </c>
      <c r="AK588" t="s">
        <v>596</v>
      </c>
      <c r="AL588">
        <v>-87.898436000000004</v>
      </c>
      <c r="AS588">
        <v>1</v>
      </c>
      <c r="AT588" t="s">
        <v>118</v>
      </c>
      <c r="AU588" t="b">
        <v>1</v>
      </c>
      <c r="AV588">
        <v>90</v>
      </c>
      <c r="AW588">
        <v>9.125</v>
      </c>
      <c r="AX588">
        <v>1</v>
      </c>
      <c r="AZ588">
        <v>7205</v>
      </c>
      <c r="BA588">
        <v>1</v>
      </c>
      <c r="BB588" t="str">
        <f t="shared" si="29"/>
        <v xml:space="preserve">KAP400  </v>
      </c>
      <c r="BC588">
        <v>1</v>
      </c>
      <c r="BE588">
        <v>0</v>
      </c>
      <c r="BF588">
        <v>0</v>
      </c>
      <c r="BG588">
        <v>0</v>
      </c>
      <c r="BI588">
        <v>1</v>
      </c>
      <c r="BJ588">
        <v>1</v>
      </c>
      <c r="BK588">
        <v>1</v>
      </c>
      <c r="BL588">
        <v>0</v>
      </c>
      <c r="BO588">
        <v>0</v>
      </c>
      <c r="BP588">
        <v>0</v>
      </c>
      <c r="BW588" t="str">
        <f>"19:13:00.311"</f>
        <v>19:13:00.311</v>
      </c>
      <c r="BX588" t="s">
        <v>119</v>
      </c>
      <c r="BY588" t="s">
        <v>120</v>
      </c>
      <c r="CJ588">
        <v>0</v>
      </c>
      <c r="CK588">
        <v>0</v>
      </c>
      <c r="CL588">
        <v>0</v>
      </c>
      <c r="CM588">
        <v>2</v>
      </c>
      <c r="CN588">
        <v>0</v>
      </c>
      <c r="CO588">
        <v>7</v>
      </c>
      <c r="CP588" t="s">
        <v>121</v>
      </c>
      <c r="CQ588">
        <v>579</v>
      </c>
      <c r="CR588">
        <v>0</v>
      </c>
      <c r="CW588">
        <v>1454796</v>
      </c>
      <c r="CY588">
        <v>0</v>
      </c>
      <c r="CZ588">
        <v>0</v>
      </c>
      <c r="DA588">
        <v>0</v>
      </c>
      <c r="DB588">
        <v>1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</row>
    <row r="589" spans="1:113" x14ac:dyDescent="0.3">
      <c r="A589" t="str">
        <f>"06/16/2022 19:13:01.580"</f>
        <v>06/16/2022 19:13:01.580</v>
      </c>
      <c r="C589" t="str">
        <f>"FFBF13C0"</f>
        <v>FFBF13C0</v>
      </c>
      <c r="D589" t="s">
        <v>113</v>
      </c>
      <c r="E589">
        <v>8</v>
      </c>
      <c r="H589">
        <v>206</v>
      </c>
      <c r="I589" t="s">
        <v>114</v>
      </c>
      <c r="J589" t="s">
        <v>115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>"19:13:01.313"</f>
        <v>19:13:01.313</v>
      </c>
      <c r="T589" t="str">
        <f>"19:13:01.313"</f>
        <v>19:13:01.313</v>
      </c>
      <c r="U589" t="str">
        <f t="shared" si="28"/>
        <v>AB63B2</v>
      </c>
      <c r="V589">
        <v>0</v>
      </c>
      <c r="W589">
        <v>0</v>
      </c>
      <c r="X589">
        <v>6</v>
      </c>
      <c r="Z589">
        <v>0</v>
      </c>
      <c r="AA589">
        <v>0</v>
      </c>
      <c r="AB589">
        <v>0</v>
      </c>
      <c r="AC589">
        <v>0</v>
      </c>
      <c r="AE589">
        <v>0</v>
      </c>
      <c r="AF589">
        <v>0</v>
      </c>
      <c r="AH589">
        <v>0</v>
      </c>
      <c r="AI589" t="s">
        <v>577</v>
      </c>
      <c r="AJ589">
        <v>41.970433999999997</v>
      </c>
      <c r="AK589" t="s">
        <v>485</v>
      </c>
      <c r="AL589">
        <v>-87.898392999999999</v>
      </c>
      <c r="AS589">
        <v>1</v>
      </c>
      <c r="AT589" t="s">
        <v>118</v>
      </c>
      <c r="AU589" t="b">
        <v>1</v>
      </c>
      <c r="AV589">
        <v>90</v>
      </c>
      <c r="AW589">
        <v>9.125</v>
      </c>
      <c r="AX589">
        <v>1</v>
      </c>
      <c r="AZ589">
        <v>7205</v>
      </c>
      <c r="BA589">
        <v>1</v>
      </c>
      <c r="BB589" t="str">
        <f t="shared" si="29"/>
        <v xml:space="preserve">KAP400  </v>
      </c>
      <c r="BC589">
        <v>1</v>
      </c>
      <c r="BE589">
        <v>0</v>
      </c>
      <c r="BF589">
        <v>0</v>
      </c>
      <c r="BG589">
        <v>0</v>
      </c>
      <c r="BW589" t="str">
        <f>"19:13:01.317"</f>
        <v>19:13:01.317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6</v>
      </c>
      <c r="CP589" t="s">
        <v>121</v>
      </c>
      <c r="CQ589">
        <v>580</v>
      </c>
      <c r="CR589">
        <v>0</v>
      </c>
      <c r="CW589">
        <v>358787</v>
      </c>
      <c r="CY589">
        <v>0</v>
      </c>
      <c r="CZ589">
        <v>0</v>
      </c>
      <c r="DA589">
        <v>0</v>
      </c>
      <c r="DB589">
        <v>1</v>
      </c>
      <c r="DC589">
        <v>0</v>
      </c>
      <c r="DD589">
        <v>0</v>
      </c>
      <c r="DE589">
        <v>0</v>
      </c>
      <c r="DF589">
        <v>1</v>
      </c>
      <c r="DG589">
        <v>1</v>
      </c>
      <c r="DH589">
        <v>0</v>
      </c>
      <c r="DI589">
        <v>0</v>
      </c>
    </row>
    <row r="590" spans="1:113" x14ac:dyDescent="0.3">
      <c r="A590" t="str">
        <f>"06/16/2022 19:13:02.580"</f>
        <v>06/16/2022 19:13:02.580</v>
      </c>
      <c r="C590" t="str">
        <f>"FFBF5BC0"</f>
        <v>FFBF5BC0</v>
      </c>
      <c r="D590" t="s">
        <v>113</v>
      </c>
      <c r="E590">
        <v>8</v>
      </c>
      <c r="H590">
        <v>206</v>
      </c>
      <c r="I590" t="s">
        <v>114</v>
      </c>
      <c r="J590" t="s">
        <v>115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>"19:13:02.313"</f>
        <v>19:13:02.313</v>
      </c>
      <c r="T590" t="str">
        <f>"19:13:02.313"</f>
        <v>19:13:02.313</v>
      </c>
      <c r="U590" t="str">
        <f t="shared" si="28"/>
        <v>AB63B2</v>
      </c>
      <c r="V590">
        <v>0</v>
      </c>
      <c r="W590">
        <v>0</v>
      </c>
      <c r="X590">
        <v>6</v>
      </c>
      <c r="Z590">
        <v>0</v>
      </c>
      <c r="AA590">
        <v>9</v>
      </c>
      <c r="AB590">
        <v>3</v>
      </c>
      <c r="AC590">
        <v>0</v>
      </c>
      <c r="AD590">
        <v>10</v>
      </c>
      <c r="AE590">
        <v>0</v>
      </c>
      <c r="AF590">
        <v>0</v>
      </c>
      <c r="AG590">
        <v>2</v>
      </c>
      <c r="AH590">
        <v>0</v>
      </c>
      <c r="AI590" t="s">
        <v>577</v>
      </c>
      <c r="AJ590">
        <v>41.970433999999997</v>
      </c>
      <c r="AK590" t="s">
        <v>597</v>
      </c>
      <c r="AL590">
        <v>-87.898328000000006</v>
      </c>
      <c r="AS590">
        <v>1</v>
      </c>
      <c r="AT590" t="s">
        <v>118</v>
      </c>
      <c r="AU590" t="b">
        <v>1</v>
      </c>
      <c r="AV590">
        <v>90</v>
      </c>
      <c r="AW590">
        <v>9.625</v>
      </c>
      <c r="AX590">
        <v>1</v>
      </c>
      <c r="AZ590">
        <v>7205</v>
      </c>
      <c r="BA590">
        <v>1</v>
      </c>
      <c r="BB590" t="str">
        <f t="shared" si="29"/>
        <v xml:space="preserve">KAP400  </v>
      </c>
      <c r="BC590">
        <v>1</v>
      </c>
      <c r="BE590">
        <v>0</v>
      </c>
      <c r="BF590">
        <v>0</v>
      </c>
      <c r="BG590">
        <v>0</v>
      </c>
      <c r="BI590">
        <v>1</v>
      </c>
      <c r="BJ590">
        <v>1</v>
      </c>
      <c r="BK590">
        <v>1</v>
      </c>
      <c r="BL590">
        <v>0</v>
      </c>
      <c r="BO590">
        <v>0</v>
      </c>
      <c r="BP590">
        <v>0</v>
      </c>
      <c r="BW590" t="str">
        <f>"19:13:02.316"</f>
        <v>19:13:02.316</v>
      </c>
      <c r="BX590" t="s">
        <v>119</v>
      </c>
      <c r="BY590" t="s">
        <v>120</v>
      </c>
      <c r="CJ590">
        <v>0</v>
      </c>
      <c r="CK590">
        <v>0</v>
      </c>
      <c r="CL590">
        <v>0</v>
      </c>
      <c r="CM590">
        <v>2</v>
      </c>
      <c r="CN590">
        <v>0</v>
      </c>
      <c r="CO590">
        <v>7</v>
      </c>
      <c r="CP590" t="s">
        <v>121</v>
      </c>
      <c r="CQ590">
        <v>579</v>
      </c>
      <c r="CR590">
        <v>0</v>
      </c>
      <c r="CW590">
        <v>1458702</v>
      </c>
      <c r="CY590">
        <v>0</v>
      </c>
      <c r="CZ590">
        <v>0</v>
      </c>
      <c r="DA590">
        <v>0</v>
      </c>
      <c r="DB590">
        <v>1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</row>
    <row r="591" spans="1:113" x14ac:dyDescent="0.3">
      <c r="A591" t="str">
        <f>"06/16/2022 19:13:03.674"</f>
        <v>06/16/2022 19:13:03.674</v>
      </c>
      <c r="C591" t="str">
        <f>"FFBF13C0"</f>
        <v>FFBF13C0</v>
      </c>
      <c r="D591" t="s">
        <v>113</v>
      </c>
      <c r="E591">
        <v>8</v>
      </c>
      <c r="H591">
        <v>206</v>
      </c>
      <c r="I591" t="s">
        <v>114</v>
      </c>
      <c r="J591" t="s">
        <v>115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>"19:13:03.383"</f>
        <v>19:13:03.383</v>
      </c>
      <c r="T591" t="str">
        <f>"19:13:03.383"</f>
        <v>19:13:03.383</v>
      </c>
      <c r="U591" t="str">
        <f t="shared" si="28"/>
        <v>AB63B2</v>
      </c>
      <c r="V591">
        <v>0</v>
      </c>
      <c r="W591">
        <v>0</v>
      </c>
      <c r="X591">
        <v>6</v>
      </c>
      <c r="Z591">
        <v>0</v>
      </c>
      <c r="AA591">
        <v>9</v>
      </c>
      <c r="AB591">
        <v>0</v>
      </c>
      <c r="AC591">
        <v>0</v>
      </c>
      <c r="AE591">
        <v>0</v>
      </c>
      <c r="AF591">
        <v>0</v>
      </c>
      <c r="AH591">
        <v>0</v>
      </c>
      <c r="AI591" t="s">
        <v>577</v>
      </c>
      <c r="AJ591">
        <v>41.970433999999997</v>
      </c>
      <c r="AK591" t="s">
        <v>598</v>
      </c>
      <c r="AL591">
        <v>-87.898263999999998</v>
      </c>
      <c r="AS591">
        <v>1</v>
      </c>
      <c r="AT591" t="s">
        <v>118</v>
      </c>
      <c r="AU591" t="b">
        <v>1</v>
      </c>
      <c r="AV591">
        <v>90</v>
      </c>
      <c r="AW591">
        <v>9.125</v>
      </c>
      <c r="AX591">
        <v>1</v>
      </c>
      <c r="AZ591">
        <v>7205</v>
      </c>
      <c r="BA591">
        <v>1</v>
      </c>
      <c r="BB591" t="str">
        <f t="shared" si="29"/>
        <v xml:space="preserve">KAP400  </v>
      </c>
      <c r="BC591">
        <v>1</v>
      </c>
      <c r="BE591">
        <v>0</v>
      </c>
      <c r="BF591">
        <v>0</v>
      </c>
      <c r="BG591">
        <v>0</v>
      </c>
      <c r="BW591" t="str">
        <f>"19:13:03.385"</f>
        <v>19:13:03.385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7</v>
      </c>
      <c r="CP591" t="s">
        <v>121</v>
      </c>
      <c r="CQ591">
        <v>580</v>
      </c>
      <c r="CR591">
        <v>0</v>
      </c>
      <c r="CW591">
        <v>362678</v>
      </c>
      <c r="CY591">
        <v>0</v>
      </c>
      <c r="CZ591">
        <v>0</v>
      </c>
      <c r="DA591">
        <v>0</v>
      </c>
      <c r="DB591">
        <v>1</v>
      </c>
      <c r="DC591">
        <v>0</v>
      </c>
      <c r="DD591">
        <v>0</v>
      </c>
      <c r="DE591">
        <v>0</v>
      </c>
      <c r="DF591">
        <v>1</v>
      </c>
      <c r="DG591">
        <v>1</v>
      </c>
      <c r="DH591">
        <v>0</v>
      </c>
      <c r="DI591">
        <v>0</v>
      </c>
    </row>
    <row r="592" spans="1:113" x14ac:dyDescent="0.3">
      <c r="A592" t="str">
        <f>"06/16/2022 19:13:04.752"</f>
        <v>06/16/2022 19:13:04.752</v>
      </c>
      <c r="C592" t="str">
        <f t="shared" ref="C592:C655" si="30">"FFBF5BC0"</f>
        <v>FFBF5BC0</v>
      </c>
      <c r="D592" t="s">
        <v>113</v>
      </c>
      <c r="E592">
        <v>8</v>
      </c>
      <c r="H592">
        <v>206</v>
      </c>
      <c r="I592" t="s">
        <v>114</v>
      </c>
      <c r="J592" t="s">
        <v>115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>"19:13:04.523"</f>
        <v>19:13:04.523</v>
      </c>
      <c r="T592" t="str">
        <f>"19:13:04.523"</f>
        <v>19:13:04.523</v>
      </c>
      <c r="U592" t="str">
        <f t="shared" si="28"/>
        <v>AB63B2</v>
      </c>
      <c r="V592">
        <v>0</v>
      </c>
      <c r="W592">
        <v>0</v>
      </c>
      <c r="X592">
        <v>6</v>
      </c>
      <c r="Z592">
        <v>0</v>
      </c>
      <c r="AA592">
        <v>9</v>
      </c>
      <c r="AB592">
        <v>3</v>
      </c>
      <c r="AC592">
        <v>0</v>
      </c>
      <c r="AD592">
        <v>10</v>
      </c>
      <c r="AE592">
        <v>0</v>
      </c>
      <c r="AF592">
        <v>0</v>
      </c>
      <c r="AG592">
        <v>2</v>
      </c>
      <c r="AH592">
        <v>0</v>
      </c>
      <c r="AI592" t="s">
        <v>577</v>
      </c>
      <c r="AJ592">
        <v>41.970433999999997</v>
      </c>
      <c r="AK592" t="s">
        <v>481</v>
      </c>
      <c r="AL592">
        <v>-87.898200000000003</v>
      </c>
      <c r="AS592">
        <v>1</v>
      </c>
      <c r="AT592" t="s">
        <v>118</v>
      </c>
      <c r="AU592" t="b">
        <v>1</v>
      </c>
      <c r="AV592">
        <v>90</v>
      </c>
      <c r="AW592">
        <v>9.125</v>
      </c>
      <c r="AX592">
        <v>1</v>
      </c>
      <c r="AZ592">
        <v>7205</v>
      </c>
      <c r="BA592">
        <v>1</v>
      </c>
      <c r="BB592" t="str">
        <f t="shared" si="29"/>
        <v xml:space="preserve">KAP400  </v>
      </c>
      <c r="BC592">
        <v>1</v>
      </c>
      <c r="BE592">
        <v>0</v>
      </c>
      <c r="BF592">
        <v>0</v>
      </c>
      <c r="BG592">
        <v>0</v>
      </c>
      <c r="BI592">
        <v>1</v>
      </c>
      <c r="BJ592">
        <v>1</v>
      </c>
      <c r="BK592">
        <v>1</v>
      </c>
      <c r="BL592">
        <v>0</v>
      </c>
      <c r="BO592">
        <v>0</v>
      </c>
      <c r="BP592">
        <v>0</v>
      </c>
      <c r="BW592" t="str">
        <f>"19:13:04.527"</f>
        <v>19:13:04.527</v>
      </c>
      <c r="BX592" t="s">
        <v>119</v>
      </c>
      <c r="BY592" t="s">
        <v>120</v>
      </c>
      <c r="CJ592">
        <v>0</v>
      </c>
      <c r="CK592">
        <v>0</v>
      </c>
      <c r="CL592">
        <v>0</v>
      </c>
      <c r="CM592">
        <v>2</v>
      </c>
      <c r="CN592">
        <v>0</v>
      </c>
      <c r="CO592">
        <v>6</v>
      </c>
      <c r="CP592" t="s">
        <v>121</v>
      </c>
      <c r="CQ592">
        <v>579</v>
      </c>
      <c r="CR592">
        <v>0</v>
      </c>
      <c r="CW592">
        <v>1463201</v>
      </c>
      <c r="CY592">
        <v>0</v>
      </c>
      <c r="CZ592">
        <v>0</v>
      </c>
      <c r="DA592">
        <v>0</v>
      </c>
      <c r="DB592">
        <v>1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</row>
    <row r="593" spans="1:113" x14ac:dyDescent="0.3">
      <c r="A593" t="str">
        <f>"06/16/2022 19:13:05.893"</f>
        <v>06/16/2022 19:13:05.893</v>
      </c>
      <c r="C593" t="str">
        <f t="shared" si="30"/>
        <v>FFBF5BC0</v>
      </c>
      <c r="D593" t="s">
        <v>113</v>
      </c>
      <c r="E593">
        <v>8</v>
      </c>
      <c r="H593">
        <v>206</v>
      </c>
      <c r="I593" t="s">
        <v>114</v>
      </c>
      <c r="J593" t="s">
        <v>115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>"19:13:05.594"</f>
        <v>19:13:05.594</v>
      </c>
      <c r="T593" t="str">
        <f>"19:13:05.594"</f>
        <v>19:13:05.594</v>
      </c>
      <c r="U593" t="str">
        <f t="shared" si="28"/>
        <v>AB63B2</v>
      </c>
      <c r="V593">
        <v>0</v>
      </c>
      <c r="W593">
        <v>0</v>
      </c>
      <c r="X593">
        <v>6</v>
      </c>
      <c r="Z593">
        <v>0</v>
      </c>
      <c r="AA593">
        <v>9</v>
      </c>
      <c r="AB593">
        <v>3</v>
      </c>
      <c r="AC593">
        <v>0</v>
      </c>
      <c r="AD593">
        <v>10</v>
      </c>
      <c r="AE593">
        <v>0</v>
      </c>
      <c r="AF593">
        <v>0</v>
      </c>
      <c r="AG593">
        <v>2</v>
      </c>
      <c r="AH593">
        <v>0</v>
      </c>
      <c r="AI593" t="s">
        <v>577</v>
      </c>
      <c r="AJ593">
        <v>41.970433999999997</v>
      </c>
      <c r="AK593" t="s">
        <v>479</v>
      </c>
      <c r="AL593">
        <v>-87.898156999999998</v>
      </c>
      <c r="AS593">
        <v>1</v>
      </c>
      <c r="AT593" t="s">
        <v>118</v>
      </c>
      <c r="AU593" t="b">
        <v>1</v>
      </c>
      <c r="AV593">
        <v>90</v>
      </c>
      <c r="AW593">
        <v>8.625</v>
      </c>
      <c r="AX593">
        <v>1</v>
      </c>
      <c r="AZ593">
        <v>7205</v>
      </c>
      <c r="BA593">
        <v>1</v>
      </c>
      <c r="BB593" t="str">
        <f t="shared" si="29"/>
        <v xml:space="preserve">KAP400  </v>
      </c>
      <c r="BC593">
        <v>1</v>
      </c>
      <c r="BE593">
        <v>0</v>
      </c>
      <c r="BF593">
        <v>0</v>
      </c>
      <c r="BG593">
        <v>0</v>
      </c>
      <c r="BI593">
        <v>1</v>
      </c>
      <c r="BJ593">
        <v>1</v>
      </c>
      <c r="BK593">
        <v>1</v>
      </c>
      <c r="BL593">
        <v>0</v>
      </c>
      <c r="BO593">
        <v>0</v>
      </c>
      <c r="BP593">
        <v>0</v>
      </c>
      <c r="BW593" t="str">
        <f>"19:13:05.600"</f>
        <v>19:13:05.600</v>
      </c>
      <c r="BX593" t="s">
        <v>119</v>
      </c>
      <c r="BY593" t="s">
        <v>120</v>
      </c>
      <c r="CJ593">
        <v>0</v>
      </c>
      <c r="CK593">
        <v>0</v>
      </c>
      <c r="CL593">
        <v>0</v>
      </c>
      <c r="CM593">
        <v>2</v>
      </c>
      <c r="CN593">
        <v>0</v>
      </c>
      <c r="CO593">
        <v>7</v>
      </c>
      <c r="CP593" t="s">
        <v>121</v>
      </c>
      <c r="CQ593">
        <v>580</v>
      </c>
      <c r="CR593">
        <v>0</v>
      </c>
      <c r="CW593">
        <v>366882</v>
      </c>
      <c r="CY593">
        <v>0</v>
      </c>
      <c r="CZ593">
        <v>0</v>
      </c>
      <c r="DA593">
        <v>0</v>
      </c>
      <c r="DB593">
        <v>1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</row>
    <row r="594" spans="1:113" x14ac:dyDescent="0.3">
      <c r="A594" t="str">
        <f>"06/16/2022 19:13:06.861"</f>
        <v>06/16/2022 19:13:06.861</v>
      </c>
      <c r="C594" t="str">
        <f t="shared" si="30"/>
        <v>FFBF5BC0</v>
      </c>
      <c r="D594" t="s">
        <v>113</v>
      </c>
      <c r="E594">
        <v>8</v>
      </c>
      <c r="H594">
        <v>206</v>
      </c>
      <c r="I594" t="s">
        <v>114</v>
      </c>
      <c r="J594" t="s">
        <v>115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>"19:13:06.586"</f>
        <v>19:13:06.586</v>
      </c>
      <c r="T594" t="str">
        <f>"19:13:06.586"</f>
        <v>19:13:06.586</v>
      </c>
      <c r="U594" t="str">
        <f t="shared" si="28"/>
        <v>AB63B2</v>
      </c>
      <c r="V594">
        <v>0</v>
      </c>
      <c r="W594">
        <v>0</v>
      </c>
      <c r="X594">
        <v>6</v>
      </c>
      <c r="Z594">
        <v>0</v>
      </c>
      <c r="AA594">
        <v>9</v>
      </c>
      <c r="AB594">
        <v>3</v>
      </c>
      <c r="AC594">
        <v>0</v>
      </c>
      <c r="AD594">
        <v>10</v>
      </c>
      <c r="AE594">
        <v>0</v>
      </c>
      <c r="AF594">
        <v>0</v>
      </c>
      <c r="AG594">
        <v>2</v>
      </c>
      <c r="AH594">
        <v>0</v>
      </c>
      <c r="AI594" t="s">
        <v>577</v>
      </c>
      <c r="AJ594">
        <v>41.970433999999997</v>
      </c>
      <c r="AK594" t="s">
        <v>599</v>
      </c>
      <c r="AL594">
        <v>-87.898114000000007</v>
      </c>
      <c r="AS594">
        <v>1</v>
      </c>
      <c r="AT594" t="s">
        <v>118</v>
      </c>
      <c r="AU594" t="b">
        <v>1</v>
      </c>
      <c r="AV594">
        <v>90</v>
      </c>
      <c r="AW594">
        <v>8.125</v>
      </c>
      <c r="AX594">
        <v>1</v>
      </c>
      <c r="AZ594">
        <v>7205</v>
      </c>
      <c r="BA594">
        <v>1</v>
      </c>
      <c r="BB594" t="str">
        <f t="shared" si="29"/>
        <v xml:space="preserve">KAP400  </v>
      </c>
      <c r="BC594">
        <v>1</v>
      </c>
      <c r="BE594">
        <v>0</v>
      </c>
      <c r="BF594">
        <v>0</v>
      </c>
      <c r="BG594">
        <v>0</v>
      </c>
      <c r="BI594">
        <v>1</v>
      </c>
      <c r="BJ594">
        <v>1</v>
      </c>
      <c r="BK594">
        <v>1</v>
      </c>
      <c r="BL594">
        <v>0</v>
      </c>
      <c r="BO594">
        <v>0</v>
      </c>
      <c r="BP594">
        <v>0</v>
      </c>
      <c r="BW594" t="str">
        <f>"19:13:06.586"</f>
        <v>19:13:06.586</v>
      </c>
      <c r="BX594" t="s">
        <v>119</v>
      </c>
      <c r="BY594" t="s">
        <v>120</v>
      </c>
      <c r="CJ594">
        <v>0</v>
      </c>
      <c r="CK594">
        <v>0</v>
      </c>
      <c r="CL594">
        <v>0</v>
      </c>
      <c r="CM594">
        <v>2</v>
      </c>
      <c r="CN594">
        <v>0</v>
      </c>
      <c r="CO594">
        <v>7</v>
      </c>
      <c r="CP594" t="s">
        <v>121</v>
      </c>
      <c r="CQ594">
        <v>579</v>
      </c>
      <c r="CR594">
        <v>0</v>
      </c>
      <c r="CW594">
        <v>1467052</v>
      </c>
      <c r="CY594">
        <v>0</v>
      </c>
      <c r="CZ594">
        <v>0</v>
      </c>
      <c r="DA594">
        <v>0</v>
      </c>
      <c r="DB594">
        <v>1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</row>
    <row r="595" spans="1:113" x14ac:dyDescent="0.3">
      <c r="A595" t="str">
        <f>"06/16/2022 19:13:07.768"</f>
        <v>06/16/2022 19:13:07.768</v>
      </c>
      <c r="C595" t="str">
        <f t="shared" si="30"/>
        <v>FFBF5BC0</v>
      </c>
      <c r="D595" t="s">
        <v>113</v>
      </c>
      <c r="E595">
        <v>8</v>
      </c>
      <c r="H595">
        <v>206</v>
      </c>
      <c r="I595" t="s">
        <v>114</v>
      </c>
      <c r="J595" t="s">
        <v>115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>"19:13:07.594"</f>
        <v>19:13:07.594</v>
      </c>
      <c r="T595" t="str">
        <f>"19:13:07.594"</f>
        <v>19:13:07.594</v>
      </c>
      <c r="U595" t="str">
        <f t="shared" si="28"/>
        <v>AB63B2</v>
      </c>
      <c r="V595">
        <v>0</v>
      </c>
      <c r="W595">
        <v>0</v>
      </c>
      <c r="X595">
        <v>6</v>
      </c>
      <c r="Z595">
        <v>0</v>
      </c>
      <c r="AA595">
        <v>9</v>
      </c>
      <c r="AB595">
        <v>3</v>
      </c>
      <c r="AC595">
        <v>0</v>
      </c>
      <c r="AD595">
        <v>10</v>
      </c>
      <c r="AE595">
        <v>0</v>
      </c>
      <c r="AF595">
        <v>0</v>
      </c>
      <c r="AG595">
        <v>2</v>
      </c>
      <c r="AH595">
        <v>0</v>
      </c>
      <c r="AI595" t="s">
        <v>577</v>
      </c>
      <c r="AJ595">
        <v>41.970433999999997</v>
      </c>
      <c r="AK595" t="s">
        <v>477</v>
      </c>
      <c r="AL595">
        <v>-87.898049</v>
      </c>
      <c r="AS595">
        <v>1</v>
      </c>
      <c r="AT595" t="s">
        <v>118</v>
      </c>
      <c r="AU595" t="b">
        <v>1</v>
      </c>
      <c r="AV595">
        <v>90</v>
      </c>
      <c r="AW595">
        <v>8.125</v>
      </c>
      <c r="AX595">
        <v>1</v>
      </c>
      <c r="AZ595">
        <v>7205</v>
      </c>
      <c r="BA595">
        <v>1</v>
      </c>
      <c r="BB595" t="str">
        <f t="shared" si="29"/>
        <v xml:space="preserve">KAP400  </v>
      </c>
      <c r="BC595">
        <v>1</v>
      </c>
      <c r="BE595">
        <v>0</v>
      </c>
      <c r="BF595">
        <v>0</v>
      </c>
      <c r="BG595">
        <v>0</v>
      </c>
      <c r="BI595">
        <v>1</v>
      </c>
      <c r="BJ595">
        <v>1</v>
      </c>
      <c r="BK595">
        <v>1</v>
      </c>
      <c r="BL595">
        <v>0</v>
      </c>
      <c r="BO595">
        <v>0</v>
      </c>
      <c r="BP595">
        <v>0</v>
      </c>
      <c r="BW595" t="str">
        <f>"19:13:07.599"</f>
        <v>19:13:07.599</v>
      </c>
      <c r="BX595" t="s">
        <v>119</v>
      </c>
      <c r="BY595" t="s">
        <v>120</v>
      </c>
      <c r="CJ595">
        <v>0</v>
      </c>
      <c r="CK595">
        <v>0</v>
      </c>
      <c r="CL595">
        <v>0</v>
      </c>
      <c r="CM595">
        <v>2</v>
      </c>
      <c r="CN595">
        <v>0</v>
      </c>
      <c r="CO595">
        <v>7</v>
      </c>
      <c r="CP595" t="s">
        <v>121</v>
      </c>
      <c r="CQ595">
        <v>579</v>
      </c>
      <c r="CR595">
        <v>0</v>
      </c>
      <c r="CW595">
        <v>1469035</v>
      </c>
      <c r="CY595">
        <v>0</v>
      </c>
      <c r="CZ595">
        <v>0</v>
      </c>
      <c r="DA595">
        <v>0</v>
      </c>
      <c r="DB595">
        <v>1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</row>
    <row r="596" spans="1:113" x14ac:dyDescent="0.3">
      <c r="A596" t="str">
        <f>"06/16/2022 19:13:08.846"</f>
        <v>06/16/2022 19:13:08.846</v>
      </c>
      <c r="C596" t="str">
        <f t="shared" si="30"/>
        <v>FFBF5BC0</v>
      </c>
      <c r="D596" t="s">
        <v>113</v>
      </c>
      <c r="E596">
        <v>8</v>
      </c>
      <c r="H596">
        <v>206</v>
      </c>
      <c r="I596" t="s">
        <v>114</v>
      </c>
      <c r="J596" t="s">
        <v>115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>"19:13:08.617"</f>
        <v>19:13:08.617</v>
      </c>
      <c r="T596" t="str">
        <f>"19:13:08.617"</f>
        <v>19:13:08.617</v>
      </c>
      <c r="U596" t="str">
        <f t="shared" si="28"/>
        <v>AB63B2</v>
      </c>
      <c r="V596">
        <v>0</v>
      </c>
      <c r="W596">
        <v>0</v>
      </c>
      <c r="X596">
        <v>6</v>
      </c>
      <c r="Z596">
        <v>0</v>
      </c>
      <c r="AA596">
        <v>9</v>
      </c>
      <c r="AB596">
        <v>3</v>
      </c>
      <c r="AC596">
        <v>0</v>
      </c>
      <c r="AD596">
        <v>10</v>
      </c>
      <c r="AE596">
        <v>0</v>
      </c>
      <c r="AF596">
        <v>0</v>
      </c>
      <c r="AG596">
        <v>2</v>
      </c>
      <c r="AH596">
        <v>0</v>
      </c>
      <c r="AI596" t="s">
        <v>577</v>
      </c>
      <c r="AJ596">
        <v>41.970433999999997</v>
      </c>
      <c r="AK596" t="s">
        <v>600</v>
      </c>
      <c r="AL596">
        <v>-87.898005999999995</v>
      </c>
      <c r="AS596">
        <v>1</v>
      </c>
      <c r="AT596" t="s">
        <v>118</v>
      </c>
      <c r="AU596" t="b">
        <v>1</v>
      </c>
      <c r="AV596">
        <v>90</v>
      </c>
      <c r="AW596">
        <v>8.625</v>
      </c>
      <c r="AX596">
        <v>1</v>
      </c>
      <c r="AZ596">
        <v>7205</v>
      </c>
      <c r="BA596">
        <v>1</v>
      </c>
      <c r="BB596" t="str">
        <f t="shared" si="29"/>
        <v xml:space="preserve">KAP400  </v>
      </c>
      <c r="BC596">
        <v>1</v>
      </c>
      <c r="BE596">
        <v>0</v>
      </c>
      <c r="BF596">
        <v>0</v>
      </c>
      <c r="BG596">
        <v>0</v>
      </c>
      <c r="BI596">
        <v>1</v>
      </c>
      <c r="BJ596">
        <v>1</v>
      </c>
      <c r="BK596">
        <v>1</v>
      </c>
      <c r="BL596">
        <v>0</v>
      </c>
      <c r="BO596">
        <v>0</v>
      </c>
      <c r="BP596">
        <v>0</v>
      </c>
      <c r="BW596" t="str">
        <f>"19:13:08.621"</f>
        <v>19:13:08.621</v>
      </c>
      <c r="BX596" t="s">
        <v>119</v>
      </c>
      <c r="BY596" t="s">
        <v>120</v>
      </c>
      <c r="CJ596">
        <v>0</v>
      </c>
      <c r="CK596">
        <v>0</v>
      </c>
      <c r="CL596">
        <v>0</v>
      </c>
      <c r="CM596">
        <v>2</v>
      </c>
      <c r="CN596">
        <v>0</v>
      </c>
      <c r="CO596">
        <v>7</v>
      </c>
      <c r="CP596" t="s">
        <v>121</v>
      </c>
      <c r="CQ596">
        <v>579</v>
      </c>
      <c r="CR596">
        <v>0</v>
      </c>
      <c r="CW596">
        <v>1471112</v>
      </c>
      <c r="CY596">
        <v>0</v>
      </c>
      <c r="CZ596">
        <v>0</v>
      </c>
      <c r="DA596">
        <v>0</v>
      </c>
      <c r="DB596">
        <v>1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</row>
    <row r="597" spans="1:113" x14ac:dyDescent="0.3">
      <c r="A597" t="str">
        <f>"06/16/2022 19:13:09.799"</f>
        <v>06/16/2022 19:13:09.799</v>
      </c>
      <c r="C597" t="str">
        <f t="shared" si="30"/>
        <v>FFBF5BC0</v>
      </c>
      <c r="D597" t="s">
        <v>113</v>
      </c>
      <c r="E597">
        <v>8</v>
      </c>
      <c r="H597">
        <v>206</v>
      </c>
      <c r="I597" t="s">
        <v>114</v>
      </c>
      <c r="J597" t="s">
        <v>115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>"19:13:09.602"</f>
        <v>19:13:09.602</v>
      </c>
      <c r="T597" t="str">
        <f>"19:13:09.602"</f>
        <v>19:13:09.602</v>
      </c>
      <c r="U597" t="str">
        <f t="shared" si="28"/>
        <v>AB63B2</v>
      </c>
      <c r="V597">
        <v>0</v>
      </c>
      <c r="W597">
        <v>0</v>
      </c>
      <c r="X597">
        <v>6</v>
      </c>
      <c r="Z597">
        <v>0</v>
      </c>
      <c r="AA597">
        <v>9</v>
      </c>
      <c r="AB597">
        <v>3</v>
      </c>
      <c r="AC597">
        <v>0</v>
      </c>
      <c r="AD597">
        <v>10</v>
      </c>
      <c r="AE597">
        <v>0</v>
      </c>
      <c r="AF597">
        <v>0</v>
      </c>
      <c r="AG597">
        <v>2</v>
      </c>
      <c r="AH597">
        <v>0</v>
      </c>
      <c r="AI597" t="s">
        <v>577</v>
      </c>
      <c r="AJ597">
        <v>41.970433999999997</v>
      </c>
      <c r="AK597" t="s">
        <v>475</v>
      </c>
      <c r="AL597">
        <v>-87.897964000000002</v>
      </c>
      <c r="AS597">
        <v>1</v>
      </c>
      <c r="AT597" t="s">
        <v>118</v>
      </c>
      <c r="AU597" t="b">
        <v>1</v>
      </c>
      <c r="AV597">
        <v>90</v>
      </c>
      <c r="AW597">
        <v>8.625</v>
      </c>
      <c r="AX597">
        <v>1</v>
      </c>
      <c r="AZ597">
        <v>7205</v>
      </c>
      <c r="BA597">
        <v>1</v>
      </c>
      <c r="BB597" t="str">
        <f t="shared" si="29"/>
        <v xml:space="preserve">KAP400  </v>
      </c>
      <c r="BC597">
        <v>1</v>
      </c>
      <c r="BE597">
        <v>0</v>
      </c>
      <c r="BF597">
        <v>0</v>
      </c>
      <c r="BG597">
        <v>0</v>
      </c>
      <c r="BI597">
        <v>1</v>
      </c>
      <c r="BJ597">
        <v>1</v>
      </c>
      <c r="BK597">
        <v>1</v>
      </c>
      <c r="BL597">
        <v>0</v>
      </c>
      <c r="BO597">
        <v>0</v>
      </c>
      <c r="BP597">
        <v>0</v>
      </c>
      <c r="BW597" t="str">
        <f>"19:13:09.606"</f>
        <v>19:13:09.606</v>
      </c>
      <c r="BX597" t="s">
        <v>119</v>
      </c>
      <c r="BY597" t="s">
        <v>120</v>
      </c>
      <c r="CJ597">
        <v>0</v>
      </c>
      <c r="CK597">
        <v>0</v>
      </c>
      <c r="CL597">
        <v>0</v>
      </c>
      <c r="CM597">
        <v>2</v>
      </c>
      <c r="CN597">
        <v>0</v>
      </c>
      <c r="CO597">
        <v>7</v>
      </c>
      <c r="CP597" t="s">
        <v>121</v>
      </c>
      <c r="CQ597">
        <v>579</v>
      </c>
      <c r="CR597">
        <v>0</v>
      </c>
      <c r="CW597">
        <v>1473000</v>
      </c>
      <c r="CY597">
        <v>0</v>
      </c>
      <c r="CZ597">
        <v>0</v>
      </c>
      <c r="DA597">
        <v>0</v>
      </c>
      <c r="DB597">
        <v>1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</row>
    <row r="598" spans="1:113" x14ac:dyDescent="0.3">
      <c r="A598" t="str">
        <f>"06/16/2022 19:13:10.862"</f>
        <v>06/16/2022 19:13:10.862</v>
      </c>
      <c r="C598" t="str">
        <f t="shared" si="30"/>
        <v>FFBF5BC0</v>
      </c>
      <c r="D598" t="s">
        <v>113</v>
      </c>
      <c r="E598">
        <v>8</v>
      </c>
      <c r="H598">
        <v>206</v>
      </c>
      <c r="I598" t="s">
        <v>114</v>
      </c>
      <c r="J598" t="s">
        <v>115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>"19:13:10.625"</f>
        <v>19:13:10.625</v>
      </c>
      <c r="T598" t="str">
        <f>"19:13:10.625"</f>
        <v>19:13:10.625</v>
      </c>
      <c r="U598" t="str">
        <f t="shared" si="28"/>
        <v>AB63B2</v>
      </c>
      <c r="V598">
        <v>0</v>
      </c>
      <c r="W598">
        <v>0</v>
      </c>
      <c r="X598">
        <v>6</v>
      </c>
      <c r="Z598">
        <v>0</v>
      </c>
      <c r="AA598">
        <v>9</v>
      </c>
      <c r="AB598">
        <v>3</v>
      </c>
      <c r="AC598">
        <v>0</v>
      </c>
      <c r="AD598">
        <v>10</v>
      </c>
      <c r="AE598">
        <v>0</v>
      </c>
      <c r="AF598">
        <v>0</v>
      </c>
      <c r="AG598">
        <v>2</v>
      </c>
      <c r="AH598">
        <v>0</v>
      </c>
      <c r="AI598" t="s">
        <v>577</v>
      </c>
      <c r="AJ598">
        <v>41.970433999999997</v>
      </c>
      <c r="AK598" t="s">
        <v>473</v>
      </c>
      <c r="AL598">
        <v>-87.897898999999995</v>
      </c>
      <c r="AS598">
        <v>1</v>
      </c>
      <c r="AT598" t="s">
        <v>118</v>
      </c>
      <c r="AU598" t="b">
        <v>1</v>
      </c>
      <c r="AV598">
        <v>90</v>
      </c>
      <c r="AW598">
        <v>8.125</v>
      </c>
      <c r="AX598">
        <v>1</v>
      </c>
      <c r="AZ598">
        <v>7205</v>
      </c>
      <c r="BA598">
        <v>1</v>
      </c>
      <c r="BB598" t="str">
        <f t="shared" si="29"/>
        <v xml:space="preserve">KAP400  </v>
      </c>
      <c r="BC598">
        <v>1</v>
      </c>
      <c r="BE598">
        <v>0</v>
      </c>
      <c r="BF598">
        <v>0</v>
      </c>
      <c r="BG598">
        <v>0</v>
      </c>
      <c r="BI598">
        <v>1</v>
      </c>
      <c r="BJ598">
        <v>1</v>
      </c>
      <c r="BK598">
        <v>1</v>
      </c>
      <c r="BL598">
        <v>0</v>
      </c>
      <c r="BO598">
        <v>0</v>
      </c>
      <c r="BP598">
        <v>0</v>
      </c>
      <c r="BW598" t="str">
        <f>"19:13:10.630"</f>
        <v>19:13:10.630</v>
      </c>
      <c r="BX598" t="s">
        <v>119</v>
      </c>
      <c r="BY598" t="s">
        <v>120</v>
      </c>
      <c r="CJ598">
        <v>0</v>
      </c>
      <c r="CK598">
        <v>0</v>
      </c>
      <c r="CL598">
        <v>0</v>
      </c>
      <c r="CM598">
        <v>2</v>
      </c>
      <c r="CN598">
        <v>0</v>
      </c>
      <c r="CO598">
        <v>7</v>
      </c>
      <c r="CP598" t="s">
        <v>121</v>
      </c>
      <c r="CQ598">
        <v>580</v>
      </c>
      <c r="CR598">
        <v>0</v>
      </c>
      <c r="CW598">
        <v>376420</v>
      </c>
      <c r="CY598">
        <v>0</v>
      </c>
      <c r="CZ598">
        <v>0</v>
      </c>
      <c r="DA598">
        <v>0</v>
      </c>
      <c r="DB598">
        <v>1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</row>
    <row r="599" spans="1:113" x14ac:dyDescent="0.3">
      <c r="A599" t="str">
        <f>"06/16/2022 19:13:12.439"</f>
        <v>06/16/2022 19:13:12.439</v>
      </c>
      <c r="C599" t="str">
        <f t="shared" si="30"/>
        <v>FFBF5BC0</v>
      </c>
      <c r="D599" t="s">
        <v>113</v>
      </c>
      <c r="E599">
        <v>8</v>
      </c>
      <c r="H599">
        <v>206</v>
      </c>
      <c r="I599" t="s">
        <v>114</v>
      </c>
      <c r="J599" t="s">
        <v>115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>"19:13:12.219"</f>
        <v>19:13:12.219</v>
      </c>
      <c r="T599" t="str">
        <f>"19:13:12.219"</f>
        <v>19:13:12.219</v>
      </c>
      <c r="U599" t="str">
        <f t="shared" si="28"/>
        <v>AB63B2</v>
      </c>
      <c r="V599">
        <v>0</v>
      </c>
      <c r="W599">
        <v>0</v>
      </c>
      <c r="X599">
        <v>6</v>
      </c>
      <c r="Z599">
        <v>0</v>
      </c>
      <c r="AA599">
        <v>9</v>
      </c>
      <c r="AB599">
        <v>3</v>
      </c>
      <c r="AC599">
        <v>0</v>
      </c>
      <c r="AD599">
        <v>10</v>
      </c>
      <c r="AE599">
        <v>0</v>
      </c>
      <c r="AF599">
        <v>0</v>
      </c>
      <c r="AG599">
        <v>2</v>
      </c>
      <c r="AH599">
        <v>0</v>
      </c>
      <c r="AI599" t="s">
        <v>577</v>
      </c>
      <c r="AJ599">
        <v>41.970433999999997</v>
      </c>
      <c r="AK599" t="s">
        <v>471</v>
      </c>
      <c r="AL599">
        <v>-87.897835000000001</v>
      </c>
      <c r="AS599">
        <v>1</v>
      </c>
      <c r="AT599" t="s">
        <v>118</v>
      </c>
      <c r="AU599" t="b">
        <v>1</v>
      </c>
      <c r="AV599">
        <v>87.19</v>
      </c>
      <c r="AW599">
        <v>8.125</v>
      </c>
      <c r="AX599">
        <v>1</v>
      </c>
      <c r="AZ599">
        <v>7205</v>
      </c>
      <c r="BA599">
        <v>1</v>
      </c>
      <c r="BB599" t="str">
        <f t="shared" si="29"/>
        <v xml:space="preserve">KAP400  </v>
      </c>
      <c r="BC599">
        <v>1</v>
      </c>
      <c r="BE599">
        <v>0</v>
      </c>
      <c r="BF599">
        <v>0</v>
      </c>
      <c r="BG599">
        <v>0</v>
      </c>
      <c r="BI599">
        <v>1</v>
      </c>
      <c r="BJ599">
        <v>1</v>
      </c>
      <c r="BK599">
        <v>1</v>
      </c>
      <c r="BL599">
        <v>0</v>
      </c>
      <c r="BO599">
        <v>0</v>
      </c>
      <c r="BP599">
        <v>0</v>
      </c>
      <c r="BW599" t="str">
        <f>"19:13:12.221"</f>
        <v>19:13:12.221</v>
      </c>
      <c r="BX599" t="s">
        <v>119</v>
      </c>
      <c r="BY599" t="s">
        <v>120</v>
      </c>
      <c r="CJ599">
        <v>0</v>
      </c>
      <c r="CK599">
        <v>0</v>
      </c>
      <c r="CL599">
        <v>0</v>
      </c>
      <c r="CM599">
        <v>2</v>
      </c>
      <c r="CN599">
        <v>0</v>
      </c>
      <c r="CO599">
        <v>6</v>
      </c>
      <c r="CP599" t="s">
        <v>121</v>
      </c>
      <c r="CQ599">
        <v>579</v>
      </c>
      <c r="CR599">
        <v>0</v>
      </c>
      <c r="CW599">
        <v>1478049</v>
      </c>
      <c r="CY599">
        <v>0</v>
      </c>
      <c r="CZ599">
        <v>0</v>
      </c>
      <c r="DA599">
        <v>0</v>
      </c>
      <c r="DB599">
        <v>1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</row>
    <row r="600" spans="1:113" x14ac:dyDescent="0.3">
      <c r="A600" t="str">
        <f>"06/16/2022 19:13:13.455"</f>
        <v>06/16/2022 19:13:13.455</v>
      </c>
      <c r="C600" t="str">
        <f t="shared" si="30"/>
        <v>FFBF5BC0</v>
      </c>
      <c r="D600" t="s">
        <v>113</v>
      </c>
      <c r="E600">
        <v>8</v>
      </c>
      <c r="H600">
        <v>206</v>
      </c>
      <c r="I600" t="s">
        <v>114</v>
      </c>
      <c r="J600" t="s">
        <v>115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>"19:13:13.180"</f>
        <v>19:13:13.180</v>
      </c>
      <c r="T600" t="str">
        <f>"19:13:13.180"</f>
        <v>19:13:13.180</v>
      </c>
      <c r="U600" t="str">
        <f t="shared" si="28"/>
        <v>AB63B2</v>
      </c>
      <c r="V600">
        <v>0</v>
      </c>
      <c r="W600">
        <v>0</v>
      </c>
      <c r="X600">
        <v>6</v>
      </c>
      <c r="Z600">
        <v>0</v>
      </c>
      <c r="AA600">
        <v>9</v>
      </c>
      <c r="AB600">
        <v>3</v>
      </c>
      <c r="AC600">
        <v>0</v>
      </c>
      <c r="AD600">
        <v>10</v>
      </c>
      <c r="AE600">
        <v>0</v>
      </c>
      <c r="AF600">
        <v>0</v>
      </c>
      <c r="AG600">
        <v>2</v>
      </c>
      <c r="AH600">
        <v>0</v>
      </c>
      <c r="AI600" t="s">
        <v>577</v>
      </c>
      <c r="AJ600">
        <v>41.970433999999997</v>
      </c>
      <c r="AK600" t="s">
        <v>601</v>
      </c>
      <c r="AL600">
        <v>-87.897769999999994</v>
      </c>
      <c r="AS600">
        <v>1</v>
      </c>
      <c r="AT600" t="s">
        <v>118</v>
      </c>
      <c r="AU600" t="b">
        <v>1</v>
      </c>
      <c r="AV600">
        <v>87.19</v>
      </c>
      <c r="AW600">
        <v>8.125</v>
      </c>
      <c r="AX600">
        <v>1</v>
      </c>
      <c r="AZ600">
        <v>7205</v>
      </c>
      <c r="BA600">
        <v>1</v>
      </c>
      <c r="BB600" t="str">
        <f t="shared" si="29"/>
        <v xml:space="preserve">KAP400  </v>
      </c>
      <c r="BC600">
        <v>1</v>
      </c>
      <c r="BE600">
        <v>0</v>
      </c>
      <c r="BF600">
        <v>0</v>
      </c>
      <c r="BG600">
        <v>0</v>
      </c>
      <c r="BI600">
        <v>1</v>
      </c>
      <c r="BJ600">
        <v>1</v>
      </c>
      <c r="BK600">
        <v>1</v>
      </c>
      <c r="BL600">
        <v>0</v>
      </c>
      <c r="BO600">
        <v>0</v>
      </c>
      <c r="BP600">
        <v>0</v>
      </c>
      <c r="BW600" t="str">
        <f>"19:13:13.187"</f>
        <v>19:13:13.187</v>
      </c>
      <c r="BX600" t="s">
        <v>119</v>
      </c>
      <c r="BY600" t="s">
        <v>120</v>
      </c>
      <c r="CJ600">
        <v>0</v>
      </c>
      <c r="CK600">
        <v>0</v>
      </c>
      <c r="CL600">
        <v>0</v>
      </c>
      <c r="CM600">
        <v>2</v>
      </c>
      <c r="CN600">
        <v>0</v>
      </c>
      <c r="CO600">
        <v>6</v>
      </c>
      <c r="CP600" t="s">
        <v>121</v>
      </c>
      <c r="CQ600">
        <v>579</v>
      </c>
      <c r="CR600">
        <v>0</v>
      </c>
      <c r="CW600">
        <v>1479996</v>
      </c>
      <c r="CY600">
        <v>0</v>
      </c>
      <c r="CZ600">
        <v>0</v>
      </c>
      <c r="DA600">
        <v>0</v>
      </c>
      <c r="DB600">
        <v>1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</row>
    <row r="601" spans="1:113" x14ac:dyDescent="0.3">
      <c r="A601" t="str">
        <f>"06/16/2022 19:13:15.612"</f>
        <v>06/16/2022 19:13:15.612</v>
      </c>
      <c r="C601" t="str">
        <f t="shared" si="30"/>
        <v>FFBF5BC0</v>
      </c>
      <c r="D601" t="s">
        <v>113</v>
      </c>
      <c r="E601">
        <v>8</v>
      </c>
      <c r="H601">
        <v>206</v>
      </c>
      <c r="I601" t="s">
        <v>114</v>
      </c>
      <c r="J601" t="s">
        <v>115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>"19:13:15.250"</f>
        <v>19:13:15.250</v>
      </c>
      <c r="T601" t="str">
        <f>"19:13:15.250"</f>
        <v>19:13:15.250</v>
      </c>
      <c r="U601" t="str">
        <f t="shared" si="28"/>
        <v>AB63B2</v>
      </c>
      <c r="V601">
        <v>0</v>
      </c>
      <c r="W601">
        <v>0</v>
      </c>
      <c r="X601">
        <v>6</v>
      </c>
      <c r="Z601">
        <v>0</v>
      </c>
      <c r="AA601">
        <v>9</v>
      </c>
      <c r="AB601">
        <v>3</v>
      </c>
      <c r="AC601">
        <v>0</v>
      </c>
      <c r="AD601">
        <v>10</v>
      </c>
      <c r="AE601">
        <v>0</v>
      </c>
      <c r="AF601">
        <v>0</v>
      </c>
      <c r="AG601">
        <v>2</v>
      </c>
      <c r="AH601">
        <v>0</v>
      </c>
      <c r="AI601" t="s">
        <v>577</v>
      </c>
      <c r="AJ601">
        <v>41.970433999999997</v>
      </c>
      <c r="AK601" t="s">
        <v>602</v>
      </c>
      <c r="AL601">
        <v>-87.897684999999996</v>
      </c>
      <c r="AS601">
        <v>1</v>
      </c>
      <c r="AT601" t="s">
        <v>118</v>
      </c>
      <c r="AU601" t="b">
        <v>1</v>
      </c>
      <c r="AV601">
        <v>90</v>
      </c>
      <c r="AW601">
        <v>8.625</v>
      </c>
      <c r="AX601">
        <v>1</v>
      </c>
      <c r="AZ601">
        <v>7205</v>
      </c>
      <c r="BA601">
        <v>1</v>
      </c>
      <c r="BB601" t="str">
        <f t="shared" si="29"/>
        <v xml:space="preserve">KAP400  </v>
      </c>
      <c r="BC601">
        <v>1</v>
      </c>
      <c r="BE601">
        <v>0</v>
      </c>
      <c r="BF601">
        <v>0</v>
      </c>
      <c r="BG601">
        <v>0</v>
      </c>
      <c r="BI601">
        <v>1</v>
      </c>
      <c r="BJ601">
        <v>1</v>
      </c>
      <c r="BK601">
        <v>1</v>
      </c>
      <c r="BL601">
        <v>0</v>
      </c>
      <c r="BO601">
        <v>0</v>
      </c>
      <c r="BP601">
        <v>0</v>
      </c>
      <c r="BW601" t="str">
        <f>"19:13:15.257"</f>
        <v>19:13:15.257</v>
      </c>
      <c r="BX601" t="s">
        <v>119</v>
      </c>
      <c r="BY601" t="s">
        <v>120</v>
      </c>
      <c r="CJ601">
        <v>0</v>
      </c>
      <c r="CK601">
        <v>0</v>
      </c>
      <c r="CL601">
        <v>0</v>
      </c>
      <c r="CM601">
        <v>2</v>
      </c>
      <c r="CN601">
        <v>0</v>
      </c>
      <c r="CO601">
        <v>7</v>
      </c>
      <c r="CP601" t="s">
        <v>121</v>
      </c>
      <c r="CQ601">
        <v>579</v>
      </c>
      <c r="CR601">
        <v>0</v>
      </c>
      <c r="CW601">
        <v>1484025</v>
      </c>
      <c r="CY601">
        <v>0</v>
      </c>
      <c r="CZ601">
        <v>0</v>
      </c>
      <c r="DA601">
        <v>0</v>
      </c>
      <c r="DB601">
        <v>1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</row>
    <row r="602" spans="1:113" x14ac:dyDescent="0.3">
      <c r="A602" t="str">
        <f>"06/16/2022 19:13:16.675"</f>
        <v>06/16/2022 19:13:16.675</v>
      </c>
      <c r="C602" t="str">
        <f t="shared" si="30"/>
        <v>FFBF5BC0</v>
      </c>
      <c r="D602" t="s">
        <v>113</v>
      </c>
      <c r="E602">
        <v>8</v>
      </c>
      <c r="H602">
        <v>206</v>
      </c>
      <c r="I602" t="s">
        <v>114</v>
      </c>
      <c r="J602" t="s">
        <v>115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>"19:13:16.266"</f>
        <v>19:13:16.266</v>
      </c>
      <c r="T602" t="str">
        <f>"19:13:16.266"</f>
        <v>19:13:16.266</v>
      </c>
      <c r="U602" t="str">
        <f t="shared" si="28"/>
        <v>AB63B2</v>
      </c>
      <c r="V602">
        <v>0</v>
      </c>
      <c r="W602">
        <v>0</v>
      </c>
      <c r="X602">
        <v>6</v>
      </c>
      <c r="Z602">
        <v>0</v>
      </c>
      <c r="AA602">
        <v>9</v>
      </c>
      <c r="AB602">
        <v>3</v>
      </c>
      <c r="AC602">
        <v>0</v>
      </c>
      <c r="AD602">
        <v>10</v>
      </c>
      <c r="AE602">
        <v>0</v>
      </c>
      <c r="AF602">
        <v>0</v>
      </c>
      <c r="AG602">
        <v>2</v>
      </c>
      <c r="AH602">
        <v>0</v>
      </c>
      <c r="AI602" t="s">
        <v>577</v>
      </c>
      <c r="AJ602">
        <v>41.970433999999997</v>
      </c>
      <c r="AK602" t="s">
        <v>603</v>
      </c>
      <c r="AL602">
        <v>-87.897642000000005</v>
      </c>
      <c r="AS602">
        <v>1</v>
      </c>
      <c r="AT602" t="s">
        <v>118</v>
      </c>
      <c r="AU602" t="b">
        <v>1</v>
      </c>
      <c r="AV602">
        <v>90</v>
      </c>
      <c r="AW602">
        <v>9.125</v>
      </c>
      <c r="AX602">
        <v>1</v>
      </c>
      <c r="AZ602">
        <v>7205</v>
      </c>
      <c r="BA602">
        <v>1</v>
      </c>
      <c r="BB602" t="str">
        <f t="shared" si="29"/>
        <v xml:space="preserve">KAP400  </v>
      </c>
      <c r="BC602">
        <v>1</v>
      </c>
      <c r="BE602">
        <v>0</v>
      </c>
      <c r="BF602">
        <v>0</v>
      </c>
      <c r="BG602">
        <v>0</v>
      </c>
      <c r="BI602">
        <v>1</v>
      </c>
      <c r="BJ602">
        <v>1</v>
      </c>
      <c r="BK602">
        <v>1</v>
      </c>
      <c r="BL602">
        <v>0</v>
      </c>
      <c r="BO602">
        <v>0</v>
      </c>
      <c r="BP602">
        <v>0</v>
      </c>
      <c r="BW602" t="str">
        <f>"19:13:16.268"</f>
        <v>19:13:16.268</v>
      </c>
      <c r="BX602" t="s">
        <v>119</v>
      </c>
      <c r="BY602" t="s">
        <v>120</v>
      </c>
      <c r="CJ602">
        <v>0</v>
      </c>
      <c r="CK602">
        <v>0</v>
      </c>
      <c r="CL602">
        <v>0</v>
      </c>
      <c r="CM602">
        <v>2</v>
      </c>
      <c r="CN602">
        <v>0</v>
      </c>
      <c r="CO602">
        <v>7</v>
      </c>
      <c r="CP602" t="s">
        <v>121</v>
      </c>
      <c r="CQ602">
        <v>580</v>
      </c>
      <c r="CR602">
        <v>0</v>
      </c>
      <c r="CW602">
        <v>386932</v>
      </c>
      <c r="CY602">
        <v>0</v>
      </c>
      <c r="CZ602">
        <v>0</v>
      </c>
      <c r="DA602">
        <v>0</v>
      </c>
      <c r="DB602">
        <v>1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</row>
    <row r="603" spans="1:113" x14ac:dyDescent="0.3">
      <c r="A603" t="str">
        <f>"06/16/2022 19:13:17.502"</f>
        <v>06/16/2022 19:13:17.502</v>
      </c>
      <c r="C603" t="str">
        <f t="shared" si="30"/>
        <v>FFBF5BC0</v>
      </c>
      <c r="D603" t="s">
        <v>113</v>
      </c>
      <c r="E603">
        <v>8</v>
      </c>
      <c r="H603">
        <v>206</v>
      </c>
      <c r="I603" t="s">
        <v>114</v>
      </c>
      <c r="J603" t="s">
        <v>115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>"19:13:17.242"</f>
        <v>19:13:17.242</v>
      </c>
      <c r="T603" t="str">
        <f>"19:13:17.242"</f>
        <v>19:13:17.242</v>
      </c>
      <c r="U603" t="str">
        <f t="shared" si="28"/>
        <v>AB63B2</v>
      </c>
      <c r="V603">
        <v>0</v>
      </c>
      <c r="W603">
        <v>0</v>
      </c>
      <c r="X603">
        <v>6</v>
      </c>
      <c r="Z603">
        <v>0</v>
      </c>
      <c r="AA603">
        <v>9</v>
      </c>
      <c r="AB603">
        <v>3</v>
      </c>
      <c r="AC603">
        <v>0</v>
      </c>
      <c r="AD603">
        <v>10</v>
      </c>
      <c r="AE603">
        <v>0</v>
      </c>
      <c r="AF603">
        <v>0</v>
      </c>
      <c r="AG603">
        <v>2</v>
      </c>
      <c r="AH603">
        <v>0</v>
      </c>
      <c r="AI603" t="s">
        <v>577</v>
      </c>
      <c r="AJ603">
        <v>41.970433999999997</v>
      </c>
      <c r="AK603" t="s">
        <v>604</v>
      </c>
      <c r="AL603">
        <v>-87.897576999999998</v>
      </c>
      <c r="AS603">
        <v>1</v>
      </c>
      <c r="AT603" t="s">
        <v>118</v>
      </c>
      <c r="AU603" t="b">
        <v>1</v>
      </c>
      <c r="AV603">
        <v>90</v>
      </c>
      <c r="AW603">
        <v>9.625</v>
      </c>
      <c r="AX603">
        <v>1</v>
      </c>
      <c r="AZ603">
        <v>7205</v>
      </c>
      <c r="BA603">
        <v>1</v>
      </c>
      <c r="BB603" t="str">
        <f t="shared" si="29"/>
        <v xml:space="preserve">KAP400  </v>
      </c>
      <c r="BC603">
        <v>1</v>
      </c>
      <c r="BE603">
        <v>0</v>
      </c>
      <c r="BF603">
        <v>0</v>
      </c>
      <c r="BG603">
        <v>0</v>
      </c>
      <c r="BI603">
        <v>1</v>
      </c>
      <c r="BJ603">
        <v>1</v>
      </c>
      <c r="BK603">
        <v>1</v>
      </c>
      <c r="BL603">
        <v>0</v>
      </c>
      <c r="BO603">
        <v>0</v>
      </c>
      <c r="BP603">
        <v>0</v>
      </c>
      <c r="BW603" t="str">
        <f>"19:13:17.246"</f>
        <v>19:13:17.246</v>
      </c>
      <c r="BX603" t="s">
        <v>119</v>
      </c>
      <c r="BY603" t="s">
        <v>120</v>
      </c>
      <c r="CJ603">
        <v>0</v>
      </c>
      <c r="CK603">
        <v>0</v>
      </c>
      <c r="CL603">
        <v>0</v>
      </c>
      <c r="CM603">
        <v>2</v>
      </c>
      <c r="CN603">
        <v>0</v>
      </c>
      <c r="CO603">
        <v>7</v>
      </c>
      <c r="CP603" t="s">
        <v>121</v>
      </c>
      <c r="CQ603">
        <v>580</v>
      </c>
      <c r="CR603">
        <v>0</v>
      </c>
      <c r="CW603">
        <v>388808</v>
      </c>
      <c r="CY603">
        <v>0</v>
      </c>
      <c r="CZ603">
        <v>0</v>
      </c>
      <c r="DA603">
        <v>0</v>
      </c>
      <c r="DB603">
        <v>1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</row>
    <row r="604" spans="1:113" x14ac:dyDescent="0.3">
      <c r="A604" t="str">
        <f>"06/16/2022 19:13:18.377"</f>
        <v>06/16/2022 19:13:18.377</v>
      </c>
      <c r="C604" t="str">
        <f t="shared" si="30"/>
        <v>FFBF5BC0</v>
      </c>
      <c r="D604" t="s">
        <v>113</v>
      </c>
      <c r="E604">
        <v>8</v>
      </c>
      <c r="H604">
        <v>206</v>
      </c>
      <c r="I604" t="s">
        <v>114</v>
      </c>
      <c r="J604" t="s">
        <v>115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>"19:13:18.117"</f>
        <v>19:13:18.117</v>
      </c>
      <c r="T604" t="str">
        <f>"19:13:18.117"</f>
        <v>19:13:18.117</v>
      </c>
      <c r="U604" t="str">
        <f t="shared" si="28"/>
        <v>AB63B2</v>
      </c>
      <c r="V604">
        <v>0</v>
      </c>
      <c r="W604">
        <v>0</v>
      </c>
      <c r="X604">
        <v>6</v>
      </c>
      <c r="Z604">
        <v>0</v>
      </c>
      <c r="AA604">
        <v>9</v>
      </c>
      <c r="AB604">
        <v>3</v>
      </c>
      <c r="AC604">
        <v>0</v>
      </c>
      <c r="AD604">
        <v>10</v>
      </c>
      <c r="AE604">
        <v>0</v>
      </c>
      <c r="AF604">
        <v>0</v>
      </c>
      <c r="AG604">
        <v>2</v>
      </c>
      <c r="AH604">
        <v>0</v>
      </c>
      <c r="AI604" t="s">
        <v>577</v>
      </c>
      <c r="AJ604">
        <v>41.970433999999997</v>
      </c>
      <c r="AK604" t="s">
        <v>463</v>
      </c>
      <c r="AL604">
        <v>-87.897513000000004</v>
      </c>
      <c r="AS604">
        <v>1</v>
      </c>
      <c r="AT604" t="s">
        <v>118</v>
      </c>
      <c r="AU604" t="b">
        <v>1</v>
      </c>
      <c r="AV604">
        <v>90</v>
      </c>
      <c r="AW604">
        <v>10.125</v>
      </c>
      <c r="AX604">
        <v>1</v>
      </c>
      <c r="AZ604">
        <v>7205</v>
      </c>
      <c r="BA604">
        <v>1</v>
      </c>
      <c r="BB604" t="str">
        <f t="shared" si="29"/>
        <v xml:space="preserve">KAP400  </v>
      </c>
      <c r="BC604">
        <v>1</v>
      </c>
      <c r="BE604">
        <v>0</v>
      </c>
      <c r="BF604">
        <v>0</v>
      </c>
      <c r="BG604">
        <v>0</v>
      </c>
      <c r="BI604">
        <v>1</v>
      </c>
      <c r="BJ604">
        <v>1</v>
      </c>
      <c r="BK604">
        <v>1</v>
      </c>
      <c r="BL604">
        <v>0</v>
      </c>
      <c r="BO604">
        <v>0</v>
      </c>
      <c r="BP604">
        <v>0</v>
      </c>
      <c r="BW604" t="str">
        <f>"19:13:18.121"</f>
        <v>19:13:18.121</v>
      </c>
      <c r="BX604" t="s">
        <v>119</v>
      </c>
      <c r="BY604" t="s">
        <v>120</v>
      </c>
      <c r="CJ604">
        <v>0</v>
      </c>
      <c r="CK604">
        <v>0</v>
      </c>
      <c r="CL604">
        <v>0</v>
      </c>
      <c r="CM604">
        <v>2</v>
      </c>
      <c r="CN604">
        <v>0</v>
      </c>
      <c r="CO604">
        <v>7</v>
      </c>
      <c r="CP604" t="s">
        <v>121</v>
      </c>
      <c r="CQ604">
        <v>580</v>
      </c>
      <c r="CR604">
        <v>0</v>
      </c>
      <c r="CW604">
        <v>390452</v>
      </c>
      <c r="CY604">
        <v>0</v>
      </c>
      <c r="CZ604">
        <v>0</v>
      </c>
      <c r="DA604">
        <v>0</v>
      </c>
      <c r="DB604">
        <v>1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</row>
    <row r="605" spans="1:113" x14ac:dyDescent="0.3">
      <c r="A605" t="str">
        <f>"06/16/2022 19:13:19.440"</f>
        <v>06/16/2022 19:13:19.440</v>
      </c>
      <c r="C605" t="str">
        <f t="shared" si="30"/>
        <v>FFBF5BC0</v>
      </c>
      <c r="D605" t="s">
        <v>113</v>
      </c>
      <c r="E605">
        <v>8</v>
      </c>
      <c r="H605">
        <v>206</v>
      </c>
      <c r="I605" t="s">
        <v>114</v>
      </c>
      <c r="J605" t="s">
        <v>115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>"19:13:19.164"</f>
        <v>19:13:19.164</v>
      </c>
      <c r="T605" t="str">
        <f>"19:13:19.164"</f>
        <v>19:13:19.164</v>
      </c>
      <c r="U605" t="str">
        <f t="shared" si="28"/>
        <v>AB63B2</v>
      </c>
      <c r="V605">
        <v>0</v>
      </c>
      <c r="W605">
        <v>0</v>
      </c>
      <c r="X605">
        <v>6</v>
      </c>
      <c r="Z605">
        <v>0</v>
      </c>
      <c r="AA605">
        <v>9</v>
      </c>
      <c r="AB605">
        <v>3</v>
      </c>
      <c r="AC605">
        <v>0</v>
      </c>
      <c r="AD605">
        <v>10</v>
      </c>
      <c r="AE605">
        <v>0</v>
      </c>
      <c r="AF605">
        <v>0</v>
      </c>
      <c r="AG605">
        <v>2</v>
      </c>
      <c r="AH605">
        <v>0</v>
      </c>
      <c r="AI605" t="s">
        <v>577</v>
      </c>
      <c r="AJ605">
        <v>41.970433999999997</v>
      </c>
      <c r="AK605" t="s">
        <v>605</v>
      </c>
      <c r="AL605">
        <v>-87.897469999999998</v>
      </c>
      <c r="AS605">
        <v>1</v>
      </c>
      <c r="AT605" t="s">
        <v>118</v>
      </c>
      <c r="AU605" t="b">
        <v>1</v>
      </c>
      <c r="AV605">
        <v>90</v>
      </c>
      <c r="AW605">
        <v>10.625</v>
      </c>
      <c r="AX605">
        <v>1</v>
      </c>
      <c r="AZ605">
        <v>7205</v>
      </c>
      <c r="BA605">
        <v>1</v>
      </c>
      <c r="BB605" t="str">
        <f t="shared" si="29"/>
        <v xml:space="preserve">KAP400  </v>
      </c>
      <c r="BC605">
        <v>1</v>
      </c>
      <c r="BE605">
        <v>0</v>
      </c>
      <c r="BF605">
        <v>0</v>
      </c>
      <c r="BG605">
        <v>0</v>
      </c>
      <c r="BI605">
        <v>1</v>
      </c>
      <c r="BJ605">
        <v>1</v>
      </c>
      <c r="BK605">
        <v>1</v>
      </c>
      <c r="BL605">
        <v>0</v>
      </c>
      <c r="BO605">
        <v>0</v>
      </c>
      <c r="BP605">
        <v>0</v>
      </c>
      <c r="BW605" t="str">
        <f>"19:13:19.164"</f>
        <v>19:13:19.164</v>
      </c>
      <c r="BX605" t="s">
        <v>119</v>
      </c>
      <c r="BY605" t="s">
        <v>120</v>
      </c>
      <c r="CJ605">
        <v>0</v>
      </c>
      <c r="CK605">
        <v>0</v>
      </c>
      <c r="CL605">
        <v>0</v>
      </c>
      <c r="CM605">
        <v>2</v>
      </c>
      <c r="CN605">
        <v>0</v>
      </c>
      <c r="CO605">
        <v>7</v>
      </c>
      <c r="CP605" t="s">
        <v>121</v>
      </c>
      <c r="CQ605">
        <v>580</v>
      </c>
      <c r="CR605">
        <v>0</v>
      </c>
      <c r="CW605">
        <v>392273</v>
      </c>
      <c r="CY605">
        <v>0</v>
      </c>
      <c r="CZ605">
        <v>0</v>
      </c>
      <c r="DA605">
        <v>0</v>
      </c>
      <c r="DB605">
        <v>1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</row>
    <row r="606" spans="1:113" x14ac:dyDescent="0.3">
      <c r="A606" t="str">
        <f>"06/16/2022 19:13:20.440"</f>
        <v>06/16/2022 19:13:20.440</v>
      </c>
      <c r="C606" t="str">
        <f t="shared" si="30"/>
        <v>FFBF5BC0</v>
      </c>
      <c r="D606" t="s">
        <v>113</v>
      </c>
      <c r="E606">
        <v>8</v>
      </c>
      <c r="H606">
        <v>206</v>
      </c>
      <c r="I606" t="s">
        <v>114</v>
      </c>
      <c r="J606" t="s">
        <v>115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>"19:13:20.172"</f>
        <v>19:13:20.172</v>
      </c>
      <c r="T606" t="str">
        <f>"19:13:20.172"</f>
        <v>19:13:20.172</v>
      </c>
      <c r="U606" t="str">
        <f t="shared" si="28"/>
        <v>AB63B2</v>
      </c>
      <c r="V606">
        <v>0</v>
      </c>
      <c r="W606">
        <v>0</v>
      </c>
      <c r="X606">
        <v>6</v>
      </c>
      <c r="Z606">
        <v>0</v>
      </c>
      <c r="AA606">
        <v>9</v>
      </c>
      <c r="AB606">
        <v>3</v>
      </c>
      <c r="AC606">
        <v>0</v>
      </c>
      <c r="AD606">
        <v>10</v>
      </c>
      <c r="AE606">
        <v>0</v>
      </c>
      <c r="AF606">
        <v>0</v>
      </c>
      <c r="AG606">
        <v>2</v>
      </c>
      <c r="AH606">
        <v>0</v>
      </c>
      <c r="AI606" t="s">
        <v>577</v>
      </c>
      <c r="AJ606">
        <v>41.970433999999997</v>
      </c>
      <c r="AK606" t="s">
        <v>606</v>
      </c>
      <c r="AL606">
        <v>-87.897406000000004</v>
      </c>
      <c r="AS606">
        <v>1</v>
      </c>
      <c r="AT606" t="s">
        <v>118</v>
      </c>
      <c r="AU606" t="b">
        <v>1</v>
      </c>
      <c r="AV606">
        <v>90</v>
      </c>
      <c r="AW606">
        <v>11.125</v>
      </c>
      <c r="AX606">
        <v>1</v>
      </c>
      <c r="AZ606">
        <v>7205</v>
      </c>
      <c r="BA606">
        <v>1</v>
      </c>
      <c r="BB606" t="str">
        <f t="shared" si="29"/>
        <v xml:space="preserve">KAP400  </v>
      </c>
      <c r="BC606">
        <v>1</v>
      </c>
      <c r="BE606">
        <v>0</v>
      </c>
      <c r="BF606">
        <v>0</v>
      </c>
      <c r="BG606">
        <v>0</v>
      </c>
      <c r="BI606">
        <v>1</v>
      </c>
      <c r="BJ606">
        <v>1</v>
      </c>
      <c r="BK606">
        <v>1</v>
      </c>
      <c r="BL606">
        <v>0</v>
      </c>
      <c r="BO606">
        <v>0</v>
      </c>
      <c r="BP606">
        <v>0</v>
      </c>
      <c r="BW606" t="str">
        <f>"19:13:20.175"</f>
        <v>19:13:20.175</v>
      </c>
      <c r="BX606" t="s">
        <v>119</v>
      </c>
      <c r="BY606" t="s">
        <v>120</v>
      </c>
      <c r="CJ606">
        <v>0</v>
      </c>
      <c r="CK606">
        <v>0</v>
      </c>
      <c r="CL606">
        <v>0</v>
      </c>
      <c r="CM606">
        <v>2</v>
      </c>
      <c r="CN606">
        <v>0</v>
      </c>
      <c r="CO606">
        <v>7</v>
      </c>
      <c r="CP606" t="s">
        <v>121</v>
      </c>
      <c r="CQ606">
        <v>579</v>
      </c>
      <c r="CR606">
        <v>0</v>
      </c>
      <c r="CW606">
        <v>1493678</v>
      </c>
      <c r="CY606">
        <v>0</v>
      </c>
      <c r="CZ606">
        <v>0</v>
      </c>
      <c r="DA606">
        <v>0</v>
      </c>
      <c r="DB606">
        <v>1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</row>
    <row r="607" spans="1:113" x14ac:dyDescent="0.3">
      <c r="A607" t="str">
        <f>"06/16/2022 19:13:21.471"</f>
        <v>06/16/2022 19:13:21.471</v>
      </c>
      <c r="C607" t="str">
        <f t="shared" si="30"/>
        <v>FFBF5BC0</v>
      </c>
      <c r="D607" t="s">
        <v>113</v>
      </c>
      <c r="E607">
        <v>8</v>
      </c>
      <c r="H607">
        <v>206</v>
      </c>
      <c r="I607" t="s">
        <v>114</v>
      </c>
      <c r="J607" t="s">
        <v>115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>"19:13:21.164"</f>
        <v>19:13:21.164</v>
      </c>
      <c r="T607" t="str">
        <f>"19:13:21.164"</f>
        <v>19:13:21.164</v>
      </c>
      <c r="U607" t="str">
        <f t="shared" si="28"/>
        <v>AB63B2</v>
      </c>
      <c r="V607">
        <v>0</v>
      </c>
      <c r="W607">
        <v>0</v>
      </c>
      <c r="X607">
        <v>6</v>
      </c>
      <c r="Z607">
        <v>0</v>
      </c>
      <c r="AA607">
        <v>9</v>
      </c>
      <c r="AB607">
        <v>3</v>
      </c>
      <c r="AC607">
        <v>0</v>
      </c>
      <c r="AD607">
        <v>10</v>
      </c>
      <c r="AE607">
        <v>0</v>
      </c>
      <c r="AF607">
        <v>0</v>
      </c>
      <c r="AG607">
        <v>2</v>
      </c>
      <c r="AH607">
        <v>0</v>
      </c>
      <c r="AI607" t="s">
        <v>577</v>
      </c>
      <c r="AJ607">
        <v>41.970433999999997</v>
      </c>
      <c r="AK607" t="s">
        <v>607</v>
      </c>
      <c r="AL607">
        <v>-87.897340999999997</v>
      </c>
      <c r="AS607">
        <v>1</v>
      </c>
      <c r="AT607" t="s">
        <v>118</v>
      </c>
      <c r="AU607" t="b">
        <v>1</v>
      </c>
      <c r="AV607">
        <v>90</v>
      </c>
      <c r="AW607">
        <v>11.125</v>
      </c>
      <c r="AX607">
        <v>1</v>
      </c>
      <c r="AZ607">
        <v>7205</v>
      </c>
      <c r="BA607">
        <v>1</v>
      </c>
      <c r="BB607" t="str">
        <f t="shared" si="29"/>
        <v xml:space="preserve">KAP400  </v>
      </c>
      <c r="BC607">
        <v>1</v>
      </c>
      <c r="BE607">
        <v>0</v>
      </c>
      <c r="BF607">
        <v>0</v>
      </c>
      <c r="BG607">
        <v>0</v>
      </c>
      <c r="BI607">
        <v>1</v>
      </c>
      <c r="BJ607">
        <v>1</v>
      </c>
      <c r="BK607">
        <v>1</v>
      </c>
      <c r="BL607">
        <v>0</v>
      </c>
      <c r="BO607">
        <v>0</v>
      </c>
      <c r="BP607">
        <v>0</v>
      </c>
      <c r="BW607" t="str">
        <f>"19:13:21.165"</f>
        <v>19:13:21.165</v>
      </c>
      <c r="BX607" t="s">
        <v>119</v>
      </c>
      <c r="BY607" t="s">
        <v>120</v>
      </c>
      <c r="CJ607">
        <v>0</v>
      </c>
      <c r="CK607">
        <v>0</v>
      </c>
      <c r="CL607">
        <v>0</v>
      </c>
      <c r="CM607">
        <v>2</v>
      </c>
      <c r="CN607">
        <v>0</v>
      </c>
      <c r="CO607">
        <v>7</v>
      </c>
      <c r="CP607" t="s">
        <v>121</v>
      </c>
      <c r="CQ607">
        <v>580</v>
      </c>
      <c r="CR607">
        <v>0</v>
      </c>
      <c r="CW607">
        <v>395886</v>
      </c>
      <c r="CY607">
        <v>0</v>
      </c>
      <c r="CZ607">
        <v>0</v>
      </c>
      <c r="DA607">
        <v>0</v>
      </c>
      <c r="DB607">
        <v>1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</row>
    <row r="608" spans="1:113" x14ac:dyDescent="0.3">
      <c r="A608" t="str">
        <f>"06/16/2022 19:13:22.924"</f>
        <v>06/16/2022 19:13:22.924</v>
      </c>
      <c r="C608" t="str">
        <f t="shared" si="30"/>
        <v>FFBF5BC0</v>
      </c>
      <c r="D608" t="s">
        <v>113</v>
      </c>
      <c r="E608">
        <v>8</v>
      </c>
      <c r="H608">
        <v>206</v>
      </c>
      <c r="I608" t="s">
        <v>114</v>
      </c>
      <c r="J608" t="s">
        <v>115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>"19:13:22.688"</f>
        <v>19:13:22.688</v>
      </c>
      <c r="T608" t="str">
        <f>"19:13:22.688"</f>
        <v>19:13:22.688</v>
      </c>
      <c r="U608" t="str">
        <f t="shared" si="28"/>
        <v>AB63B2</v>
      </c>
      <c r="V608">
        <v>0</v>
      </c>
      <c r="W608">
        <v>0</v>
      </c>
      <c r="X608">
        <v>6</v>
      </c>
      <c r="Z608">
        <v>0</v>
      </c>
      <c r="AA608">
        <v>9</v>
      </c>
      <c r="AB608">
        <v>3</v>
      </c>
      <c r="AC608">
        <v>0</v>
      </c>
      <c r="AD608">
        <v>10</v>
      </c>
      <c r="AE608">
        <v>0</v>
      </c>
      <c r="AF608">
        <v>0</v>
      </c>
      <c r="AG608">
        <v>2</v>
      </c>
      <c r="AH608">
        <v>0</v>
      </c>
      <c r="AI608" t="s">
        <v>577</v>
      </c>
      <c r="AJ608">
        <v>41.970433999999997</v>
      </c>
      <c r="AK608" t="s">
        <v>608</v>
      </c>
      <c r="AL608">
        <v>-87.897233999999997</v>
      </c>
      <c r="AS608">
        <v>1</v>
      </c>
      <c r="AT608" t="s">
        <v>118</v>
      </c>
      <c r="AU608" t="b">
        <v>1</v>
      </c>
      <c r="AV608">
        <v>92.81</v>
      </c>
      <c r="AW608">
        <v>10.625</v>
      </c>
      <c r="AX608">
        <v>1</v>
      </c>
      <c r="AZ608">
        <v>7205</v>
      </c>
      <c r="BA608">
        <v>1</v>
      </c>
      <c r="BB608" t="str">
        <f t="shared" si="29"/>
        <v xml:space="preserve">KAP400  </v>
      </c>
      <c r="BC608">
        <v>1</v>
      </c>
      <c r="BE608">
        <v>0</v>
      </c>
      <c r="BF608">
        <v>0</v>
      </c>
      <c r="BG608">
        <v>0</v>
      </c>
      <c r="BI608">
        <v>1</v>
      </c>
      <c r="BJ608">
        <v>1</v>
      </c>
      <c r="BK608">
        <v>1</v>
      </c>
      <c r="BL608">
        <v>0</v>
      </c>
      <c r="BO608">
        <v>0</v>
      </c>
      <c r="BP608">
        <v>0</v>
      </c>
      <c r="BW608" t="str">
        <f>"19:13:22.693"</f>
        <v>19:13:22.693</v>
      </c>
      <c r="BX608" t="s">
        <v>119</v>
      </c>
      <c r="BY608" t="s">
        <v>120</v>
      </c>
      <c r="CJ608">
        <v>0</v>
      </c>
      <c r="CK608">
        <v>0</v>
      </c>
      <c r="CL608">
        <v>0</v>
      </c>
      <c r="CM608">
        <v>2</v>
      </c>
      <c r="CN608">
        <v>0</v>
      </c>
      <c r="CO608">
        <v>7</v>
      </c>
      <c r="CP608" t="s">
        <v>121</v>
      </c>
      <c r="CQ608">
        <v>580</v>
      </c>
      <c r="CR608">
        <v>0</v>
      </c>
      <c r="CW608">
        <v>398757</v>
      </c>
      <c r="CY608">
        <v>0</v>
      </c>
      <c r="CZ608">
        <v>0</v>
      </c>
      <c r="DA608">
        <v>0</v>
      </c>
      <c r="DB608">
        <v>1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</row>
    <row r="609" spans="1:113" x14ac:dyDescent="0.3">
      <c r="A609" t="str">
        <f>"06/16/2022 19:13:24.409"</f>
        <v>06/16/2022 19:13:24.409</v>
      </c>
      <c r="C609" t="str">
        <f t="shared" si="30"/>
        <v>FFBF5BC0</v>
      </c>
      <c r="D609" t="s">
        <v>113</v>
      </c>
      <c r="E609">
        <v>8</v>
      </c>
      <c r="H609">
        <v>206</v>
      </c>
      <c r="I609" t="s">
        <v>114</v>
      </c>
      <c r="J609" t="s">
        <v>115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>"19:13:24.141"</f>
        <v>19:13:24.141</v>
      </c>
      <c r="T609" t="str">
        <f>"19:13:24.141"</f>
        <v>19:13:24.141</v>
      </c>
      <c r="U609" t="str">
        <f t="shared" si="28"/>
        <v>AB63B2</v>
      </c>
      <c r="V609">
        <v>0</v>
      </c>
      <c r="W609">
        <v>0</v>
      </c>
      <c r="X609">
        <v>6</v>
      </c>
      <c r="Z609">
        <v>0</v>
      </c>
      <c r="AA609">
        <v>9</v>
      </c>
      <c r="AB609">
        <v>3</v>
      </c>
      <c r="AC609">
        <v>0</v>
      </c>
      <c r="AD609">
        <v>10</v>
      </c>
      <c r="AE609">
        <v>0</v>
      </c>
      <c r="AF609">
        <v>0</v>
      </c>
      <c r="AG609">
        <v>2</v>
      </c>
      <c r="AH609">
        <v>0</v>
      </c>
      <c r="AI609" t="s">
        <v>577</v>
      </c>
      <c r="AJ609">
        <v>41.970433999999997</v>
      </c>
      <c r="AK609" t="s">
        <v>453</v>
      </c>
      <c r="AL609">
        <v>-87.897126999999998</v>
      </c>
      <c r="AS609">
        <v>1</v>
      </c>
      <c r="AT609" t="s">
        <v>118</v>
      </c>
      <c r="AU609" t="b">
        <v>1</v>
      </c>
      <c r="AV609">
        <v>92.81</v>
      </c>
      <c r="AW609">
        <v>11.125</v>
      </c>
      <c r="AX609">
        <v>1</v>
      </c>
      <c r="AZ609">
        <v>7205</v>
      </c>
      <c r="BA609">
        <v>1</v>
      </c>
      <c r="BB609" t="str">
        <f t="shared" si="29"/>
        <v xml:space="preserve">KAP400  </v>
      </c>
      <c r="BC609">
        <v>1</v>
      </c>
      <c r="BE609">
        <v>0</v>
      </c>
      <c r="BF609">
        <v>0</v>
      </c>
      <c r="BG609">
        <v>0</v>
      </c>
      <c r="BI609">
        <v>1</v>
      </c>
      <c r="BJ609">
        <v>1</v>
      </c>
      <c r="BK609">
        <v>1</v>
      </c>
      <c r="BL609">
        <v>0</v>
      </c>
      <c r="BO609">
        <v>0</v>
      </c>
      <c r="BP609">
        <v>0</v>
      </c>
      <c r="BW609" t="str">
        <f>"19:13:24.148"</f>
        <v>19:13:24.148</v>
      </c>
      <c r="BX609" t="s">
        <v>119</v>
      </c>
      <c r="BY609" t="s">
        <v>120</v>
      </c>
      <c r="CJ609">
        <v>0</v>
      </c>
      <c r="CK609">
        <v>0</v>
      </c>
      <c r="CL609">
        <v>0</v>
      </c>
      <c r="CM609">
        <v>2</v>
      </c>
      <c r="CN609">
        <v>0</v>
      </c>
      <c r="CO609">
        <v>7</v>
      </c>
      <c r="CP609" t="s">
        <v>121</v>
      </c>
      <c r="CQ609">
        <v>580</v>
      </c>
      <c r="CR609">
        <v>0</v>
      </c>
      <c r="CW609">
        <v>401240</v>
      </c>
      <c r="CY609">
        <v>0</v>
      </c>
      <c r="CZ609">
        <v>0</v>
      </c>
      <c r="DA609">
        <v>0</v>
      </c>
      <c r="DB609">
        <v>1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</row>
    <row r="610" spans="1:113" x14ac:dyDescent="0.3">
      <c r="A610" t="str">
        <f>"06/16/2022 19:13:25.284"</f>
        <v>06/16/2022 19:13:25.284</v>
      </c>
      <c r="C610" t="str">
        <f t="shared" si="30"/>
        <v>FFBF5BC0</v>
      </c>
      <c r="D610" t="s">
        <v>113</v>
      </c>
      <c r="E610">
        <v>8</v>
      </c>
      <c r="H610">
        <v>206</v>
      </c>
      <c r="I610" t="s">
        <v>114</v>
      </c>
      <c r="J610" t="s">
        <v>115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>"19:13:25.078"</f>
        <v>19:13:25.078</v>
      </c>
      <c r="T610" t="str">
        <f>"19:13:25.078"</f>
        <v>19:13:25.078</v>
      </c>
      <c r="U610" t="str">
        <f t="shared" si="28"/>
        <v>AB63B2</v>
      </c>
      <c r="V610">
        <v>0</v>
      </c>
      <c r="W610">
        <v>0</v>
      </c>
      <c r="X610">
        <v>6</v>
      </c>
      <c r="Z610">
        <v>0</v>
      </c>
      <c r="AA610">
        <v>9</v>
      </c>
      <c r="AB610">
        <v>3</v>
      </c>
      <c r="AC610">
        <v>0</v>
      </c>
      <c r="AD610">
        <v>10</v>
      </c>
      <c r="AE610">
        <v>0</v>
      </c>
      <c r="AF610">
        <v>0</v>
      </c>
      <c r="AG610">
        <v>2</v>
      </c>
      <c r="AH610">
        <v>0</v>
      </c>
      <c r="AI610" t="s">
        <v>577</v>
      </c>
      <c r="AJ610">
        <v>41.970433999999997</v>
      </c>
      <c r="AK610" t="s">
        <v>451</v>
      </c>
      <c r="AL610">
        <v>-87.897062000000005</v>
      </c>
      <c r="AS610">
        <v>1</v>
      </c>
      <c r="AT610" t="s">
        <v>118</v>
      </c>
      <c r="AU610" t="b">
        <v>1</v>
      </c>
      <c r="AV610">
        <v>90</v>
      </c>
      <c r="AW610">
        <v>10.625</v>
      </c>
      <c r="AX610">
        <v>1</v>
      </c>
      <c r="AZ610">
        <v>7205</v>
      </c>
      <c r="BA610">
        <v>1</v>
      </c>
      <c r="BB610" t="str">
        <f t="shared" si="29"/>
        <v xml:space="preserve">KAP400  </v>
      </c>
      <c r="BC610">
        <v>1</v>
      </c>
      <c r="BE610">
        <v>0</v>
      </c>
      <c r="BF610">
        <v>0</v>
      </c>
      <c r="BG610">
        <v>0</v>
      </c>
      <c r="BI610">
        <v>1</v>
      </c>
      <c r="BJ610">
        <v>1</v>
      </c>
      <c r="BK610">
        <v>1</v>
      </c>
      <c r="BL610">
        <v>0</v>
      </c>
      <c r="BO610">
        <v>0</v>
      </c>
      <c r="BP610">
        <v>0</v>
      </c>
      <c r="BW610" t="str">
        <f>"19:13:25.081"</f>
        <v>19:13:25.081</v>
      </c>
      <c r="BX610" t="s">
        <v>119</v>
      </c>
      <c r="BY610" t="s">
        <v>120</v>
      </c>
      <c r="CJ610">
        <v>0</v>
      </c>
      <c r="CK610">
        <v>0</v>
      </c>
      <c r="CL610">
        <v>0</v>
      </c>
      <c r="CM610">
        <v>2</v>
      </c>
      <c r="CN610">
        <v>0</v>
      </c>
      <c r="CO610">
        <v>7</v>
      </c>
      <c r="CP610" t="s">
        <v>121</v>
      </c>
      <c r="CQ610">
        <v>580</v>
      </c>
      <c r="CR610">
        <v>0</v>
      </c>
      <c r="CW610">
        <v>402895</v>
      </c>
      <c r="CY610">
        <v>0</v>
      </c>
      <c r="CZ610">
        <v>0</v>
      </c>
      <c r="DA610">
        <v>0</v>
      </c>
      <c r="DB610">
        <v>1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</row>
    <row r="611" spans="1:113" x14ac:dyDescent="0.3">
      <c r="A611" t="str">
        <f>"06/16/2022 19:13:26.237"</f>
        <v>06/16/2022 19:13:26.237</v>
      </c>
      <c r="C611" t="str">
        <f t="shared" si="30"/>
        <v>FFBF5BC0</v>
      </c>
      <c r="D611" t="s">
        <v>113</v>
      </c>
      <c r="E611">
        <v>8</v>
      </c>
      <c r="H611">
        <v>206</v>
      </c>
      <c r="I611" t="s">
        <v>114</v>
      </c>
      <c r="J611" t="s">
        <v>115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>"19:13:26.008"</f>
        <v>19:13:26.008</v>
      </c>
      <c r="T611" t="str">
        <f>"19:13:26.008"</f>
        <v>19:13:26.008</v>
      </c>
      <c r="U611" t="str">
        <f t="shared" si="28"/>
        <v>AB63B2</v>
      </c>
      <c r="V611">
        <v>0</v>
      </c>
      <c r="W611">
        <v>0</v>
      </c>
      <c r="X611">
        <v>6</v>
      </c>
      <c r="Z611">
        <v>0</v>
      </c>
      <c r="AA611">
        <v>9</v>
      </c>
      <c r="AB611">
        <v>3</v>
      </c>
      <c r="AC611">
        <v>0</v>
      </c>
      <c r="AD611">
        <v>10</v>
      </c>
      <c r="AE611">
        <v>0</v>
      </c>
      <c r="AF611">
        <v>0</v>
      </c>
      <c r="AG611">
        <v>2</v>
      </c>
      <c r="AH611">
        <v>0</v>
      </c>
      <c r="AI611" t="s">
        <v>577</v>
      </c>
      <c r="AJ611">
        <v>41.970433999999997</v>
      </c>
      <c r="AK611" t="s">
        <v>609</v>
      </c>
      <c r="AL611">
        <v>-87.897019</v>
      </c>
      <c r="AS611">
        <v>1</v>
      </c>
      <c r="AT611" t="s">
        <v>118</v>
      </c>
      <c r="AU611" t="b">
        <v>1</v>
      </c>
      <c r="AV611">
        <v>87.19</v>
      </c>
      <c r="AW611">
        <v>10.625</v>
      </c>
      <c r="AX611">
        <v>1</v>
      </c>
      <c r="AZ611">
        <v>7205</v>
      </c>
      <c r="BA611">
        <v>1</v>
      </c>
      <c r="BB611" t="str">
        <f t="shared" si="29"/>
        <v xml:space="preserve">KAP400  </v>
      </c>
      <c r="BC611">
        <v>1</v>
      </c>
      <c r="BE611">
        <v>0</v>
      </c>
      <c r="BF611">
        <v>0</v>
      </c>
      <c r="BG611">
        <v>0</v>
      </c>
      <c r="BI611">
        <v>1</v>
      </c>
      <c r="BJ611">
        <v>1</v>
      </c>
      <c r="BK611">
        <v>1</v>
      </c>
      <c r="BL611">
        <v>0</v>
      </c>
      <c r="BO611">
        <v>0</v>
      </c>
      <c r="BP611">
        <v>0</v>
      </c>
      <c r="BW611" t="str">
        <f>"19:13:26.008"</f>
        <v>19:13:26.008</v>
      </c>
      <c r="BX611" t="s">
        <v>119</v>
      </c>
      <c r="BY611" t="s">
        <v>120</v>
      </c>
      <c r="CJ611">
        <v>0</v>
      </c>
      <c r="CK611">
        <v>0</v>
      </c>
      <c r="CL611">
        <v>0</v>
      </c>
      <c r="CM611">
        <v>2</v>
      </c>
      <c r="CN611">
        <v>0</v>
      </c>
      <c r="CO611">
        <v>7</v>
      </c>
      <c r="CP611" t="s">
        <v>121</v>
      </c>
      <c r="CQ611">
        <v>580</v>
      </c>
      <c r="CR611">
        <v>0</v>
      </c>
      <c r="CW611">
        <v>404640</v>
      </c>
      <c r="CY611">
        <v>0</v>
      </c>
      <c r="CZ611">
        <v>0</v>
      </c>
      <c r="DA611">
        <v>0</v>
      </c>
      <c r="DB611">
        <v>1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</row>
    <row r="612" spans="1:113" x14ac:dyDescent="0.3">
      <c r="A612" t="str">
        <f>"06/16/2022 19:13:27.205"</f>
        <v>06/16/2022 19:13:27.205</v>
      </c>
      <c r="C612" t="str">
        <f t="shared" si="30"/>
        <v>FFBF5BC0</v>
      </c>
      <c r="D612" t="s">
        <v>113</v>
      </c>
      <c r="E612">
        <v>8</v>
      </c>
      <c r="H612">
        <v>206</v>
      </c>
      <c r="I612" t="s">
        <v>114</v>
      </c>
      <c r="J612" t="s">
        <v>115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>"19:13:27.016"</f>
        <v>19:13:27.016</v>
      </c>
      <c r="T612" t="str">
        <f>"19:13:27.016"</f>
        <v>19:13:27.016</v>
      </c>
      <c r="U612" t="str">
        <f t="shared" si="28"/>
        <v>AB63B2</v>
      </c>
      <c r="V612">
        <v>0</v>
      </c>
      <c r="W612">
        <v>0</v>
      </c>
      <c r="X612">
        <v>6</v>
      </c>
      <c r="Z612">
        <v>0</v>
      </c>
      <c r="AA612">
        <v>9</v>
      </c>
      <c r="AB612">
        <v>3</v>
      </c>
      <c r="AC612">
        <v>0</v>
      </c>
      <c r="AD612">
        <v>10</v>
      </c>
      <c r="AE612">
        <v>0</v>
      </c>
      <c r="AF612">
        <v>0</v>
      </c>
      <c r="AG612">
        <v>2</v>
      </c>
      <c r="AH612">
        <v>0</v>
      </c>
      <c r="AI612" t="s">
        <v>577</v>
      </c>
      <c r="AJ612">
        <v>41.970433999999997</v>
      </c>
      <c r="AK612" t="s">
        <v>610</v>
      </c>
      <c r="AL612">
        <v>-87.896955000000005</v>
      </c>
      <c r="AS612">
        <v>1</v>
      </c>
      <c r="AT612" t="s">
        <v>118</v>
      </c>
      <c r="AU612" t="b">
        <v>1</v>
      </c>
      <c r="AV612">
        <v>87.19</v>
      </c>
      <c r="AW612">
        <v>10.125</v>
      </c>
      <c r="AX612">
        <v>1</v>
      </c>
      <c r="AZ612">
        <v>7205</v>
      </c>
      <c r="BA612">
        <v>1</v>
      </c>
      <c r="BB612" t="str">
        <f t="shared" si="29"/>
        <v xml:space="preserve">KAP400  </v>
      </c>
      <c r="BC612">
        <v>1</v>
      </c>
      <c r="BE612">
        <v>0</v>
      </c>
      <c r="BF612">
        <v>0</v>
      </c>
      <c r="BG612">
        <v>0</v>
      </c>
      <c r="BI612">
        <v>1</v>
      </c>
      <c r="BJ612">
        <v>1</v>
      </c>
      <c r="BK612">
        <v>1</v>
      </c>
      <c r="BL612">
        <v>0</v>
      </c>
      <c r="BO612">
        <v>0</v>
      </c>
      <c r="BP612">
        <v>0</v>
      </c>
      <c r="BW612" t="str">
        <f>"19:13:27.017"</f>
        <v>19:13:27.017</v>
      </c>
      <c r="BX612" t="s">
        <v>119</v>
      </c>
      <c r="BY612" t="s">
        <v>120</v>
      </c>
      <c r="CJ612">
        <v>0</v>
      </c>
      <c r="CK612">
        <v>0</v>
      </c>
      <c r="CL612">
        <v>0</v>
      </c>
      <c r="CM612">
        <v>2</v>
      </c>
      <c r="CN612">
        <v>0</v>
      </c>
      <c r="CO612">
        <v>7</v>
      </c>
      <c r="CP612" t="s">
        <v>121</v>
      </c>
      <c r="CQ612">
        <v>580</v>
      </c>
      <c r="CR612">
        <v>0</v>
      </c>
      <c r="CW612">
        <v>406507</v>
      </c>
      <c r="CY612">
        <v>0</v>
      </c>
      <c r="CZ612">
        <v>0</v>
      </c>
      <c r="DA612">
        <v>0</v>
      </c>
      <c r="DB612">
        <v>1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</row>
    <row r="613" spans="1:113" x14ac:dyDescent="0.3">
      <c r="A613" t="str">
        <f>"06/16/2022 19:13:28.142"</f>
        <v>06/16/2022 19:13:28.142</v>
      </c>
      <c r="C613" t="str">
        <f t="shared" si="30"/>
        <v>FFBF5BC0</v>
      </c>
      <c r="D613" t="s">
        <v>113</v>
      </c>
      <c r="E613">
        <v>8</v>
      </c>
      <c r="H613">
        <v>206</v>
      </c>
      <c r="I613" t="s">
        <v>114</v>
      </c>
      <c r="J613" t="s">
        <v>115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>"19:13:27.898"</f>
        <v>19:13:27.898</v>
      </c>
      <c r="T613" t="str">
        <f>"19:13:27.898"</f>
        <v>19:13:27.898</v>
      </c>
      <c r="U613" t="str">
        <f t="shared" si="28"/>
        <v>AB63B2</v>
      </c>
      <c r="V613">
        <v>0</v>
      </c>
      <c r="W613">
        <v>0</v>
      </c>
      <c r="X613">
        <v>6</v>
      </c>
      <c r="Z613">
        <v>0</v>
      </c>
      <c r="AA613">
        <v>9</v>
      </c>
      <c r="AB613">
        <v>3</v>
      </c>
      <c r="AC613">
        <v>0</v>
      </c>
      <c r="AD613">
        <v>10</v>
      </c>
      <c r="AE613">
        <v>0</v>
      </c>
      <c r="AF613">
        <v>0</v>
      </c>
      <c r="AG613">
        <v>2</v>
      </c>
      <c r="AH613">
        <v>0</v>
      </c>
      <c r="AI613" t="s">
        <v>577</v>
      </c>
      <c r="AJ613">
        <v>41.970433999999997</v>
      </c>
      <c r="AK613" t="s">
        <v>611</v>
      </c>
      <c r="AL613">
        <v>-87.896890999999997</v>
      </c>
      <c r="AS613">
        <v>1</v>
      </c>
      <c r="AT613" t="s">
        <v>118</v>
      </c>
      <c r="AU613" t="b">
        <v>1</v>
      </c>
      <c r="AV613">
        <v>90</v>
      </c>
      <c r="AW613">
        <v>9.625</v>
      </c>
      <c r="AX613">
        <v>1</v>
      </c>
      <c r="AZ613">
        <v>7205</v>
      </c>
      <c r="BA613">
        <v>1</v>
      </c>
      <c r="BB613" t="str">
        <f t="shared" si="29"/>
        <v xml:space="preserve">KAP400  </v>
      </c>
      <c r="BC613">
        <v>1</v>
      </c>
      <c r="BE613">
        <v>0</v>
      </c>
      <c r="BF613">
        <v>0</v>
      </c>
      <c r="BG613">
        <v>0</v>
      </c>
      <c r="BI613">
        <v>1</v>
      </c>
      <c r="BJ613">
        <v>1</v>
      </c>
      <c r="BK613">
        <v>1</v>
      </c>
      <c r="BL613">
        <v>0</v>
      </c>
      <c r="BO613">
        <v>0</v>
      </c>
      <c r="BP613">
        <v>0</v>
      </c>
      <c r="BW613" t="str">
        <f>"19:13:27.900"</f>
        <v>19:13:27.900</v>
      </c>
      <c r="BX613" t="s">
        <v>119</v>
      </c>
      <c r="BY613" t="s">
        <v>120</v>
      </c>
      <c r="CJ613">
        <v>0</v>
      </c>
      <c r="CK613">
        <v>0</v>
      </c>
      <c r="CL613">
        <v>0</v>
      </c>
      <c r="CM613">
        <v>2</v>
      </c>
      <c r="CN613">
        <v>0</v>
      </c>
      <c r="CO613">
        <v>7</v>
      </c>
      <c r="CP613" t="s">
        <v>121</v>
      </c>
      <c r="CQ613">
        <v>580</v>
      </c>
      <c r="CR613">
        <v>0</v>
      </c>
      <c r="CW613">
        <v>408045</v>
      </c>
      <c r="CY613">
        <v>0</v>
      </c>
      <c r="CZ613">
        <v>0</v>
      </c>
      <c r="DA613">
        <v>0</v>
      </c>
      <c r="DB613">
        <v>1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</row>
    <row r="614" spans="1:113" x14ac:dyDescent="0.3">
      <c r="A614" t="str">
        <f>"06/16/2022 19:13:29.596"</f>
        <v>06/16/2022 19:13:29.596</v>
      </c>
      <c r="C614" t="str">
        <f t="shared" si="30"/>
        <v>FFBF5BC0</v>
      </c>
      <c r="D614" t="s">
        <v>113</v>
      </c>
      <c r="E614">
        <v>8</v>
      </c>
      <c r="H614">
        <v>206</v>
      </c>
      <c r="I614" t="s">
        <v>114</v>
      </c>
      <c r="J614" t="s">
        <v>115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>"19:13:29.289"</f>
        <v>19:13:29.289</v>
      </c>
      <c r="T614" t="str">
        <f>"19:13:29.289"</f>
        <v>19:13:29.289</v>
      </c>
      <c r="U614" t="str">
        <f t="shared" si="28"/>
        <v>AB63B2</v>
      </c>
      <c r="V614">
        <v>0</v>
      </c>
      <c r="W614">
        <v>0</v>
      </c>
      <c r="X614">
        <v>6</v>
      </c>
      <c r="Z614">
        <v>0</v>
      </c>
      <c r="AA614">
        <v>9</v>
      </c>
      <c r="AB614">
        <v>3</v>
      </c>
      <c r="AC614">
        <v>0</v>
      </c>
      <c r="AD614">
        <v>10</v>
      </c>
      <c r="AE614">
        <v>0</v>
      </c>
      <c r="AF614">
        <v>0</v>
      </c>
      <c r="AG614">
        <v>2</v>
      </c>
      <c r="AH614">
        <v>0</v>
      </c>
      <c r="AI614" t="s">
        <v>577</v>
      </c>
      <c r="AJ614">
        <v>41.970433999999997</v>
      </c>
      <c r="AK614" t="s">
        <v>612</v>
      </c>
      <c r="AL614">
        <v>-87.896826000000004</v>
      </c>
      <c r="AS614">
        <v>1</v>
      </c>
      <c r="AT614" t="s">
        <v>118</v>
      </c>
      <c r="AU614" t="b">
        <v>1</v>
      </c>
      <c r="AV614">
        <v>90</v>
      </c>
      <c r="AW614">
        <v>9.125</v>
      </c>
      <c r="AX614">
        <v>1</v>
      </c>
      <c r="AZ614">
        <v>7205</v>
      </c>
      <c r="BA614">
        <v>1</v>
      </c>
      <c r="BB614" t="str">
        <f t="shared" si="29"/>
        <v xml:space="preserve">KAP400  </v>
      </c>
      <c r="BC614">
        <v>1</v>
      </c>
      <c r="BE614">
        <v>0</v>
      </c>
      <c r="BF614">
        <v>0</v>
      </c>
      <c r="BG614">
        <v>0</v>
      </c>
      <c r="BI614">
        <v>1</v>
      </c>
      <c r="BJ614">
        <v>1</v>
      </c>
      <c r="BK614">
        <v>1</v>
      </c>
      <c r="BL614">
        <v>0</v>
      </c>
      <c r="BO614">
        <v>0</v>
      </c>
      <c r="BP614">
        <v>0</v>
      </c>
      <c r="BW614" t="str">
        <f>"19:13:29.293"</f>
        <v>19:13:29.293</v>
      </c>
      <c r="BX614" t="s">
        <v>119</v>
      </c>
      <c r="BY614" t="s">
        <v>120</v>
      </c>
      <c r="CJ614">
        <v>0</v>
      </c>
      <c r="CK614">
        <v>0</v>
      </c>
      <c r="CL614">
        <v>0</v>
      </c>
      <c r="CM614">
        <v>2</v>
      </c>
      <c r="CN614">
        <v>0</v>
      </c>
      <c r="CO614">
        <v>7</v>
      </c>
      <c r="CP614" t="s">
        <v>121</v>
      </c>
      <c r="CQ614">
        <v>580</v>
      </c>
      <c r="CR614">
        <v>0</v>
      </c>
      <c r="CW614">
        <v>410546</v>
      </c>
      <c r="CY614">
        <v>0</v>
      </c>
      <c r="CZ614">
        <v>0</v>
      </c>
      <c r="DA614">
        <v>0</v>
      </c>
      <c r="DB614">
        <v>1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</row>
    <row r="615" spans="1:113" x14ac:dyDescent="0.3">
      <c r="A615" t="str">
        <f>"06/16/2022 19:13:30.705"</f>
        <v>06/16/2022 19:13:30.705</v>
      </c>
      <c r="C615" t="str">
        <f t="shared" si="30"/>
        <v>FFBF5BC0</v>
      </c>
      <c r="D615" t="s">
        <v>113</v>
      </c>
      <c r="E615">
        <v>8</v>
      </c>
      <c r="H615">
        <v>206</v>
      </c>
      <c r="I615" t="s">
        <v>114</v>
      </c>
      <c r="J615" t="s">
        <v>115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>"19:13:30.336"</f>
        <v>19:13:30.336</v>
      </c>
      <c r="T615" t="str">
        <f>"19:13:30.336"</f>
        <v>19:13:30.336</v>
      </c>
      <c r="U615" t="str">
        <f t="shared" si="28"/>
        <v>AB63B2</v>
      </c>
      <c r="V615">
        <v>0</v>
      </c>
      <c r="W615">
        <v>0</v>
      </c>
      <c r="X615">
        <v>6</v>
      </c>
      <c r="Z615">
        <v>0</v>
      </c>
      <c r="AA615">
        <v>9</v>
      </c>
      <c r="AB615">
        <v>3</v>
      </c>
      <c r="AC615">
        <v>0</v>
      </c>
      <c r="AD615">
        <v>10</v>
      </c>
      <c r="AE615">
        <v>0</v>
      </c>
      <c r="AF615">
        <v>0</v>
      </c>
      <c r="AG615">
        <v>2</v>
      </c>
      <c r="AH615">
        <v>0</v>
      </c>
      <c r="AI615" t="s">
        <v>577</v>
      </c>
      <c r="AJ615">
        <v>41.970433999999997</v>
      </c>
      <c r="AK615" t="s">
        <v>443</v>
      </c>
      <c r="AL615">
        <v>-87.896782999999999</v>
      </c>
      <c r="AS615">
        <v>1</v>
      </c>
      <c r="AT615" t="s">
        <v>118</v>
      </c>
      <c r="AU615" t="b">
        <v>1</v>
      </c>
      <c r="AV615">
        <v>92.81</v>
      </c>
      <c r="AW615">
        <v>9.125</v>
      </c>
      <c r="AX615">
        <v>1</v>
      </c>
      <c r="AZ615">
        <v>7205</v>
      </c>
      <c r="BA615">
        <v>1</v>
      </c>
      <c r="BB615" t="str">
        <f t="shared" si="29"/>
        <v xml:space="preserve">KAP400  </v>
      </c>
      <c r="BC615">
        <v>1</v>
      </c>
      <c r="BE615">
        <v>0</v>
      </c>
      <c r="BF615">
        <v>0</v>
      </c>
      <c r="BG615">
        <v>0</v>
      </c>
      <c r="BI615">
        <v>1</v>
      </c>
      <c r="BJ615">
        <v>1</v>
      </c>
      <c r="BK615">
        <v>1</v>
      </c>
      <c r="BL615">
        <v>0</v>
      </c>
      <c r="BO615">
        <v>0</v>
      </c>
      <c r="BP615">
        <v>0</v>
      </c>
      <c r="BW615" t="str">
        <f>"19:13:30.343"</f>
        <v>19:13:30.343</v>
      </c>
      <c r="BX615" t="s">
        <v>119</v>
      </c>
      <c r="BY615" t="s">
        <v>120</v>
      </c>
      <c r="CJ615">
        <v>0</v>
      </c>
      <c r="CK615">
        <v>0</v>
      </c>
      <c r="CL615">
        <v>0</v>
      </c>
      <c r="CM615">
        <v>2</v>
      </c>
      <c r="CN615">
        <v>0</v>
      </c>
      <c r="CO615">
        <v>7</v>
      </c>
      <c r="CP615" t="s">
        <v>121</v>
      </c>
      <c r="CQ615">
        <v>579</v>
      </c>
      <c r="CR615">
        <v>0</v>
      </c>
      <c r="CW615">
        <v>1514038</v>
      </c>
      <c r="CY615">
        <v>0</v>
      </c>
      <c r="CZ615">
        <v>0</v>
      </c>
      <c r="DA615">
        <v>0</v>
      </c>
      <c r="DB615">
        <v>1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</row>
    <row r="616" spans="1:113" x14ac:dyDescent="0.3">
      <c r="A616" t="str">
        <f>"06/16/2022 19:13:31.643"</f>
        <v>06/16/2022 19:13:31.643</v>
      </c>
      <c r="C616" t="str">
        <f t="shared" si="30"/>
        <v>FFBF5BC0</v>
      </c>
      <c r="D616" t="s">
        <v>113</v>
      </c>
      <c r="E616">
        <v>8</v>
      </c>
      <c r="H616">
        <v>206</v>
      </c>
      <c r="I616" t="s">
        <v>114</v>
      </c>
      <c r="J616" t="s">
        <v>115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>"19:13:31.414"</f>
        <v>19:13:31.414</v>
      </c>
      <c r="T616" t="str">
        <f>"19:13:31.414"</f>
        <v>19:13:31.414</v>
      </c>
      <c r="U616" t="str">
        <f t="shared" si="28"/>
        <v>AB63B2</v>
      </c>
      <c r="V616">
        <v>0</v>
      </c>
      <c r="W616">
        <v>0</v>
      </c>
      <c r="X616">
        <v>6</v>
      </c>
      <c r="Z616">
        <v>0</v>
      </c>
      <c r="AA616">
        <v>9</v>
      </c>
      <c r="AB616">
        <v>3</v>
      </c>
      <c r="AC616">
        <v>0</v>
      </c>
      <c r="AD616">
        <v>10</v>
      </c>
      <c r="AE616">
        <v>0</v>
      </c>
      <c r="AF616">
        <v>0</v>
      </c>
      <c r="AG616">
        <v>2</v>
      </c>
      <c r="AH616">
        <v>0</v>
      </c>
      <c r="AI616" t="s">
        <v>577</v>
      </c>
      <c r="AJ616">
        <v>41.970433999999997</v>
      </c>
      <c r="AK616" t="s">
        <v>441</v>
      </c>
      <c r="AL616">
        <v>-87.896719000000004</v>
      </c>
      <c r="AS616">
        <v>1</v>
      </c>
      <c r="AT616" t="s">
        <v>118</v>
      </c>
      <c r="AU616" t="b">
        <v>1</v>
      </c>
      <c r="AV616">
        <v>98.44</v>
      </c>
      <c r="AW616">
        <v>8.625</v>
      </c>
      <c r="AX616">
        <v>1</v>
      </c>
      <c r="AZ616">
        <v>7205</v>
      </c>
      <c r="BA616">
        <v>1</v>
      </c>
      <c r="BB616" t="str">
        <f t="shared" si="29"/>
        <v xml:space="preserve">KAP400  </v>
      </c>
      <c r="BC616">
        <v>1</v>
      </c>
      <c r="BE616">
        <v>0</v>
      </c>
      <c r="BF616">
        <v>0</v>
      </c>
      <c r="BG616">
        <v>0</v>
      </c>
      <c r="BI616">
        <v>1</v>
      </c>
      <c r="BJ616">
        <v>1</v>
      </c>
      <c r="BK616">
        <v>1</v>
      </c>
      <c r="BL616">
        <v>0</v>
      </c>
      <c r="BO616">
        <v>0</v>
      </c>
      <c r="BP616">
        <v>0</v>
      </c>
      <c r="BW616" t="str">
        <f>"19:13:31.420"</f>
        <v>19:13:31.420</v>
      </c>
      <c r="BX616" t="s">
        <v>119</v>
      </c>
      <c r="BY616" t="s">
        <v>120</v>
      </c>
      <c r="CJ616">
        <v>0</v>
      </c>
      <c r="CK616">
        <v>0</v>
      </c>
      <c r="CL616">
        <v>0</v>
      </c>
      <c r="CM616">
        <v>2</v>
      </c>
      <c r="CN616">
        <v>0</v>
      </c>
      <c r="CO616">
        <v>7</v>
      </c>
      <c r="CP616" t="s">
        <v>121</v>
      </c>
      <c r="CQ616">
        <v>580</v>
      </c>
      <c r="CR616">
        <v>0</v>
      </c>
      <c r="CW616">
        <v>414390</v>
      </c>
      <c r="CY616">
        <v>0</v>
      </c>
      <c r="CZ616">
        <v>0</v>
      </c>
      <c r="DA616">
        <v>0</v>
      </c>
      <c r="DB616">
        <v>1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</row>
    <row r="617" spans="1:113" x14ac:dyDescent="0.3">
      <c r="A617" t="str">
        <f>"06/16/2022 19:13:32.783"</f>
        <v>06/16/2022 19:13:32.783</v>
      </c>
      <c r="C617" t="str">
        <f t="shared" si="30"/>
        <v>FFBF5BC0</v>
      </c>
      <c r="D617" t="s">
        <v>113</v>
      </c>
      <c r="E617">
        <v>8</v>
      </c>
      <c r="H617">
        <v>206</v>
      </c>
      <c r="I617" t="s">
        <v>114</v>
      </c>
      <c r="J617" t="s">
        <v>115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>"19:13:32.477"</f>
        <v>19:13:32.477</v>
      </c>
      <c r="T617" t="str">
        <f>"19:13:32.477"</f>
        <v>19:13:32.477</v>
      </c>
      <c r="U617" t="str">
        <f t="shared" si="28"/>
        <v>AB63B2</v>
      </c>
      <c r="V617">
        <v>0</v>
      </c>
      <c r="W617">
        <v>0</v>
      </c>
      <c r="X617">
        <v>6</v>
      </c>
      <c r="Z617">
        <v>0</v>
      </c>
      <c r="AA617">
        <v>9</v>
      </c>
      <c r="AB617">
        <v>3</v>
      </c>
      <c r="AC617">
        <v>0</v>
      </c>
      <c r="AD617">
        <v>10</v>
      </c>
      <c r="AE617">
        <v>0</v>
      </c>
      <c r="AF617">
        <v>0</v>
      </c>
      <c r="AG617">
        <v>2</v>
      </c>
      <c r="AH617">
        <v>0</v>
      </c>
      <c r="AI617" t="s">
        <v>577</v>
      </c>
      <c r="AJ617">
        <v>41.970433999999997</v>
      </c>
      <c r="AK617" t="s">
        <v>439</v>
      </c>
      <c r="AL617">
        <v>-87.896654999999996</v>
      </c>
      <c r="AS617">
        <v>1</v>
      </c>
      <c r="AT617" t="s">
        <v>118</v>
      </c>
      <c r="AU617" t="b">
        <v>1</v>
      </c>
      <c r="AV617">
        <v>104.06</v>
      </c>
      <c r="AW617">
        <v>8.625</v>
      </c>
      <c r="AX617">
        <v>1</v>
      </c>
      <c r="AZ617">
        <v>7205</v>
      </c>
      <c r="BA617">
        <v>1</v>
      </c>
      <c r="BB617" t="str">
        <f t="shared" si="29"/>
        <v xml:space="preserve">KAP400  </v>
      </c>
      <c r="BC617">
        <v>1</v>
      </c>
      <c r="BE617">
        <v>0</v>
      </c>
      <c r="BF617">
        <v>0</v>
      </c>
      <c r="BG617">
        <v>0</v>
      </c>
      <c r="BI617">
        <v>1</v>
      </c>
      <c r="BJ617">
        <v>1</v>
      </c>
      <c r="BK617">
        <v>1</v>
      </c>
      <c r="BL617">
        <v>0</v>
      </c>
      <c r="BO617">
        <v>0</v>
      </c>
      <c r="BP617">
        <v>0</v>
      </c>
      <c r="BW617" t="str">
        <f>"19:13:32.480"</f>
        <v>19:13:32.480</v>
      </c>
      <c r="BX617" t="s">
        <v>119</v>
      </c>
      <c r="BY617" t="s">
        <v>120</v>
      </c>
      <c r="CJ617">
        <v>0</v>
      </c>
      <c r="CK617">
        <v>0</v>
      </c>
      <c r="CL617">
        <v>0</v>
      </c>
      <c r="CM617">
        <v>2</v>
      </c>
      <c r="CN617">
        <v>0</v>
      </c>
      <c r="CO617">
        <v>7</v>
      </c>
      <c r="CP617" t="s">
        <v>121</v>
      </c>
      <c r="CQ617">
        <v>580</v>
      </c>
      <c r="CR617">
        <v>0</v>
      </c>
      <c r="CW617">
        <v>416274</v>
      </c>
      <c r="CY617">
        <v>0</v>
      </c>
      <c r="CZ617">
        <v>0</v>
      </c>
      <c r="DA617">
        <v>0</v>
      </c>
      <c r="DB617">
        <v>1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</row>
    <row r="618" spans="1:113" x14ac:dyDescent="0.3">
      <c r="A618" t="str">
        <f>"06/16/2022 19:13:33.767"</f>
        <v>06/16/2022 19:13:33.767</v>
      </c>
      <c r="C618" t="str">
        <f t="shared" si="30"/>
        <v>FFBF5BC0</v>
      </c>
      <c r="D618" t="s">
        <v>113</v>
      </c>
      <c r="E618">
        <v>8</v>
      </c>
      <c r="H618">
        <v>206</v>
      </c>
      <c r="I618" t="s">
        <v>114</v>
      </c>
      <c r="J618" t="s">
        <v>115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>"19:13:33.531"</f>
        <v>19:13:33.531</v>
      </c>
      <c r="T618" t="str">
        <f>"19:13:33.531"</f>
        <v>19:13:33.531</v>
      </c>
      <c r="U618" t="str">
        <f t="shared" si="28"/>
        <v>AB63B2</v>
      </c>
      <c r="V618">
        <v>0</v>
      </c>
      <c r="W618">
        <v>0</v>
      </c>
      <c r="X618">
        <v>6</v>
      </c>
      <c r="Z618">
        <v>0</v>
      </c>
      <c r="AA618">
        <v>9</v>
      </c>
      <c r="AB618">
        <v>3</v>
      </c>
      <c r="AC618">
        <v>0</v>
      </c>
      <c r="AD618">
        <v>10</v>
      </c>
      <c r="AE618">
        <v>0</v>
      </c>
      <c r="AF618">
        <v>0</v>
      </c>
      <c r="AG618">
        <v>2</v>
      </c>
      <c r="AH618">
        <v>0</v>
      </c>
      <c r="AI618" t="s">
        <v>613</v>
      </c>
      <c r="AJ618">
        <v>41.970413000000001</v>
      </c>
      <c r="AK618" t="s">
        <v>614</v>
      </c>
      <c r="AL618">
        <v>-87.896612000000005</v>
      </c>
      <c r="AS618">
        <v>1</v>
      </c>
      <c r="AT618" t="s">
        <v>118</v>
      </c>
      <c r="AU618" t="b">
        <v>1</v>
      </c>
      <c r="AV618">
        <v>106.88</v>
      </c>
      <c r="AW618">
        <v>8.625</v>
      </c>
      <c r="AX618">
        <v>1</v>
      </c>
      <c r="AZ618">
        <v>7205</v>
      </c>
      <c r="BA618">
        <v>1</v>
      </c>
      <c r="BB618" t="str">
        <f t="shared" si="29"/>
        <v xml:space="preserve">KAP400  </v>
      </c>
      <c r="BC618">
        <v>1</v>
      </c>
      <c r="BE618">
        <v>0</v>
      </c>
      <c r="BF618">
        <v>0</v>
      </c>
      <c r="BG618">
        <v>0</v>
      </c>
      <c r="BI618">
        <v>1</v>
      </c>
      <c r="BJ618">
        <v>1</v>
      </c>
      <c r="BK618">
        <v>1</v>
      </c>
      <c r="BL618">
        <v>0</v>
      </c>
      <c r="BO618">
        <v>0</v>
      </c>
      <c r="BP618">
        <v>0</v>
      </c>
      <c r="BW618" t="str">
        <f>"19:13:33.538"</f>
        <v>19:13:33.538</v>
      </c>
      <c r="BX618" t="s">
        <v>119</v>
      </c>
      <c r="BY618" t="s">
        <v>120</v>
      </c>
      <c r="CJ618">
        <v>0</v>
      </c>
      <c r="CK618">
        <v>0</v>
      </c>
      <c r="CL618">
        <v>0</v>
      </c>
      <c r="CM618">
        <v>2</v>
      </c>
      <c r="CN618">
        <v>0</v>
      </c>
      <c r="CO618">
        <v>7</v>
      </c>
      <c r="CP618" t="s">
        <v>121</v>
      </c>
      <c r="CQ618">
        <v>580</v>
      </c>
      <c r="CR618">
        <v>0</v>
      </c>
      <c r="CW618">
        <v>418115</v>
      </c>
      <c r="CY618">
        <v>0</v>
      </c>
      <c r="CZ618">
        <v>0</v>
      </c>
      <c r="DA618">
        <v>0</v>
      </c>
      <c r="DB618">
        <v>1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</row>
    <row r="619" spans="1:113" x14ac:dyDescent="0.3">
      <c r="A619" t="str">
        <f>"06/16/2022 19:13:34.799"</f>
        <v>06/16/2022 19:13:34.799</v>
      </c>
      <c r="C619" t="str">
        <f t="shared" si="30"/>
        <v>FFBF5BC0</v>
      </c>
      <c r="D619" t="s">
        <v>113</v>
      </c>
      <c r="E619">
        <v>8</v>
      </c>
      <c r="H619">
        <v>206</v>
      </c>
      <c r="I619" t="s">
        <v>114</v>
      </c>
      <c r="J619" t="s">
        <v>115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>"19:13:34.555"</f>
        <v>19:13:34.555</v>
      </c>
      <c r="T619" t="str">
        <f>"19:13:34.555"</f>
        <v>19:13:34.555</v>
      </c>
      <c r="U619" t="str">
        <f t="shared" si="28"/>
        <v>AB63B2</v>
      </c>
      <c r="V619">
        <v>0</v>
      </c>
      <c r="W619">
        <v>0</v>
      </c>
      <c r="X619">
        <v>6</v>
      </c>
      <c r="Z619">
        <v>0</v>
      </c>
      <c r="AA619">
        <v>9</v>
      </c>
      <c r="AB619">
        <v>3</v>
      </c>
      <c r="AC619">
        <v>0</v>
      </c>
      <c r="AD619">
        <v>10</v>
      </c>
      <c r="AE619">
        <v>0</v>
      </c>
      <c r="AF619">
        <v>0</v>
      </c>
      <c r="AG619">
        <v>2</v>
      </c>
      <c r="AH619">
        <v>0</v>
      </c>
      <c r="AI619" t="s">
        <v>613</v>
      </c>
      <c r="AJ619">
        <v>41.970413000000001</v>
      </c>
      <c r="AK619" t="s">
        <v>615</v>
      </c>
      <c r="AL619">
        <v>-87.896546999999998</v>
      </c>
      <c r="AS619">
        <v>1</v>
      </c>
      <c r="AT619" t="s">
        <v>118</v>
      </c>
      <c r="AU619" t="b">
        <v>1</v>
      </c>
      <c r="AV619">
        <v>112.5</v>
      </c>
      <c r="AW619">
        <v>8.625</v>
      </c>
      <c r="AX619">
        <v>1</v>
      </c>
      <c r="AZ619">
        <v>7205</v>
      </c>
      <c r="BA619">
        <v>1</v>
      </c>
      <c r="BB619" t="str">
        <f t="shared" si="29"/>
        <v xml:space="preserve">KAP400  </v>
      </c>
      <c r="BC619">
        <v>1</v>
      </c>
      <c r="BE619">
        <v>0</v>
      </c>
      <c r="BF619">
        <v>0</v>
      </c>
      <c r="BG619">
        <v>0</v>
      </c>
      <c r="BI619">
        <v>1</v>
      </c>
      <c r="BJ619">
        <v>1</v>
      </c>
      <c r="BK619">
        <v>1</v>
      </c>
      <c r="BL619">
        <v>0</v>
      </c>
      <c r="BO619">
        <v>0</v>
      </c>
      <c r="BP619">
        <v>0</v>
      </c>
      <c r="BW619" t="str">
        <f>"19:13:34.559"</f>
        <v>19:13:34.559</v>
      </c>
      <c r="BX619" t="s">
        <v>119</v>
      </c>
      <c r="BY619" t="s">
        <v>120</v>
      </c>
      <c r="CJ619">
        <v>0</v>
      </c>
      <c r="CK619">
        <v>0</v>
      </c>
      <c r="CL619">
        <v>0</v>
      </c>
      <c r="CM619">
        <v>2</v>
      </c>
      <c r="CN619">
        <v>0</v>
      </c>
      <c r="CO619">
        <v>7</v>
      </c>
      <c r="CP619" t="s">
        <v>121</v>
      </c>
      <c r="CQ619">
        <v>580</v>
      </c>
      <c r="CR619">
        <v>0</v>
      </c>
      <c r="CW619">
        <v>419895</v>
      </c>
      <c r="CY619">
        <v>0</v>
      </c>
      <c r="CZ619">
        <v>0</v>
      </c>
      <c r="DA619">
        <v>0</v>
      </c>
      <c r="DB619">
        <v>1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</row>
    <row r="620" spans="1:113" x14ac:dyDescent="0.3">
      <c r="A620" t="str">
        <f>"06/16/2022 19:13:36.800"</f>
        <v>06/16/2022 19:13:36.800</v>
      </c>
      <c r="C620" t="str">
        <f t="shared" si="30"/>
        <v>FFBF5BC0</v>
      </c>
      <c r="D620" t="s">
        <v>113</v>
      </c>
      <c r="E620">
        <v>8</v>
      </c>
      <c r="H620">
        <v>206</v>
      </c>
      <c r="I620" t="s">
        <v>114</v>
      </c>
      <c r="J620" t="s">
        <v>115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>"19:13:36.555"</f>
        <v>19:13:36.555</v>
      </c>
      <c r="T620" t="str">
        <f>"19:13:36.555"</f>
        <v>19:13:36.555</v>
      </c>
      <c r="U620" t="str">
        <f t="shared" si="28"/>
        <v>AB63B2</v>
      </c>
      <c r="V620">
        <v>0</v>
      </c>
      <c r="W620">
        <v>0</v>
      </c>
      <c r="X620">
        <v>6</v>
      </c>
      <c r="Z620">
        <v>0</v>
      </c>
      <c r="AA620">
        <v>9</v>
      </c>
      <c r="AB620">
        <v>3</v>
      </c>
      <c r="AC620">
        <v>0</v>
      </c>
      <c r="AD620">
        <v>10</v>
      </c>
      <c r="AE620">
        <v>0</v>
      </c>
      <c r="AF620">
        <v>0</v>
      </c>
      <c r="AG620">
        <v>2</v>
      </c>
      <c r="AH620">
        <v>0</v>
      </c>
      <c r="AI620" t="s">
        <v>616</v>
      </c>
      <c r="AJ620">
        <v>41.970370000000003</v>
      </c>
      <c r="AK620" t="s">
        <v>617</v>
      </c>
      <c r="AL620">
        <v>-87.896461000000002</v>
      </c>
      <c r="AS620">
        <v>1</v>
      </c>
      <c r="AT620" t="s">
        <v>118</v>
      </c>
      <c r="AU620" t="b">
        <v>1</v>
      </c>
      <c r="AV620">
        <v>115.31</v>
      </c>
      <c r="AW620">
        <v>9.625</v>
      </c>
      <c r="AX620">
        <v>1</v>
      </c>
      <c r="AZ620">
        <v>7205</v>
      </c>
      <c r="BA620">
        <v>1</v>
      </c>
      <c r="BB620" t="str">
        <f t="shared" si="29"/>
        <v xml:space="preserve">KAP400  </v>
      </c>
      <c r="BC620">
        <v>1</v>
      </c>
      <c r="BE620">
        <v>0</v>
      </c>
      <c r="BF620">
        <v>0</v>
      </c>
      <c r="BG620">
        <v>0</v>
      </c>
      <c r="BI620">
        <v>1</v>
      </c>
      <c r="BJ620">
        <v>1</v>
      </c>
      <c r="BK620">
        <v>1</v>
      </c>
      <c r="BL620">
        <v>0</v>
      </c>
      <c r="BO620">
        <v>0</v>
      </c>
      <c r="BP620">
        <v>0</v>
      </c>
      <c r="BW620" t="str">
        <f>"19:13:36.558"</f>
        <v>19:13:36.558</v>
      </c>
      <c r="BX620" t="s">
        <v>119</v>
      </c>
      <c r="BY620" t="s">
        <v>120</v>
      </c>
      <c r="CJ620">
        <v>0</v>
      </c>
      <c r="CK620">
        <v>0</v>
      </c>
      <c r="CL620">
        <v>0</v>
      </c>
      <c r="CM620">
        <v>2</v>
      </c>
      <c r="CN620">
        <v>0</v>
      </c>
      <c r="CO620">
        <v>6</v>
      </c>
      <c r="CP620" t="s">
        <v>121</v>
      </c>
      <c r="CQ620">
        <v>579</v>
      </c>
      <c r="CR620">
        <v>0</v>
      </c>
      <c r="CW620">
        <v>1526341</v>
      </c>
      <c r="CY620">
        <v>0</v>
      </c>
      <c r="CZ620">
        <v>0</v>
      </c>
      <c r="DA620">
        <v>0</v>
      </c>
      <c r="DB620">
        <v>1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</row>
    <row r="621" spans="1:113" x14ac:dyDescent="0.3">
      <c r="A621" t="str">
        <f>"06/16/2022 19:13:37.643"</f>
        <v>06/16/2022 19:13:37.643</v>
      </c>
      <c r="C621" t="str">
        <f t="shared" si="30"/>
        <v>FFBF5BC0</v>
      </c>
      <c r="D621" t="s">
        <v>113</v>
      </c>
      <c r="E621">
        <v>8</v>
      </c>
      <c r="H621">
        <v>206</v>
      </c>
      <c r="I621" t="s">
        <v>114</v>
      </c>
      <c r="J621" t="s">
        <v>115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>"19:13:37.430"</f>
        <v>19:13:37.430</v>
      </c>
      <c r="T621" t="str">
        <f>"19:13:37.430"</f>
        <v>19:13:37.430</v>
      </c>
      <c r="U621" t="str">
        <f t="shared" si="28"/>
        <v>AB63B2</v>
      </c>
      <c r="V621">
        <v>0</v>
      </c>
      <c r="W621">
        <v>0</v>
      </c>
      <c r="X621">
        <v>6</v>
      </c>
      <c r="Z621">
        <v>0</v>
      </c>
      <c r="AA621">
        <v>9</v>
      </c>
      <c r="AB621">
        <v>3</v>
      </c>
      <c r="AC621">
        <v>0</v>
      </c>
      <c r="AD621">
        <v>10</v>
      </c>
      <c r="AE621">
        <v>0</v>
      </c>
      <c r="AF621">
        <v>0</v>
      </c>
      <c r="AG621">
        <v>2</v>
      </c>
      <c r="AH621">
        <v>0</v>
      </c>
      <c r="AI621" t="s">
        <v>618</v>
      </c>
      <c r="AJ621">
        <v>41.970348000000001</v>
      </c>
      <c r="AK621" t="s">
        <v>619</v>
      </c>
      <c r="AL621">
        <v>-87.896396999999993</v>
      </c>
      <c r="AS621">
        <v>1</v>
      </c>
      <c r="AT621" t="s">
        <v>118</v>
      </c>
      <c r="AU621" t="b">
        <v>1</v>
      </c>
      <c r="AV621">
        <v>115.31</v>
      </c>
      <c r="AW621">
        <v>9.625</v>
      </c>
      <c r="AX621">
        <v>1</v>
      </c>
      <c r="AZ621">
        <v>7205</v>
      </c>
      <c r="BA621">
        <v>1</v>
      </c>
      <c r="BB621" t="str">
        <f t="shared" si="29"/>
        <v xml:space="preserve">KAP400  </v>
      </c>
      <c r="BC621">
        <v>1</v>
      </c>
      <c r="BE621">
        <v>0</v>
      </c>
      <c r="BF621">
        <v>0</v>
      </c>
      <c r="BG621">
        <v>0</v>
      </c>
      <c r="BI621">
        <v>1</v>
      </c>
      <c r="BJ621">
        <v>1</v>
      </c>
      <c r="BK621">
        <v>1</v>
      </c>
      <c r="BL621">
        <v>0</v>
      </c>
      <c r="BO621">
        <v>0</v>
      </c>
      <c r="BP621">
        <v>0</v>
      </c>
      <c r="BW621" t="str">
        <f>"19:13:37.431"</f>
        <v>19:13:37.431</v>
      </c>
      <c r="BX621" t="s">
        <v>119</v>
      </c>
      <c r="BY621" t="s">
        <v>120</v>
      </c>
      <c r="CJ621">
        <v>0</v>
      </c>
      <c r="CK621">
        <v>0</v>
      </c>
      <c r="CL621">
        <v>0</v>
      </c>
      <c r="CM621">
        <v>2</v>
      </c>
      <c r="CN621">
        <v>0</v>
      </c>
      <c r="CO621">
        <v>5</v>
      </c>
      <c r="CP621" t="s">
        <v>121</v>
      </c>
      <c r="CQ621">
        <v>579</v>
      </c>
      <c r="CR621">
        <v>0</v>
      </c>
      <c r="CW621">
        <v>1528040</v>
      </c>
      <c r="CY621">
        <v>0</v>
      </c>
      <c r="CZ621">
        <v>0</v>
      </c>
      <c r="DA621">
        <v>0</v>
      </c>
      <c r="DB621">
        <v>1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</row>
    <row r="622" spans="1:113" x14ac:dyDescent="0.3">
      <c r="A622" t="str">
        <f>"06/16/2022 19:13:38.721"</f>
        <v>06/16/2022 19:13:38.721</v>
      </c>
      <c r="C622" t="str">
        <f t="shared" si="30"/>
        <v>FFBF5BC0</v>
      </c>
      <c r="D622" t="s">
        <v>113</v>
      </c>
      <c r="E622">
        <v>8</v>
      </c>
      <c r="H622">
        <v>206</v>
      </c>
      <c r="I622" t="s">
        <v>114</v>
      </c>
      <c r="J622" t="s">
        <v>115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>"19:13:38.492"</f>
        <v>19:13:38.492</v>
      </c>
      <c r="T622" t="str">
        <f>"19:13:38.492"</f>
        <v>19:13:38.492</v>
      </c>
      <c r="U622" t="str">
        <f t="shared" si="28"/>
        <v>AB63B2</v>
      </c>
      <c r="V622">
        <v>0</v>
      </c>
      <c r="W622">
        <v>0</v>
      </c>
      <c r="X622">
        <v>6</v>
      </c>
      <c r="Z622">
        <v>0</v>
      </c>
      <c r="AA622">
        <v>9</v>
      </c>
      <c r="AB622">
        <v>3</v>
      </c>
      <c r="AC622">
        <v>0</v>
      </c>
      <c r="AD622">
        <v>10</v>
      </c>
      <c r="AE622">
        <v>0</v>
      </c>
      <c r="AF622">
        <v>0</v>
      </c>
      <c r="AG622">
        <v>2</v>
      </c>
      <c r="AH622">
        <v>0</v>
      </c>
      <c r="AI622" t="s">
        <v>620</v>
      </c>
      <c r="AJ622">
        <v>41.970326999999997</v>
      </c>
      <c r="AK622" t="s">
        <v>621</v>
      </c>
      <c r="AL622">
        <v>-87.896354000000002</v>
      </c>
      <c r="AS622">
        <v>1</v>
      </c>
      <c r="AT622" t="s">
        <v>118</v>
      </c>
      <c r="AU622" t="b">
        <v>1</v>
      </c>
      <c r="AV622">
        <v>115.31</v>
      </c>
      <c r="AW622">
        <v>9.625</v>
      </c>
      <c r="AX622">
        <v>1</v>
      </c>
      <c r="AZ622">
        <v>7205</v>
      </c>
      <c r="BA622">
        <v>1</v>
      </c>
      <c r="BB622" t="str">
        <f t="shared" si="29"/>
        <v xml:space="preserve">KAP400  </v>
      </c>
      <c r="BC622">
        <v>1</v>
      </c>
      <c r="BE622">
        <v>0</v>
      </c>
      <c r="BF622">
        <v>0</v>
      </c>
      <c r="BG622">
        <v>0</v>
      </c>
      <c r="BI622">
        <v>1</v>
      </c>
      <c r="BJ622">
        <v>1</v>
      </c>
      <c r="BK622">
        <v>1</v>
      </c>
      <c r="BL622">
        <v>0</v>
      </c>
      <c r="BO622">
        <v>0</v>
      </c>
      <c r="BP622">
        <v>0</v>
      </c>
      <c r="BW622" t="str">
        <f>"19:13:38.498"</f>
        <v>19:13:38.498</v>
      </c>
      <c r="BX622" t="s">
        <v>119</v>
      </c>
      <c r="BY622" t="s">
        <v>120</v>
      </c>
      <c r="CJ622">
        <v>0</v>
      </c>
      <c r="CK622">
        <v>0</v>
      </c>
      <c r="CL622">
        <v>0</v>
      </c>
      <c r="CM622">
        <v>2</v>
      </c>
      <c r="CN622">
        <v>0</v>
      </c>
      <c r="CO622">
        <v>6</v>
      </c>
      <c r="CP622" t="s">
        <v>121</v>
      </c>
      <c r="CQ622">
        <v>579</v>
      </c>
      <c r="CR622">
        <v>0</v>
      </c>
      <c r="CW622">
        <v>1530079</v>
      </c>
      <c r="CY622">
        <v>0</v>
      </c>
      <c r="CZ622">
        <v>0</v>
      </c>
      <c r="DA622">
        <v>0</v>
      </c>
      <c r="DB622">
        <v>1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</row>
    <row r="623" spans="1:113" x14ac:dyDescent="0.3">
      <c r="A623" t="str">
        <f>"06/16/2022 19:13:39.690"</f>
        <v>06/16/2022 19:13:39.690</v>
      </c>
      <c r="C623" t="str">
        <f t="shared" si="30"/>
        <v>FFBF5BC0</v>
      </c>
      <c r="D623" t="s">
        <v>113</v>
      </c>
      <c r="E623">
        <v>8</v>
      </c>
      <c r="H623">
        <v>206</v>
      </c>
      <c r="I623" t="s">
        <v>114</v>
      </c>
      <c r="J623" t="s">
        <v>115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>"19:13:39.477"</f>
        <v>19:13:39.477</v>
      </c>
      <c r="T623" t="str">
        <f>"19:13:39.477"</f>
        <v>19:13:39.477</v>
      </c>
      <c r="U623" t="str">
        <f t="shared" si="28"/>
        <v>AB63B2</v>
      </c>
      <c r="V623">
        <v>0</v>
      </c>
      <c r="W623">
        <v>0</v>
      </c>
      <c r="X623">
        <v>6</v>
      </c>
      <c r="Z623">
        <v>0</v>
      </c>
      <c r="AA623">
        <v>9</v>
      </c>
      <c r="AB623">
        <v>3</v>
      </c>
      <c r="AC623">
        <v>0</v>
      </c>
      <c r="AD623">
        <v>10</v>
      </c>
      <c r="AE623">
        <v>0</v>
      </c>
      <c r="AF623">
        <v>0</v>
      </c>
      <c r="AG623">
        <v>2</v>
      </c>
      <c r="AH623">
        <v>0</v>
      </c>
      <c r="AI623" t="s">
        <v>622</v>
      </c>
      <c r="AJ623">
        <v>41.970305000000003</v>
      </c>
      <c r="AK623" t="s">
        <v>430</v>
      </c>
      <c r="AL623">
        <v>-87.896310999999997</v>
      </c>
      <c r="AS623">
        <v>1</v>
      </c>
      <c r="AT623" t="s">
        <v>118</v>
      </c>
      <c r="AU623" t="b">
        <v>1</v>
      </c>
      <c r="AV623">
        <v>118.13</v>
      </c>
      <c r="AW623">
        <v>10.125</v>
      </c>
      <c r="AX623">
        <v>1</v>
      </c>
      <c r="AZ623">
        <v>7205</v>
      </c>
      <c r="BA623">
        <v>1</v>
      </c>
      <c r="BB623" t="str">
        <f t="shared" si="29"/>
        <v xml:space="preserve">KAP400  </v>
      </c>
      <c r="BC623">
        <v>1</v>
      </c>
      <c r="BE623">
        <v>0</v>
      </c>
      <c r="BF623">
        <v>0</v>
      </c>
      <c r="BG623">
        <v>0</v>
      </c>
      <c r="BI623">
        <v>1</v>
      </c>
      <c r="BJ623">
        <v>1</v>
      </c>
      <c r="BK623">
        <v>1</v>
      </c>
      <c r="BL623">
        <v>0</v>
      </c>
      <c r="BO623">
        <v>0</v>
      </c>
      <c r="BP623">
        <v>0</v>
      </c>
      <c r="BW623" t="str">
        <f>"19:13:39.478"</f>
        <v>19:13:39.478</v>
      </c>
      <c r="BX623" t="s">
        <v>119</v>
      </c>
      <c r="BY623" t="s">
        <v>120</v>
      </c>
      <c r="CJ623">
        <v>0</v>
      </c>
      <c r="CK623">
        <v>0</v>
      </c>
      <c r="CL623">
        <v>0</v>
      </c>
      <c r="CM623">
        <v>2</v>
      </c>
      <c r="CN623">
        <v>0</v>
      </c>
      <c r="CO623">
        <v>7</v>
      </c>
      <c r="CP623" t="s">
        <v>121</v>
      </c>
      <c r="CQ623">
        <v>580</v>
      </c>
      <c r="CR623">
        <v>0</v>
      </c>
      <c r="CW623">
        <v>428581</v>
      </c>
      <c r="CY623">
        <v>0</v>
      </c>
      <c r="CZ623">
        <v>0</v>
      </c>
      <c r="DA623">
        <v>0</v>
      </c>
      <c r="DB623">
        <v>1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</row>
    <row r="624" spans="1:113" x14ac:dyDescent="0.3">
      <c r="A624" t="str">
        <f>"06/16/2022 19:13:40.596"</f>
        <v>06/16/2022 19:13:40.596</v>
      </c>
      <c r="C624" t="str">
        <f t="shared" si="30"/>
        <v>FFBF5BC0</v>
      </c>
      <c r="D624" t="s">
        <v>113</v>
      </c>
      <c r="E624">
        <v>8</v>
      </c>
      <c r="H624">
        <v>206</v>
      </c>
      <c r="I624" t="s">
        <v>114</v>
      </c>
      <c r="J624" t="s">
        <v>115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>"19:13:40.383"</f>
        <v>19:13:40.383</v>
      </c>
      <c r="T624" t="str">
        <f>"19:13:40.383"</f>
        <v>19:13:40.383</v>
      </c>
      <c r="U624" t="str">
        <f t="shared" si="28"/>
        <v>AB63B2</v>
      </c>
      <c r="V624">
        <v>0</v>
      </c>
      <c r="W624">
        <v>0</v>
      </c>
      <c r="X624">
        <v>6</v>
      </c>
      <c r="Z624">
        <v>0</v>
      </c>
      <c r="AA624">
        <v>9</v>
      </c>
      <c r="AB624">
        <v>3</v>
      </c>
      <c r="AC624">
        <v>0</v>
      </c>
      <c r="AD624">
        <v>10</v>
      </c>
      <c r="AE624">
        <v>0</v>
      </c>
      <c r="AF624">
        <v>0</v>
      </c>
      <c r="AG624">
        <v>2</v>
      </c>
      <c r="AH624">
        <v>0</v>
      </c>
      <c r="AI624" t="s">
        <v>623</v>
      </c>
      <c r="AJ624">
        <v>41.970283999999999</v>
      </c>
      <c r="AK624" t="s">
        <v>428</v>
      </c>
      <c r="AL624">
        <v>-87.896247000000002</v>
      </c>
      <c r="AS624">
        <v>1</v>
      </c>
      <c r="AT624" t="s">
        <v>118</v>
      </c>
      <c r="AU624" t="b">
        <v>1</v>
      </c>
      <c r="AV624">
        <v>115.31</v>
      </c>
      <c r="AW624">
        <v>10.125</v>
      </c>
      <c r="AX624">
        <v>1</v>
      </c>
      <c r="AZ624">
        <v>7205</v>
      </c>
      <c r="BA624">
        <v>1</v>
      </c>
      <c r="BB624" t="str">
        <f t="shared" si="29"/>
        <v xml:space="preserve">KAP400  </v>
      </c>
      <c r="BC624">
        <v>1</v>
      </c>
      <c r="BE624">
        <v>0</v>
      </c>
      <c r="BF624">
        <v>0</v>
      </c>
      <c r="BG624">
        <v>0</v>
      </c>
      <c r="BI624">
        <v>1</v>
      </c>
      <c r="BJ624">
        <v>1</v>
      </c>
      <c r="BK624">
        <v>1</v>
      </c>
      <c r="BL624">
        <v>0</v>
      </c>
      <c r="BO624">
        <v>0</v>
      </c>
      <c r="BP624">
        <v>0</v>
      </c>
      <c r="BW624" t="str">
        <f>"19:13:40.390"</f>
        <v>19:13:40.390</v>
      </c>
      <c r="BX624" t="s">
        <v>119</v>
      </c>
      <c r="BY624" t="s">
        <v>120</v>
      </c>
      <c r="CJ624">
        <v>0</v>
      </c>
      <c r="CK624">
        <v>0</v>
      </c>
      <c r="CL624">
        <v>0</v>
      </c>
      <c r="CM624">
        <v>2</v>
      </c>
      <c r="CN624">
        <v>0</v>
      </c>
      <c r="CO624">
        <v>7</v>
      </c>
      <c r="CP624" t="s">
        <v>121</v>
      </c>
      <c r="CQ624">
        <v>580</v>
      </c>
      <c r="CR624">
        <v>0</v>
      </c>
      <c r="CW624">
        <v>430272</v>
      </c>
      <c r="CY624">
        <v>0</v>
      </c>
      <c r="CZ624">
        <v>0</v>
      </c>
      <c r="DA624">
        <v>0</v>
      </c>
      <c r="DB624">
        <v>1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</row>
    <row r="625" spans="1:113" x14ac:dyDescent="0.3">
      <c r="A625" t="str">
        <f>"06/16/2022 19:13:41.487"</f>
        <v>06/16/2022 19:13:41.487</v>
      </c>
      <c r="C625" t="str">
        <f t="shared" si="30"/>
        <v>FFBF5BC0</v>
      </c>
      <c r="D625" t="s">
        <v>113</v>
      </c>
      <c r="E625">
        <v>8</v>
      </c>
      <c r="H625">
        <v>206</v>
      </c>
      <c r="I625" t="s">
        <v>114</v>
      </c>
      <c r="J625" t="s">
        <v>115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>"19:13:41.281"</f>
        <v>19:13:41.281</v>
      </c>
      <c r="T625" t="str">
        <f>"19:13:41.281"</f>
        <v>19:13:41.281</v>
      </c>
      <c r="U625" t="str">
        <f t="shared" si="28"/>
        <v>AB63B2</v>
      </c>
      <c r="V625">
        <v>0</v>
      </c>
      <c r="W625">
        <v>0</v>
      </c>
      <c r="X625">
        <v>6</v>
      </c>
      <c r="Z625">
        <v>0</v>
      </c>
      <c r="AA625">
        <v>9</v>
      </c>
      <c r="AB625">
        <v>3</v>
      </c>
      <c r="AC625">
        <v>0</v>
      </c>
      <c r="AD625">
        <v>10</v>
      </c>
      <c r="AE625">
        <v>0</v>
      </c>
      <c r="AF625">
        <v>0</v>
      </c>
      <c r="AG625">
        <v>2</v>
      </c>
      <c r="AH625">
        <v>0</v>
      </c>
      <c r="AI625" t="s">
        <v>623</v>
      </c>
      <c r="AJ625">
        <v>41.970283999999999</v>
      </c>
      <c r="AK625" t="s">
        <v>624</v>
      </c>
      <c r="AL625">
        <v>-87.896203999999997</v>
      </c>
      <c r="AS625">
        <v>1</v>
      </c>
      <c r="AT625" t="s">
        <v>118</v>
      </c>
      <c r="AU625" t="b">
        <v>1</v>
      </c>
      <c r="AV625">
        <v>115.31</v>
      </c>
      <c r="AW625">
        <v>10.125</v>
      </c>
      <c r="AX625">
        <v>1</v>
      </c>
      <c r="AZ625">
        <v>7205</v>
      </c>
      <c r="BA625">
        <v>1</v>
      </c>
      <c r="BB625" t="str">
        <f t="shared" si="29"/>
        <v xml:space="preserve">KAP400  </v>
      </c>
      <c r="BC625">
        <v>1</v>
      </c>
      <c r="BE625">
        <v>0</v>
      </c>
      <c r="BF625">
        <v>0</v>
      </c>
      <c r="BG625">
        <v>0</v>
      </c>
      <c r="BI625">
        <v>1</v>
      </c>
      <c r="BJ625">
        <v>1</v>
      </c>
      <c r="BK625">
        <v>1</v>
      </c>
      <c r="BL625">
        <v>0</v>
      </c>
      <c r="BO625">
        <v>0</v>
      </c>
      <c r="BP625">
        <v>0</v>
      </c>
      <c r="BW625" t="str">
        <f>"19:13:41.288"</f>
        <v>19:13:41.288</v>
      </c>
      <c r="BX625" t="s">
        <v>119</v>
      </c>
      <c r="BY625" t="s">
        <v>120</v>
      </c>
      <c r="CJ625">
        <v>0</v>
      </c>
      <c r="CK625">
        <v>0</v>
      </c>
      <c r="CL625">
        <v>0</v>
      </c>
      <c r="CM625">
        <v>2</v>
      </c>
      <c r="CN625">
        <v>0</v>
      </c>
      <c r="CO625">
        <v>7</v>
      </c>
      <c r="CP625" t="s">
        <v>121</v>
      </c>
      <c r="CQ625">
        <v>580</v>
      </c>
      <c r="CR625">
        <v>0</v>
      </c>
      <c r="CW625">
        <v>431972</v>
      </c>
      <c r="CY625">
        <v>0</v>
      </c>
      <c r="CZ625">
        <v>0</v>
      </c>
      <c r="DA625">
        <v>0</v>
      </c>
      <c r="DB625">
        <v>1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</row>
    <row r="626" spans="1:113" x14ac:dyDescent="0.3">
      <c r="A626" t="str">
        <f>"06/16/2022 19:13:43.025"</f>
        <v>06/16/2022 19:13:43.025</v>
      </c>
      <c r="C626" t="str">
        <f t="shared" si="30"/>
        <v>FFBF5BC0</v>
      </c>
      <c r="D626" t="s">
        <v>113</v>
      </c>
      <c r="E626">
        <v>8</v>
      </c>
      <c r="H626">
        <v>206</v>
      </c>
      <c r="I626" t="s">
        <v>114</v>
      </c>
      <c r="J626" t="s">
        <v>115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>"19:13:42.805"</f>
        <v>19:13:42.805</v>
      </c>
      <c r="T626" t="str">
        <f>"19:13:42.805"</f>
        <v>19:13:42.805</v>
      </c>
      <c r="U626" t="str">
        <f t="shared" si="28"/>
        <v>AB63B2</v>
      </c>
      <c r="V626">
        <v>0</v>
      </c>
      <c r="W626">
        <v>0</v>
      </c>
      <c r="X626">
        <v>6</v>
      </c>
      <c r="Z626">
        <v>0</v>
      </c>
      <c r="AA626">
        <v>9</v>
      </c>
      <c r="AB626">
        <v>3</v>
      </c>
      <c r="AC626">
        <v>0</v>
      </c>
      <c r="AD626">
        <v>10</v>
      </c>
      <c r="AE626">
        <v>0</v>
      </c>
      <c r="AF626">
        <v>0</v>
      </c>
      <c r="AG626">
        <v>2</v>
      </c>
      <c r="AH626">
        <v>0</v>
      </c>
      <c r="AI626" t="s">
        <v>625</v>
      </c>
      <c r="AJ626">
        <v>41.970263000000003</v>
      </c>
      <c r="AK626" t="s">
        <v>626</v>
      </c>
      <c r="AL626">
        <v>-87.896118000000001</v>
      </c>
      <c r="AS626">
        <v>1</v>
      </c>
      <c r="AT626" t="s">
        <v>118</v>
      </c>
      <c r="AU626" t="b">
        <v>1</v>
      </c>
      <c r="AV626">
        <v>112.5</v>
      </c>
      <c r="AW626">
        <v>9.625</v>
      </c>
      <c r="AX626">
        <v>1</v>
      </c>
      <c r="AZ626">
        <v>7205</v>
      </c>
      <c r="BA626">
        <v>1</v>
      </c>
      <c r="BB626" t="str">
        <f t="shared" si="29"/>
        <v xml:space="preserve">KAP400  </v>
      </c>
      <c r="BC626">
        <v>1</v>
      </c>
      <c r="BE626">
        <v>0</v>
      </c>
      <c r="BF626">
        <v>0</v>
      </c>
      <c r="BG626">
        <v>0</v>
      </c>
      <c r="BI626">
        <v>1</v>
      </c>
      <c r="BJ626">
        <v>1</v>
      </c>
      <c r="BK626">
        <v>1</v>
      </c>
      <c r="BL626">
        <v>0</v>
      </c>
      <c r="BO626">
        <v>0</v>
      </c>
      <c r="BP626">
        <v>0</v>
      </c>
      <c r="BW626" t="str">
        <f>"19:13:42.812"</f>
        <v>19:13:42.812</v>
      </c>
      <c r="BX626" t="s">
        <v>119</v>
      </c>
      <c r="BY626" t="s">
        <v>120</v>
      </c>
      <c r="CJ626">
        <v>0</v>
      </c>
      <c r="CK626">
        <v>0</v>
      </c>
      <c r="CL626">
        <v>0</v>
      </c>
      <c r="CM626">
        <v>2</v>
      </c>
      <c r="CN626">
        <v>0</v>
      </c>
      <c r="CO626">
        <v>7</v>
      </c>
      <c r="CP626" t="s">
        <v>121</v>
      </c>
      <c r="CQ626">
        <v>580</v>
      </c>
      <c r="CR626">
        <v>0</v>
      </c>
      <c r="CW626">
        <v>434566</v>
      </c>
      <c r="CY626">
        <v>0</v>
      </c>
      <c r="CZ626">
        <v>0</v>
      </c>
      <c r="DA626">
        <v>0</v>
      </c>
      <c r="DB626">
        <v>1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</row>
    <row r="627" spans="1:113" x14ac:dyDescent="0.3">
      <c r="A627" t="str">
        <f>"06/16/2022 19:13:44.135"</f>
        <v>06/16/2022 19:13:44.135</v>
      </c>
      <c r="C627" t="str">
        <f t="shared" si="30"/>
        <v>FFBF5BC0</v>
      </c>
      <c r="D627" t="s">
        <v>113</v>
      </c>
      <c r="E627">
        <v>8</v>
      </c>
      <c r="H627">
        <v>206</v>
      </c>
      <c r="I627" t="s">
        <v>114</v>
      </c>
      <c r="J627" t="s">
        <v>115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>"19:13:43.828"</f>
        <v>19:13:43.828</v>
      </c>
      <c r="T627" t="str">
        <f>"19:13:43.828"</f>
        <v>19:13:43.828</v>
      </c>
      <c r="U627" t="str">
        <f t="shared" si="28"/>
        <v>AB63B2</v>
      </c>
      <c r="V627">
        <v>0</v>
      </c>
      <c r="W627">
        <v>0</v>
      </c>
      <c r="X627">
        <v>6</v>
      </c>
      <c r="Z627">
        <v>0</v>
      </c>
      <c r="AA627">
        <v>9</v>
      </c>
      <c r="AB627">
        <v>3</v>
      </c>
      <c r="AC627">
        <v>0</v>
      </c>
      <c r="AD627">
        <v>10</v>
      </c>
      <c r="AE627">
        <v>0</v>
      </c>
      <c r="AF627">
        <v>0</v>
      </c>
      <c r="AG627">
        <v>2</v>
      </c>
      <c r="AH627">
        <v>0</v>
      </c>
      <c r="AI627" t="s">
        <v>627</v>
      </c>
      <c r="AJ627">
        <v>41.970219999999998</v>
      </c>
      <c r="AK627" t="s">
        <v>628</v>
      </c>
      <c r="AL627">
        <v>-87.896074999999996</v>
      </c>
      <c r="AS627">
        <v>1</v>
      </c>
      <c r="AT627" t="s">
        <v>118</v>
      </c>
      <c r="AU627" t="b">
        <v>1</v>
      </c>
      <c r="AV627">
        <v>112.5</v>
      </c>
      <c r="AW627">
        <v>9.625</v>
      </c>
      <c r="AX627">
        <v>1</v>
      </c>
      <c r="AZ627">
        <v>7205</v>
      </c>
      <c r="BA627">
        <v>1</v>
      </c>
      <c r="BB627" t="str">
        <f t="shared" si="29"/>
        <v xml:space="preserve">KAP400  </v>
      </c>
      <c r="BC627">
        <v>1</v>
      </c>
      <c r="BE627">
        <v>0</v>
      </c>
      <c r="BF627">
        <v>0</v>
      </c>
      <c r="BG627">
        <v>0</v>
      </c>
      <c r="BI627">
        <v>1</v>
      </c>
      <c r="BJ627">
        <v>1</v>
      </c>
      <c r="BK627">
        <v>1</v>
      </c>
      <c r="BL627">
        <v>0</v>
      </c>
      <c r="BO627">
        <v>0</v>
      </c>
      <c r="BP627">
        <v>0</v>
      </c>
      <c r="BW627" t="str">
        <f>"19:13:43.832"</f>
        <v>19:13:43.832</v>
      </c>
      <c r="BX627" t="s">
        <v>119</v>
      </c>
      <c r="BY627" t="s">
        <v>120</v>
      </c>
      <c r="CJ627">
        <v>0</v>
      </c>
      <c r="CK627">
        <v>0</v>
      </c>
      <c r="CL627">
        <v>0</v>
      </c>
      <c r="CM627">
        <v>2</v>
      </c>
      <c r="CN627">
        <v>0</v>
      </c>
      <c r="CO627">
        <v>7</v>
      </c>
      <c r="CP627" t="s">
        <v>121</v>
      </c>
      <c r="CQ627">
        <v>579</v>
      </c>
      <c r="CR627">
        <v>0</v>
      </c>
      <c r="CW627">
        <v>1540731</v>
      </c>
      <c r="CY627">
        <v>0</v>
      </c>
      <c r="CZ627">
        <v>0</v>
      </c>
      <c r="DA627">
        <v>0</v>
      </c>
      <c r="DB627">
        <v>1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</row>
    <row r="628" spans="1:113" x14ac:dyDescent="0.3">
      <c r="A628" t="str">
        <f>"06/16/2022 19:13:45.104"</f>
        <v>06/16/2022 19:13:45.104</v>
      </c>
      <c r="C628" t="str">
        <f t="shared" si="30"/>
        <v>FFBF5BC0</v>
      </c>
      <c r="D628" t="s">
        <v>113</v>
      </c>
      <c r="E628">
        <v>8</v>
      </c>
      <c r="H628">
        <v>206</v>
      </c>
      <c r="I628" t="s">
        <v>114</v>
      </c>
      <c r="J628" t="s">
        <v>115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>"19:13:44.836"</f>
        <v>19:13:44.836</v>
      </c>
      <c r="T628" t="str">
        <f>"19:13:44.836"</f>
        <v>19:13:44.836</v>
      </c>
      <c r="U628" t="str">
        <f t="shared" si="28"/>
        <v>AB63B2</v>
      </c>
      <c r="V628">
        <v>0</v>
      </c>
      <c r="W628">
        <v>0</v>
      </c>
      <c r="X628">
        <v>6</v>
      </c>
      <c r="Z628">
        <v>0</v>
      </c>
      <c r="AA628">
        <v>9</v>
      </c>
      <c r="AB628">
        <v>3</v>
      </c>
      <c r="AC628">
        <v>0</v>
      </c>
      <c r="AD628">
        <v>10</v>
      </c>
      <c r="AE628">
        <v>0</v>
      </c>
      <c r="AF628">
        <v>0</v>
      </c>
      <c r="AG628">
        <v>2</v>
      </c>
      <c r="AH628">
        <v>0</v>
      </c>
      <c r="AI628" t="s">
        <v>627</v>
      </c>
      <c r="AJ628">
        <v>41.970219999999998</v>
      </c>
      <c r="AK628" t="s">
        <v>629</v>
      </c>
      <c r="AL628">
        <v>-87.896032000000005</v>
      </c>
      <c r="AS628">
        <v>1</v>
      </c>
      <c r="AT628" t="s">
        <v>118</v>
      </c>
      <c r="AU628" t="b">
        <v>1</v>
      </c>
      <c r="AV628">
        <v>115.31</v>
      </c>
      <c r="AW628">
        <v>9.125</v>
      </c>
      <c r="AX628">
        <v>1</v>
      </c>
      <c r="AZ628">
        <v>7205</v>
      </c>
      <c r="BA628">
        <v>1</v>
      </c>
      <c r="BB628" t="str">
        <f t="shared" si="29"/>
        <v xml:space="preserve">KAP400  </v>
      </c>
      <c r="BC628">
        <v>1</v>
      </c>
      <c r="BE628">
        <v>0</v>
      </c>
      <c r="BF628">
        <v>0</v>
      </c>
      <c r="BG628">
        <v>0</v>
      </c>
      <c r="BI628">
        <v>1</v>
      </c>
      <c r="BJ628">
        <v>1</v>
      </c>
      <c r="BK628">
        <v>1</v>
      </c>
      <c r="BL628">
        <v>0</v>
      </c>
      <c r="BO628">
        <v>0</v>
      </c>
      <c r="BP628">
        <v>0</v>
      </c>
      <c r="BW628" t="str">
        <f>"19:13:44.838"</f>
        <v>19:13:44.838</v>
      </c>
      <c r="BX628" t="s">
        <v>119</v>
      </c>
      <c r="BY628" t="s">
        <v>120</v>
      </c>
      <c r="CJ628">
        <v>0</v>
      </c>
      <c r="CK628">
        <v>0</v>
      </c>
      <c r="CL628">
        <v>0</v>
      </c>
      <c r="CM628">
        <v>2</v>
      </c>
      <c r="CN628">
        <v>0</v>
      </c>
      <c r="CO628">
        <v>6</v>
      </c>
      <c r="CP628" t="s">
        <v>121</v>
      </c>
      <c r="CQ628">
        <v>580</v>
      </c>
      <c r="CR628">
        <v>0</v>
      </c>
      <c r="CW628">
        <v>438247</v>
      </c>
      <c r="CY628">
        <v>0</v>
      </c>
      <c r="CZ628">
        <v>0</v>
      </c>
      <c r="DA628">
        <v>0</v>
      </c>
      <c r="DB628">
        <v>1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</row>
    <row r="629" spans="1:113" x14ac:dyDescent="0.3">
      <c r="A629" t="str">
        <f>"06/16/2022 19:13:46.182"</f>
        <v>06/16/2022 19:13:46.182</v>
      </c>
      <c r="C629" t="str">
        <f t="shared" si="30"/>
        <v>FFBF5BC0</v>
      </c>
      <c r="D629" t="s">
        <v>113</v>
      </c>
      <c r="E629">
        <v>8</v>
      </c>
      <c r="H629">
        <v>206</v>
      </c>
      <c r="I629" t="s">
        <v>114</v>
      </c>
      <c r="J629" t="s">
        <v>115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>"19:13:45.875"</f>
        <v>19:13:45.875</v>
      </c>
      <c r="T629" t="str">
        <f>"19:13:45.875"</f>
        <v>19:13:45.875</v>
      </c>
      <c r="U629" t="str">
        <f t="shared" si="28"/>
        <v>AB63B2</v>
      </c>
      <c r="V629">
        <v>0</v>
      </c>
      <c r="W629">
        <v>0</v>
      </c>
      <c r="X629">
        <v>6</v>
      </c>
      <c r="Z629">
        <v>0</v>
      </c>
      <c r="AA629">
        <v>9</v>
      </c>
      <c r="AB629">
        <v>3</v>
      </c>
      <c r="AC629">
        <v>0</v>
      </c>
      <c r="AD629">
        <v>10</v>
      </c>
      <c r="AE629">
        <v>0</v>
      </c>
      <c r="AF629">
        <v>0</v>
      </c>
      <c r="AG629">
        <v>2</v>
      </c>
      <c r="AH629">
        <v>0</v>
      </c>
      <c r="AI629" t="s">
        <v>630</v>
      </c>
      <c r="AJ629">
        <v>41.970198000000003</v>
      </c>
      <c r="AK629" t="s">
        <v>631</v>
      </c>
      <c r="AL629">
        <v>-87.895967999999996</v>
      </c>
      <c r="AS629">
        <v>1</v>
      </c>
      <c r="AT629" t="s">
        <v>118</v>
      </c>
      <c r="AU629" t="b">
        <v>1</v>
      </c>
      <c r="AV629">
        <v>118.13</v>
      </c>
      <c r="AW629">
        <v>9.125</v>
      </c>
      <c r="AX629">
        <v>1</v>
      </c>
      <c r="AZ629">
        <v>7205</v>
      </c>
      <c r="BA629">
        <v>1</v>
      </c>
      <c r="BB629" t="str">
        <f t="shared" si="29"/>
        <v xml:space="preserve">KAP400  </v>
      </c>
      <c r="BC629">
        <v>1</v>
      </c>
      <c r="BE629">
        <v>0</v>
      </c>
      <c r="BF629">
        <v>0</v>
      </c>
      <c r="BG629">
        <v>0</v>
      </c>
      <c r="BI629">
        <v>1</v>
      </c>
      <c r="BJ629">
        <v>1</v>
      </c>
      <c r="BK629">
        <v>1</v>
      </c>
      <c r="BL629">
        <v>0</v>
      </c>
      <c r="BO629">
        <v>0</v>
      </c>
      <c r="BP629">
        <v>0</v>
      </c>
      <c r="BW629" t="str">
        <f>"19:13:45.877"</f>
        <v>19:13:45.877</v>
      </c>
      <c r="BX629" t="s">
        <v>119</v>
      </c>
      <c r="BY629" t="s">
        <v>120</v>
      </c>
      <c r="CJ629">
        <v>0</v>
      </c>
      <c r="CK629">
        <v>0</v>
      </c>
      <c r="CL629">
        <v>0</v>
      </c>
      <c r="CM629">
        <v>2</v>
      </c>
      <c r="CN629">
        <v>0</v>
      </c>
      <c r="CO629">
        <v>7</v>
      </c>
      <c r="CP629" t="s">
        <v>121</v>
      </c>
      <c r="CQ629">
        <v>580</v>
      </c>
      <c r="CR629">
        <v>0</v>
      </c>
      <c r="CW629">
        <v>440260</v>
      </c>
      <c r="CY629">
        <v>0</v>
      </c>
      <c r="CZ629">
        <v>0</v>
      </c>
      <c r="DA629">
        <v>0</v>
      </c>
      <c r="DB629">
        <v>1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</row>
    <row r="630" spans="1:113" x14ac:dyDescent="0.3">
      <c r="A630" t="str">
        <f>"06/16/2022 19:13:47.127"</f>
        <v>06/16/2022 19:13:47.127</v>
      </c>
      <c r="C630" t="str">
        <f t="shared" si="30"/>
        <v>FFBF5BC0</v>
      </c>
      <c r="D630" t="s">
        <v>113</v>
      </c>
      <c r="E630">
        <v>8</v>
      </c>
      <c r="H630">
        <v>206</v>
      </c>
      <c r="I630" t="s">
        <v>114</v>
      </c>
      <c r="J630" t="s">
        <v>115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>"19:13:46.867"</f>
        <v>19:13:46.867</v>
      </c>
      <c r="T630" t="str">
        <f>"19:13:46.867"</f>
        <v>19:13:46.867</v>
      </c>
      <c r="U630" t="str">
        <f t="shared" si="28"/>
        <v>AB63B2</v>
      </c>
      <c r="V630">
        <v>0</v>
      </c>
      <c r="W630">
        <v>0</v>
      </c>
      <c r="X630">
        <v>6</v>
      </c>
      <c r="Z630">
        <v>0</v>
      </c>
      <c r="AA630">
        <v>9</v>
      </c>
      <c r="AB630">
        <v>3</v>
      </c>
      <c r="AC630">
        <v>0</v>
      </c>
      <c r="AD630">
        <v>10</v>
      </c>
      <c r="AE630">
        <v>0</v>
      </c>
      <c r="AF630">
        <v>0</v>
      </c>
      <c r="AG630">
        <v>2</v>
      </c>
      <c r="AH630">
        <v>0</v>
      </c>
      <c r="AI630" t="s">
        <v>632</v>
      </c>
      <c r="AJ630">
        <v>41.970177</v>
      </c>
      <c r="AK630" t="s">
        <v>633</v>
      </c>
      <c r="AL630">
        <v>-87.895925000000005</v>
      </c>
      <c r="AS630">
        <v>1</v>
      </c>
      <c r="AT630" t="s">
        <v>118</v>
      </c>
      <c r="AU630" t="b">
        <v>1</v>
      </c>
      <c r="AV630">
        <v>118.13</v>
      </c>
      <c r="AW630">
        <v>8.625</v>
      </c>
      <c r="AX630">
        <v>1</v>
      </c>
      <c r="AZ630">
        <v>7205</v>
      </c>
      <c r="BA630">
        <v>1</v>
      </c>
      <c r="BB630" t="str">
        <f t="shared" si="29"/>
        <v xml:space="preserve">KAP400  </v>
      </c>
      <c r="BC630">
        <v>1</v>
      </c>
      <c r="BE630">
        <v>0</v>
      </c>
      <c r="BF630">
        <v>0</v>
      </c>
      <c r="BG630">
        <v>0</v>
      </c>
      <c r="BI630">
        <v>1</v>
      </c>
      <c r="BJ630">
        <v>1</v>
      </c>
      <c r="BK630">
        <v>1</v>
      </c>
      <c r="BL630">
        <v>0</v>
      </c>
      <c r="BO630">
        <v>0</v>
      </c>
      <c r="BP630">
        <v>0</v>
      </c>
      <c r="BW630" t="str">
        <f>"19:13:46.872"</f>
        <v>19:13:46.872</v>
      </c>
      <c r="BX630" t="s">
        <v>119</v>
      </c>
      <c r="BY630" t="s">
        <v>120</v>
      </c>
      <c r="CJ630">
        <v>0</v>
      </c>
      <c r="CK630">
        <v>0</v>
      </c>
      <c r="CL630">
        <v>0</v>
      </c>
      <c r="CM630">
        <v>2</v>
      </c>
      <c r="CN630">
        <v>0</v>
      </c>
      <c r="CO630">
        <v>6</v>
      </c>
      <c r="CP630" t="s">
        <v>121</v>
      </c>
      <c r="CQ630">
        <v>579</v>
      </c>
      <c r="CR630">
        <v>0</v>
      </c>
      <c r="CW630">
        <v>1546884</v>
      </c>
      <c r="CY630">
        <v>0</v>
      </c>
      <c r="CZ630">
        <v>0</v>
      </c>
      <c r="DA630">
        <v>0</v>
      </c>
      <c r="DB630">
        <v>1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</row>
    <row r="631" spans="1:113" x14ac:dyDescent="0.3">
      <c r="A631" t="str">
        <f>"06/16/2022 19:13:48.112"</f>
        <v>06/16/2022 19:13:48.112</v>
      </c>
      <c r="C631" t="str">
        <f t="shared" si="30"/>
        <v>FFBF5BC0</v>
      </c>
      <c r="D631" t="s">
        <v>113</v>
      </c>
      <c r="E631">
        <v>8</v>
      </c>
      <c r="H631">
        <v>206</v>
      </c>
      <c r="I631" t="s">
        <v>114</v>
      </c>
      <c r="J631" t="s">
        <v>115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>"19:13:47.789"</f>
        <v>19:13:47.789</v>
      </c>
      <c r="T631" t="str">
        <f>"19:13:47.789"</f>
        <v>19:13:47.789</v>
      </c>
      <c r="U631" t="str">
        <f t="shared" si="28"/>
        <v>AB63B2</v>
      </c>
      <c r="V631">
        <v>0</v>
      </c>
      <c r="W631">
        <v>0</v>
      </c>
      <c r="X631">
        <v>6</v>
      </c>
      <c r="Z631">
        <v>0</v>
      </c>
      <c r="AA631">
        <v>9</v>
      </c>
      <c r="AB631">
        <v>3</v>
      </c>
      <c r="AC631">
        <v>0</v>
      </c>
      <c r="AD631">
        <v>10</v>
      </c>
      <c r="AE631">
        <v>0</v>
      </c>
      <c r="AF631">
        <v>0</v>
      </c>
      <c r="AG631">
        <v>2</v>
      </c>
      <c r="AH631">
        <v>0</v>
      </c>
      <c r="AI631" t="s">
        <v>632</v>
      </c>
      <c r="AJ631">
        <v>41.970177</v>
      </c>
      <c r="AK631" t="s">
        <v>418</v>
      </c>
      <c r="AL631">
        <v>-87.895882</v>
      </c>
      <c r="AS631">
        <v>1</v>
      </c>
      <c r="AT631" t="s">
        <v>118</v>
      </c>
      <c r="AU631" t="b">
        <v>1</v>
      </c>
      <c r="AV631">
        <v>120.94</v>
      </c>
      <c r="AW631">
        <v>8.125</v>
      </c>
      <c r="AX631">
        <v>1</v>
      </c>
      <c r="AZ631">
        <v>7205</v>
      </c>
      <c r="BA631">
        <v>1</v>
      </c>
      <c r="BB631" t="str">
        <f t="shared" si="29"/>
        <v xml:space="preserve">KAP400  </v>
      </c>
      <c r="BC631">
        <v>1</v>
      </c>
      <c r="BE631">
        <v>0</v>
      </c>
      <c r="BF631">
        <v>0</v>
      </c>
      <c r="BG631">
        <v>0</v>
      </c>
      <c r="BI631">
        <v>1</v>
      </c>
      <c r="BJ631">
        <v>1</v>
      </c>
      <c r="BK631">
        <v>1</v>
      </c>
      <c r="BL631">
        <v>0</v>
      </c>
      <c r="BO631">
        <v>0</v>
      </c>
      <c r="BP631">
        <v>0</v>
      </c>
      <c r="BW631" t="str">
        <f>"19:13:47.789"</f>
        <v>19:13:47.789</v>
      </c>
      <c r="BX631" t="s">
        <v>119</v>
      </c>
      <c r="BY631" t="s">
        <v>120</v>
      </c>
      <c r="CJ631">
        <v>0</v>
      </c>
      <c r="CK631">
        <v>0</v>
      </c>
      <c r="CL631">
        <v>0</v>
      </c>
      <c r="CM631">
        <v>2</v>
      </c>
      <c r="CN631">
        <v>0</v>
      </c>
      <c r="CO631">
        <v>3</v>
      </c>
      <c r="CP631" t="s">
        <v>121</v>
      </c>
      <c r="CQ631">
        <v>582</v>
      </c>
      <c r="CR631">
        <v>0</v>
      </c>
      <c r="CW631">
        <v>6296529</v>
      </c>
      <c r="CY631">
        <v>0</v>
      </c>
      <c r="CZ631">
        <v>0</v>
      </c>
      <c r="DA631">
        <v>0</v>
      </c>
      <c r="DB631">
        <v>1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</row>
    <row r="632" spans="1:113" x14ac:dyDescent="0.3">
      <c r="A632" t="str">
        <f>"06/16/2022 19:13:49.143"</f>
        <v>06/16/2022 19:13:49.143</v>
      </c>
      <c r="C632" t="str">
        <f t="shared" si="30"/>
        <v>FFBF5BC0</v>
      </c>
      <c r="D632" t="s">
        <v>113</v>
      </c>
      <c r="E632">
        <v>8</v>
      </c>
      <c r="H632">
        <v>206</v>
      </c>
      <c r="I632" t="s">
        <v>114</v>
      </c>
      <c r="J632" t="s">
        <v>115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>"19:13:48.930"</f>
        <v>19:13:48.930</v>
      </c>
      <c r="T632" t="str">
        <f>"19:13:48.930"</f>
        <v>19:13:48.930</v>
      </c>
      <c r="U632" t="str">
        <f t="shared" si="28"/>
        <v>AB63B2</v>
      </c>
      <c r="V632">
        <v>0</v>
      </c>
      <c r="W632">
        <v>0</v>
      </c>
      <c r="X632">
        <v>6</v>
      </c>
      <c r="Z632">
        <v>0</v>
      </c>
      <c r="AA632">
        <v>9</v>
      </c>
      <c r="AB632">
        <v>3</v>
      </c>
      <c r="AC632">
        <v>0</v>
      </c>
      <c r="AD632">
        <v>10</v>
      </c>
      <c r="AE632">
        <v>0</v>
      </c>
      <c r="AF632">
        <v>0</v>
      </c>
      <c r="AG632">
        <v>2</v>
      </c>
      <c r="AH632">
        <v>0</v>
      </c>
      <c r="AI632" t="s">
        <v>634</v>
      </c>
      <c r="AJ632">
        <v>41.970134000000002</v>
      </c>
      <c r="AK632" t="s">
        <v>635</v>
      </c>
      <c r="AL632">
        <v>-87.895838999999995</v>
      </c>
      <c r="AS632">
        <v>1</v>
      </c>
      <c r="AT632" t="s">
        <v>118</v>
      </c>
      <c r="AU632" t="b">
        <v>1</v>
      </c>
      <c r="AV632">
        <v>123.75</v>
      </c>
      <c r="AW632">
        <v>7.625</v>
      </c>
      <c r="AX632">
        <v>1</v>
      </c>
      <c r="AZ632">
        <v>7205</v>
      </c>
      <c r="BA632">
        <v>1</v>
      </c>
      <c r="BB632" t="str">
        <f t="shared" si="29"/>
        <v xml:space="preserve">KAP400  </v>
      </c>
      <c r="BC632">
        <v>1</v>
      </c>
      <c r="BE632">
        <v>0</v>
      </c>
      <c r="BF632">
        <v>0</v>
      </c>
      <c r="BG632">
        <v>0</v>
      </c>
      <c r="BI632">
        <v>1</v>
      </c>
      <c r="BJ632">
        <v>1</v>
      </c>
      <c r="BK632">
        <v>1</v>
      </c>
      <c r="BL632">
        <v>0</v>
      </c>
      <c r="BO632">
        <v>0</v>
      </c>
      <c r="BP632">
        <v>0</v>
      </c>
      <c r="BW632" t="str">
        <f>"19:13:48.933"</f>
        <v>19:13:48.933</v>
      </c>
      <c r="BX632" t="s">
        <v>119</v>
      </c>
      <c r="BY632" t="s">
        <v>120</v>
      </c>
      <c r="CJ632">
        <v>0</v>
      </c>
      <c r="CK632">
        <v>0</v>
      </c>
      <c r="CL632">
        <v>0</v>
      </c>
      <c r="CM632">
        <v>2</v>
      </c>
      <c r="CN632">
        <v>0</v>
      </c>
      <c r="CO632">
        <v>7</v>
      </c>
      <c r="CP632" t="s">
        <v>121</v>
      </c>
      <c r="CQ632">
        <v>579</v>
      </c>
      <c r="CR632">
        <v>0</v>
      </c>
      <c r="CW632">
        <v>1550900</v>
      </c>
      <c r="CY632">
        <v>0</v>
      </c>
      <c r="CZ632">
        <v>0</v>
      </c>
      <c r="DA632">
        <v>0</v>
      </c>
      <c r="DB632">
        <v>1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</row>
    <row r="633" spans="1:113" x14ac:dyDescent="0.3">
      <c r="A633" t="str">
        <f>"06/16/2022 19:13:50.237"</f>
        <v>06/16/2022 19:13:50.237</v>
      </c>
      <c r="C633" t="str">
        <f t="shared" si="30"/>
        <v>FFBF5BC0</v>
      </c>
      <c r="D633" t="s">
        <v>113</v>
      </c>
      <c r="E633">
        <v>8</v>
      </c>
      <c r="H633">
        <v>206</v>
      </c>
      <c r="I633" t="s">
        <v>114</v>
      </c>
      <c r="J633" t="s">
        <v>115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>"19:13:49.961"</f>
        <v>19:13:49.961</v>
      </c>
      <c r="T633" t="str">
        <f>"19:13:49.961"</f>
        <v>19:13:49.961</v>
      </c>
      <c r="U633" t="str">
        <f t="shared" si="28"/>
        <v>AB63B2</v>
      </c>
      <c r="V633">
        <v>0</v>
      </c>
      <c r="W633">
        <v>0</v>
      </c>
      <c r="X633">
        <v>6</v>
      </c>
      <c r="Z633">
        <v>0</v>
      </c>
      <c r="AA633">
        <v>9</v>
      </c>
      <c r="AB633">
        <v>3</v>
      </c>
      <c r="AC633">
        <v>0</v>
      </c>
      <c r="AD633">
        <v>10</v>
      </c>
      <c r="AE633">
        <v>0</v>
      </c>
      <c r="AF633">
        <v>0</v>
      </c>
      <c r="AG633">
        <v>2</v>
      </c>
      <c r="AH633">
        <v>0</v>
      </c>
      <c r="AI633" t="s">
        <v>634</v>
      </c>
      <c r="AJ633">
        <v>41.970134000000002</v>
      </c>
      <c r="AK633" t="s">
        <v>636</v>
      </c>
      <c r="AL633">
        <v>-87.895796000000004</v>
      </c>
      <c r="AS633">
        <v>1</v>
      </c>
      <c r="AT633" t="s">
        <v>118</v>
      </c>
      <c r="AU633" t="b">
        <v>1</v>
      </c>
      <c r="AV633">
        <v>129.38</v>
      </c>
      <c r="AW633">
        <v>7.625</v>
      </c>
      <c r="AX633">
        <v>1</v>
      </c>
      <c r="AZ633">
        <v>7205</v>
      </c>
      <c r="BA633">
        <v>1</v>
      </c>
      <c r="BB633" t="str">
        <f t="shared" si="29"/>
        <v xml:space="preserve">KAP400  </v>
      </c>
      <c r="BC633">
        <v>1</v>
      </c>
      <c r="BE633">
        <v>0</v>
      </c>
      <c r="BF633">
        <v>0</v>
      </c>
      <c r="BG633">
        <v>0</v>
      </c>
      <c r="BI633">
        <v>1</v>
      </c>
      <c r="BJ633">
        <v>1</v>
      </c>
      <c r="BK633">
        <v>1</v>
      </c>
      <c r="BL633">
        <v>0</v>
      </c>
      <c r="BO633">
        <v>0</v>
      </c>
      <c r="BP633">
        <v>0</v>
      </c>
      <c r="BW633" t="str">
        <f>"19:13:49.965"</f>
        <v>19:13:49.965</v>
      </c>
      <c r="BX633" t="s">
        <v>119</v>
      </c>
      <c r="BY633" t="s">
        <v>120</v>
      </c>
      <c r="CJ633">
        <v>0</v>
      </c>
      <c r="CK633">
        <v>0</v>
      </c>
      <c r="CL633">
        <v>0</v>
      </c>
      <c r="CM633">
        <v>2</v>
      </c>
      <c r="CN633">
        <v>0</v>
      </c>
      <c r="CO633">
        <v>6</v>
      </c>
      <c r="CP633" t="s">
        <v>121</v>
      </c>
      <c r="CQ633">
        <v>579</v>
      </c>
      <c r="CR633">
        <v>0</v>
      </c>
      <c r="CW633">
        <v>1552996</v>
      </c>
      <c r="CY633">
        <v>0</v>
      </c>
      <c r="CZ633">
        <v>0</v>
      </c>
      <c r="DA633">
        <v>0</v>
      </c>
      <c r="DB633">
        <v>1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</row>
    <row r="634" spans="1:113" x14ac:dyDescent="0.3">
      <c r="A634" t="str">
        <f>"06/16/2022 19:13:51.221"</f>
        <v>06/16/2022 19:13:51.221</v>
      </c>
      <c r="C634" t="str">
        <f t="shared" si="30"/>
        <v>FFBF5BC0</v>
      </c>
      <c r="D634" t="s">
        <v>113</v>
      </c>
      <c r="E634">
        <v>8</v>
      </c>
      <c r="H634">
        <v>206</v>
      </c>
      <c r="I634" t="s">
        <v>114</v>
      </c>
      <c r="J634" t="s">
        <v>115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>"19:13:50.930"</f>
        <v>19:13:50.930</v>
      </c>
      <c r="T634" t="str">
        <f>"19:13:50.930"</f>
        <v>19:13:50.930</v>
      </c>
      <c r="U634" t="str">
        <f t="shared" si="28"/>
        <v>AB63B2</v>
      </c>
      <c r="V634">
        <v>0</v>
      </c>
      <c r="W634">
        <v>0</v>
      </c>
      <c r="X634">
        <v>6</v>
      </c>
      <c r="Z634">
        <v>0</v>
      </c>
      <c r="AA634">
        <v>9</v>
      </c>
      <c r="AB634">
        <v>3</v>
      </c>
      <c r="AC634">
        <v>0</v>
      </c>
      <c r="AD634">
        <v>10</v>
      </c>
      <c r="AE634">
        <v>0</v>
      </c>
      <c r="AF634">
        <v>0</v>
      </c>
      <c r="AG634">
        <v>2</v>
      </c>
      <c r="AH634">
        <v>0</v>
      </c>
      <c r="AI634" t="s">
        <v>637</v>
      </c>
      <c r="AJ634">
        <v>41.970112</v>
      </c>
      <c r="AK634" t="s">
        <v>638</v>
      </c>
      <c r="AL634">
        <v>-87.895752999999999</v>
      </c>
      <c r="AS634">
        <v>1</v>
      </c>
      <c r="AT634" t="s">
        <v>118</v>
      </c>
      <c r="AU634" t="b">
        <v>1</v>
      </c>
      <c r="AV634">
        <v>132.19</v>
      </c>
      <c r="AW634">
        <v>7.125</v>
      </c>
      <c r="AX634">
        <v>1</v>
      </c>
      <c r="AZ634">
        <v>7205</v>
      </c>
      <c r="BA634">
        <v>1</v>
      </c>
      <c r="BB634" t="str">
        <f t="shared" si="29"/>
        <v xml:space="preserve">KAP400  </v>
      </c>
      <c r="BC634">
        <v>1</v>
      </c>
      <c r="BE634">
        <v>0</v>
      </c>
      <c r="BF634">
        <v>0</v>
      </c>
      <c r="BG634">
        <v>0</v>
      </c>
      <c r="BI634">
        <v>1</v>
      </c>
      <c r="BJ634">
        <v>1</v>
      </c>
      <c r="BK634">
        <v>1</v>
      </c>
      <c r="BL634">
        <v>0</v>
      </c>
      <c r="BO634">
        <v>0</v>
      </c>
      <c r="BP634">
        <v>0</v>
      </c>
      <c r="BW634" t="str">
        <f>"19:13:50.937"</f>
        <v>19:13:50.937</v>
      </c>
      <c r="BX634" t="s">
        <v>119</v>
      </c>
      <c r="BY634" t="s">
        <v>120</v>
      </c>
      <c r="CJ634">
        <v>0</v>
      </c>
      <c r="CK634">
        <v>0</v>
      </c>
      <c r="CL634">
        <v>0</v>
      </c>
      <c r="CM634">
        <v>2</v>
      </c>
      <c r="CN634">
        <v>0</v>
      </c>
      <c r="CO634">
        <v>0</v>
      </c>
      <c r="CP634" t="s">
        <v>121</v>
      </c>
      <c r="CQ634">
        <v>579</v>
      </c>
      <c r="CR634">
        <v>0</v>
      </c>
      <c r="CW634">
        <v>1554906</v>
      </c>
      <c r="CY634">
        <v>0</v>
      </c>
      <c r="CZ634">
        <v>0</v>
      </c>
      <c r="DA634">
        <v>0</v>
      </c>
      <c r="DB634">
        <v>1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</row>
    <row r="635" spans="1:113" x14ac:dyDescent="0.3">
      <c r="A635" t="str">
        <f>"06/16/2022 19:13:52.018"</f>
        <v>06/16/2022 19:13:52.018</v>
      </c>
      <c r="C635" t="str">
        <f t="shared" si="30"/>
        <v>FFBF5BC0</v>
      </c>
      <c r="D635" t="s">
        <v>113</v>
      </c>
      <c r="E635">
        <v>8</v>
      </c>
      <c r="H635">
        <v>206</v>
      </c>
      <c r="I635" t="s">
        <v>114</v>
      </c>
      <c r="J635" t="s">
        <v>115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>"19:13:51.805"</f>
        <v>19:13:51.805</v>
      </c>
      <c r="T635" t="str">
        <f>"19:13:51.805"</f>
        <v>19:13:51.805</v>
      </c>
      <c r="U635" t="str">
        <f t="shared" si="28"/>
        <v>AB63B2</v>
      </c>
      <c r="V635">
        <v>0</v>
      </c>
      <c r="W635">
        <v>0</v>
      </c>
      <c r="X635">
        <v>6</v>
      </c>
      <c r="Z635">
        <v>0</v>
      </c>
      <c r="AA635">
        <v>9</v>
      </c>
      <c r="AB635">
        <v>3</v>
      </c>
      <c r="AC635">
        <v>0</v>
      </c>
      <c r="AD635">
        <v>10</v>
      </c>
      <c r="AE635">
        <v>0</v>
      </c>
      <c r="AF635">
        <v>0</v>
      </c>
      <c r="AG635">
        <v>2</v>
      </c>
      <c r="AH635">
        <v>0</v>
      </c>
      <c r="AI635" t="s">
        <v>639</v>
      </c>
      <c r="AJ635">
        <v>41.970090999999996</v>
      </c>
      <c r="AK635" t="s">
        <v>640</v>
      </c>
      <c r="AL635">
        <v>-87.895731999999995</v>
      </c>
      <c r="AS635">
        <v>1</v>
      </c>
      <c r="AT635" t="s">
        <v>118</v>
      </c>
      <c r="AU635" t="b">
        <v>1</v>
      </c>
      <c r="AV635">
        <v>137.81</v>
      </c>
      <c r="AW635">
        <v>6.625</v>
      </c>
      <c r="AX635">
        <v>1</v>
      </c>
      <c r="AZ635">
        <v>7205</v>
      </c>
      <c r="BA635">
        <v>1</v>
      </c>
      <c r="BB635" t="str">
        <f t="shared" si="29"/>
        <v xml:space="preserve">KAP400  </v>
      </c>
      <c r="BC635">
        <v>1</v>
      </c>
      <c r="BE635">
        <v>0</v>
      </c>
      <c r="BF635">
        <v>0</v>
      </c>
      <c r="BG635">
        <v>0</v>
      </c>
      <c r="BI635">
        <v>1</v>
      </c>
      <c r="BJ635">
        <v>1</v>
      </c>
      <c r="BK635">
        <v>1</v>
      </c>
      <c r="BL635">
        <v>0</v>
      </c>
      <c r="BO635">
        <v>0</v>
      </c>
      <c r="BP635">
        <v>0</v>
      </c>
      <c r="BW635" t="str">
        <f>"19:13:51.808"</f>
        <v>19:13:51.808</v>
      </c>
      <c r="BX635" t="s">
        <v>119</v>
      </c>
      <c r="BY635" t="s">
        <v>120</v>
      </c>
      <c r="CJ635">
        <v>0</v>
      </c>
      <c r="CK635">
        <v>0</v>
      </c>
      <c r="CL635">
        <v>0</v>
      </c>
      <c r="CM635">
        <v>2</v>
      </c>
      <c r="CN635">
        <v>0</v>
      </c>
      <c r="CO635">
        <v>6</v>
      </c>
      <c r="CP635" t="s">
        <v>121</v>
      </c>
      <c r="CQ635">
        <v>579</v>
      </c>
      <c r="CR635">
        <v>0</v>
      </c>
      <c r="CW635">
        <v>1556559</v>
      </c>
      <c r="CY635">
        <v>0</v>
      </c>
      <c r="CZ635">
        <v>0</v>
      </c>
      <c r="DA635">
        <v>0</v>
      </c>
      <c r="DB635">
        <v>1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</row>
    <row r="636" spans="1:113" x14ac:dyDescent="0.3">
      <c r="A636" t="str">
        <f>"06/16/2022 19:13:53.268"</f>
        <v>06/16/2022 19:13:53.268</v>
      </c>
      <c r="C636" t="str">
        <f t="shared" si="30"/>
        <v>FFBF5BC0</v>
      </c>
      <c r="D636" t="s">
        <v>113</v>
      </c>
      <c r="E636">
        <v>8</v>
      </c>
      <c r="H636">
        <v>206</v>
      </c>
      <c r="I636" t="s">
        <v>114</v>
      </c>
      <c r="J636" t="s">
        <v>115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>"19:13:52.914"</f>
        <v>19:13:52.914</v>
      </c>
      <c r="T636" t="str">
        <f>"19:13:52.914"</f>
        <v>19:13:52.914</v>
      </c>
      <c r="U636" t="str">
        <f t="shared" si="28"/>
        <v>AB63B2</v>
      </c>
      <c r="V636">
        <v>0</v>
      </c>
      <c r="W636">
        <v>0</v>
      </c>
      <c r="X636">
        <v>6</v>
      </c>
      <c r="Z636">
        <v>0</v>
      </c>
      <c r="AA636">
        <v>9</v>
      </c>
      <c r="AB636">
        <v>3</v>
      </c>
      <c r="AC636">
        <v>0</v>
      </c>
      <c r="AD636">
        <v>10</v>
      </c>
      <c r="AE636">
        <v>0</v>
      </c>
      <c r="AF636">
        <v>0</v>
      </c>
      <c r="AG636">
        <v>2</v>
      </c>
      <c r="AH636">
        <v>0</v>
      </c>
      <c r="AI636" t="s">
        <v>641</v>
      </c>
      <c r="AJ636">
        <v>41.970069000000002</v>
      </c>
      <c r="AK636" t="s">
        <v>642</v>
      </c>
      <c r="AL636">
        <v>-87.895709999999994</v>
      </c>
      <c r="AS636">
        <v>1</v>
      </c>
      <c r="AT636" t="s">
        <v>118</v>
      </c>
      <c r="AU636" t="b">
        <v>1</v>
      </c>
      <c r="AV636">
        <v>140.63</v>
      </c>
      <c r="AW636">
        <v>5.625</v>
      </c>
      <c r="AX636">
        <v>1</v>
      </c>
      <c r="AZ636">
        <v>7205</v>
      </c>
      <c r="BA636">
        <v>1</v>
      </c>
      <c r="BB636" t="str">
        <f t="shared" si="29"/>
        <v xml:space="preserve">KAP400  </v>
      </c>
      <c r="BC636">
        <v>1</v>
      </c>
      <c r="BE636">
        <v>0</v>
      </c>
      <c r="BF636">
        <v>0</v>
      </c>
      <c r="BG636">
        <v>0</v>
      </c>
      <c r="BI636">
        <v>1</v>
      </c>
      <c r="BJ636">
        <v>1</v>
      </c>
      <c r="BK636">
        <v>1</v>
      </c>
      <c r="BL636">
        <v>0</v>
      </c>
      <c r="BO636">
        <v>0</v>
      </c>
      <c r="BP636">
        <v>0</v>
      </c>
      <c r="BW636" t="str">
        <f>"19:13:52.914"</f>
        <v>19:13:52.914</v>
      </c>
      <c r="BX636" t="s">
        <v>119</v>
      </c>
      <c r="BY636" t="s">
        <v>120</v>
      </c>
      <c r="CJ636">
        <v>0</v>
      </c>
      <c r="CK636">
        <v>0</v>
      </c>
      <c r="CL636">
        <v>0</v>
      </c>
      <c r="CM636">
        <v>2</v>
      </c>
      <c r="CN636">
        <v>0</v>
      </c>
      <c r="CO636">
        <v>6</v>
      </c>
      <c r="CP636" t="s">
        <v>121</v>
      </c>
      <c r="CQ636">
        <v>579</v>
      </c>
      <c r="CR636">
        <v>0</v>
      </c>
      <c r="CW636">
        <v>1558671</v>
      </c>
      <c r="CY636">
        <v>0</v>
      </c>
      <c r="CZ636">
        <v>0</v>
      </c>
      <c r="DA636">
        <v>0</v>
      </c>
      <c r="DB636">
        <v>1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</row>
    <row r="637" spans="1:113" x14ac:dyDescent="0.3">
      <c r="A637" t="str">
        <f>"06/16/2022 19:13:54.018"</f>
        <v>06/16/2022 19:13:54.018</v>
      </c>
      <c r="C637" t="str">
        <f t="shared" si="30"/>
        <v>FFBF5BC0</v>
      </c>
      <c r="D637" t="s">
        <v>113</v>
      </c>
      <c r="E637">
        <v>8</v>
      </c>
      <c r="H637">
        <v>206</v>
      </c>
      <c r="I637" t="s">
        <v>114</v>
      </c>
      <c r="J637" t="s">
        <v>115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>"19:13:53.852"</f>
        <v>19:13:53.852</v>
      </c>
      <c r="T637" t="str">
        <f>"19:13:53.852"</f>
        <v>19:13:53.852</v>
      </c>
      <c r="U637" t="str">
        <f t="shared" si="28"/>
        <v>AB63B2</v>
      </c>
      <c r="V637">
        <v>0</v>
      </c>
      <c r="W637">
        <v>0</v>
      </c>
      <c r="X637">
        <v>6</v>
      </c>
      <c r="Z637">
        <v>0</v>
      </c>
      <c r="AA637">
        <v>9</v>
      </c>
      <c r="AB637">
        <v>3</v>
      </c>
      <c r="AC637">
        <v>0</v>
      </c>
      <c r="AD637">
        <v>10</v>
      </c>
      <c r="AE637">
        <v>0</v>
      </c>
      <c r="AF637">
        <v>0</v>
      </c>
      <c r="AG637">
        <v>2</v>
      </c>
      <c r="AH637">
        <v>0</v>
      </c>
      <c r="AI637" t="s">
        <v>643</v>
      </c>
      <c r="AJ637">
        <v>41.970047999999998</v>
      </c>
      <c r="AK637" t="s">
        <v>644</v>
      </c>
      <c r="AL637">
        <v>-87.895689000000004</v>
      </c>
      <c r="AS637">
        <v>1</v>
      </c>
      <c r="AT637" t="s">
        <v>118</v>
      </c>
      <c r="AU637" t="b">
        <v>1</v>
      </c>
      <c r="AV637">
        <v>143.44</v>
      </c>
      <c r="AW637">
        <v>5.625</v>
      </c>
      <c r="AX637">
        <v>1</v>
      </c>
      <c r="AZ637">
        <v>7205</v>
      </c>
      <c r="BA637">
        <v>1</v>
      </c>
      <c r="BB637" t="str">
        <f t="shared" si="29"/>
        <v xml:space="preserve">KAP400  </v>
      </c>
      <c r="BC637">
        <v>1</v>
      </c>
      <c r="BE637">
        <v>0</v>
      </c>
      <c r="BF637">
        <v>0</v>
      </c>
      <c r="BG637">
        <v>0</v>
      </c>
      <c r="BI637">
        <v>1</v>
      </c>
      <c r="BJ637">
        <v>1</v>
      </c>
      <c r="BK637">
        <v>1</v>
      </c>
      <c r="BL637">
        <v>0</v>
      </c>
      <c r="BO637">
        <v>0</v>
      </c>
      <c r="BP637">
        <v>0</v>
      </c>
      <c r="BW637" t="str">
        <f>"19:13:53.855"</f>
        <v>19:13:53.855</v>
      </c>
      <c r="BX637" t="s">
        <v>119</v>
      </c>
      <c r="BY637" t="s">
        <v>120</v>
      </c>
      <c r="CJ637">
        <v>0</v>
      </c>
      <c r="CK637">
        <v>0</v>
      </c>
      <c r="CL637">
        <v>0</v>
      </c>
      <c r="CM637">
        <v>2</v>
      </c>
      <c r="CN637">
        <v>0</v>
      </c>
      <c r="CO637">
        <v>7</v>
      </c>
      <c r="CP637" t="s">
        <v>121</v>
      </c>
      <c r="CQ637">
        <v>579</v>
      </c>
      <c r="CR637">
        <v>0</v>
      </c>
      <c r="CW637">
        <v>1560445</v>
      </c>
      <c r="CY637">
        <v>0</v>
      </c>
      <c r="CZ637">
        <v>0</v>
      </c>
      <c r="DA637">
        <v>0</v>
      </c>
      <c r="DB637">
        <v>1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</row>
    <row r="638" spans="1:113" x14ac:dyDescent="0.3">
      <c r="A638" t="str">
        <f>"06/16/2022 19:13:55.129"</f>
        <v>06/16/2022 19:13:55.129</v>
      </c>
      <c r="C638" t="str">
        <f t="shared" si="30"/>
        <v>FFBF5BC0</v>
      </c>
      <c r="D638" t="s">
        <v>113</v>
      </c>
      <c r="E638">
        <v>8</v>
      </c>
      <c r="H638">
        <v>206</v>
      </c>
      <c r="I638" t="s">
        <v>114</v>
      </c>
      <c r="J638" t="s">
        <v>115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>"19:13:54.867"</f>
        <v>19:13:54.867</v>
      </c>
      <c r="T638" t="str">
        <f>"19:13:54.867"</f>
        <v>19:13:54.867</v>
      </c>
      <c r="U638" t="str">
        <f t="shared" si="28"/>
        <v>AB63B2</v>
      </c>
      <c r="V638">
        <v>0</v>
      </c>
      <c r="W638">
        <v>0</v>
      </c>
      <c r="X638">
        <v>6</v>
      </c>
      <c r="Z638">
        <v>0</v>
      </c>
      <c r="AA638">
        <v>9</v>
      </c>
      <c r="AB638">
        <v>3</v>
      </c>
      <c r="AC638">
        <v>0</v>
      </c>
      <c r="AD638">
        <v>10</v>
      </c>
      <c r="AE638">
        <v>0</v>
      </c>
      <c r="AF638">
        <v>0</v>
      </c>
      <c r="AG638">
        <v>2</v>
      </c>
      <c r="AH638">
        <v>0</v>
      </c>
      <c r="AI638" t="s">
        <v>643</v>
      </c>
      <c r="AJ638">
        <v>41.970047999999998</v>
      </c>
      <c r="AK638" t="s">
        <v>645</v>
      </c>
      <c r="AL638">
        <v>-87.895668000000001</v>
      </c>
      <c r="AS638">
        <v>1</v>
      </c>
      <c r="AT638" t="s">
        <v>118</v>
      </c>
      <c r="AU638" t="b">
        <v>1</v>
      </c>
      <c r="AV638">
        <v>146.25</v>
      </c>
      <c r="AW638">
        <v>5.125</v>
      </c>
      <c r="AX638">
        <v>1</v>
      </c>
      <c r="AZ638">
        <v>7205</v>
      </c>
      <c r="BA638">
        <v>1</v>
      </c>
      <c r="BB638" t="str">
        <f t="shared" si="29"/>
        <v xml:space="preserve">KAP400  </v>
      </c>
      <c r="BC638">
        <v>1</v>
      </c>
      <c r="BE638">
        <v>0</v>
      </c>
      <c r="BF638">
        <v>0</v>
      </c>
      <c r="BG638">
        <v>0</v>
      </c>
      <c r="BI638">
        <v>1</v>
      </c>
      <c r="BJ638">
        <v>1</v>
      </c>
      <c r="BK638">
        <v>1</v>
      </c>
      <c r="BL638">
        <v>0</v>
      </c>
      <c r="BO638">
        <v>0</v>
      </c>
      <c r="BP638">
        <v>0</v>
      </c>
      <c r="BW638" t="str">
        <f>"19:13:54.869"</f>
        <v>19:13:54.869</v>
      </c>
      <c r="BX638" t="s">
        <v>119</v>
      </c>
      <c r="BY638" t="s">
        <v>120</v>
      </c>
      <c r="CJ638">
        <v>0</v>
      </c>
      <c r="CK638">
        <v>0</v>
      </c>
      <c r="CL638">
        <v>0</v>
      </c>
      <c r="CM638">
        <v>2</v>
      </c>
      <c r="CN638">
        <v>0</v>
      </c>
      <c r="CO638">
        <v>7</v>
      </c>
      <c r="CP638" t="s">
        <v>121</v>
      </c>
      <c r="CQ638">
        <v>580</v>
      </c>
      <c r="CR638">
        <v>0</v>
      </c>
      <c r="CW638">
        <v>457193</v>
      </c>
      <c r="CY638">
        <v>0</v>
      </c>
      <c r="CZ638">
        <v>0</v>
      </c>
      <c r="DA638">
        <v>0</v>
      </c>
      <c r="DB638">
        <v>1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</row>
    <row r="639" spans="1:113" x14ac:dyDescent="0.3">
      <c r="A639" t="str">
        <f>"06/16/2022 19:13:56.050"</f>
        <v>06/16/2022 19:13:56.050</v>
      </c>
      <c r="C639" t="str">
        <f t="shared" si="30"/>
        <v>FFBF5BC0</v>
      </c>
      <c r="D639" t="s">
        <v>113</v>
      </c>
      <c r="E639">
        <v>8</v>
      </c>
      <c r="H639">
        <v>206</v>
      </c>
      <c r="I639" t="s">
        <v>114</v>
      </c>
      <c r="J639" t="s">
        <v>115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>"19:13:55.813"</f>
        <v>19:13:55.813</v>
      </c>
      <c r="T639" t="str">
        <f>"19:13:55.813"</f>
        <v>19:13:55.813</v>
      </c>
      <c r="U639" t="str">
        <f t="shared" si="28"/>
        <v>AB63B2</v>
      </c>
      <c r="V639">
        <v>0</v>
      </c>
      <c r="W639">
        <v>0</v>
      </c>
      <c r="X639">
        <v>6</v>
      </c>
      <c r="Z639">
        <v>0</v>
      </c>
      <c r="AA639">
        <v>9</v>
      </c>
      <c r="AB639">
        <v>3</v>
      </c>
      <c r="AC639">
        <v>0</v>
      </c>
      <c r="AD639">
        <v>10</v>
      </c>
      <c r="AE639">
        <v>0</v>
      </c>
      <c r="AF639">
        <v>0</v>
      </c>
      <c r="AG639">
        <v>2</v>
      </c>
      <c r="AH639">
        <v>0</v>
      </c>
      <c r="AI639" t="s">
        <v>646</v>
      </c>
      <c r="AJ639">
        <v>41.970025999999997</v>
      </c>
      <c r="AK639" t="s">
        <v>647</v>
      </c>
      <c r="AL639">
        <v>-87.895645999999999</v>
      </c>
      <c r="AS639">
        <v>1</v>
      </c>
      <c r="AT639" t="s">
        <v>118</v>
      </c>
      <c r="AU639" t="b">
        <v>1</v>
      </c>
      <c r="AV639">
        <v>149.06</v>
      </c>
      <c r="AW639">
        <v>4.625</v>
      </c>
      <c r="AX639">
        <v>1</v>
      </c>
      <c r="AZ639">
        <v>7205</v>
      </c>
      <c r="BA639">
        <v>1</v>
      </c>
      <c r="BB639" t="str">
        <f t="shared" si="29"/>
        <v xml:space="preserve">KAP400  </v>
      </c>
      <c r="BC639">
        <v>1</v>
      </c>
      <c r="BE639">
        <v>0</v>
      </c>
      <c r="BF639">
        <v>0</v>
      </c>
      <c r="BG639">
        <v>0</v>
      </c>
      <c r="BI639">
        <v>1</v>
      </c>
      <c r="BJ639">
        <v>1</v>
      </c>
      <c r="BK639">
        <v>1</v>
      </c>
      <c r="BL639">
        <v>0</v>
      </c>
      <c r="BO639">
        <v>0</v>
      </c>
      <c r="BP639">
        <v>0</v>
      </c>
      <c r="BW639" t="str">
        <f>"19:13:55.814"</f>
        <v>19:13:55.814</v>
      </c>
      <c r="BX639" t="s">
        <v>119</v>
      </c>
      <c r="BY639" t="s">
        <v>120</v>
      </c>
      <c r="CJ639">
        <v>0</v>
      </c>
      <c r="CK639">
        <v>0</v>
      </c>
      <c r="CL639">
        <v>0</v>
      </c>
      <c r="CM639">
        <v>2</v>
      </c>
      <c r="CN639">
        <v>0</v>
      </c>
      <c r="CO639">
        <v>7</v>
      </c>
      <c r="CP639" t="s">
        <v>121</v>
      </c>
      <c r="CQ639">
        <v>580</v>
      </c>
      <c r="CR639">
        <v>0</v>
      </c>
      <c r="CW639">
        <v>458976</v>
      </c>
      <c r="CY639">
        <v>0</v>
      </c>
      <c r="CZ639">
        <v>0</v>
      </c>
      <c r="DA639">
        <v>0</v>
      </c>
      <c r="DB639">
        <v>1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</row>
    <row r="640" spans="1:113" x14ac:dyDescent="0.3">
      <c r="A640" t="str">
        <f>"06/16/2022 19:13:57.330"</f>
        <v>06/16/2022 19:13:57.330</v>
      </c>
      <c r="C640" t="str">
        <f t="shared" si="30"/>
        <v>FFBF5BC0</v>
      </c>
      <c r="D640" t="s">
        <v>113</v>
      </c>
      <c r="E640">
        <v>8</v>
      </c>
      <c r="H640">
        <v>206</v>
      </c>
      <c r="I640" t="s">
        <v>114</v>
      </c>
      <c r="J640" t="s">
        <v>115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>"19:13:57.078"</f>
        <v>19:13:57.078</v>
      </c>
      <c r="T640" t="str">
        <f>"19:13:57.078"</f>
        <v>19:13:57.078</v>
      </c>
      <c r="U640" t="str">
        <f t="shared" si="28"/>
        <v>AB63B2</v>
      </c>
      <c r="V640">
        <v>0</v>
      </c>
      <c r="W640">
        <v>0</v>
      </c>
      <c r="X640">
        <v>6</v>
      </c>
      <c r="Z640">
        <v>0</v>
      </c>
      <c r="AA640">
        <v>9</v>
      </c>
      <c r="AB640">
        <v>3</v>
      </c>
      <c r="AC640">
        <v>0</v>
      </c>
      <c r="AD640">
        <v>10</v>
      </c>
      <c r="AE640">
        <v>0</v>
      </c>
      <c r="AF640">
        <v>0</v>
      </c>
      <c r="AG640">
        <v>2</v>
      </c>
      <c r="AH640">
        <v>0</v>
      </c>
      <c r="AI640" t="s">
        <v>648</v>
      </c>
      <c r="AJ640">
        <v>41.970005</v>
      </c>
      <c r="AK640" t="s">
        <v>649</v>
      </c>
      <c r="AL640">
        <v>-87.895624999999995</v>
      </c>
      <c r="AS640">
        <v>1</v>
      </c>
      <c r="AT640" t="s">
        <v>118</v>
      </c>
      <c r="AU640" t="b">
        <v>1</v>
      </c>
      <c r="AV640">
        <v>151.88</v>
      </c>
      <c r="AW640">
        <v>5.125</v>
      </c>
      <c r="AX640">
        <v>1</v>
      </c>
      <c r="AZ640">
        <v>7205</v>
      </c>
      <c r="BA640">
        <v>1</v>
      </c>
      <c r="BB640" t="str">
        <f t="shared" si="29"/>
        <v xml:space="preserve">KAP400  </v>
      </c>
      <c r="BC640">
        <v>1</v>
      </c>
      <c r="BE640">
        <v>0</v>
      </c>
      <c r="BF640">
        <v>0</v>
      </c>
      <c r="BG640">
        <v>0</v>
      </c>
      <c r="BI640">
        <v>1</v>
      </c>
      <c r="BJ640">
        <v>1</v>
      </c>
      <c r="BK640">
        <v>1</v>
      </c>
      <c r="BL640">
        <v>0</v>
      </c>
      <c r="BO640">
        <v>0</v>
      </c>
      <c r="BP640">
        <v>0</v>
      </c>
      <c r="BW640" t="str">
        <f>"19:13:57.084"</f>
        <v>19:13:57.084</v>
      </c>
      <c r="BX640" t="s">
        <v>119</v>
      </c>
      <c r="BY640" t="s">
        <v>120</v>
      </c>
      <c r="CJ640">
        <v>0</v>
      </c>
      <c r="CK640">
        <v>0</v>
      </c>
      <c r="CL640">
        <v>0</v>
      </c>
      <c r="CM640">
        <v>2</v>
      </c>
      <c r="CN640">
        <v>0</v>
      </c>
      <c r="CO640">
        <v>7</v>
      </c>
      <c r="CP640" t="s">
        <v>121</v>
      </c>
      <c r="CQ640">
        <v>580</v>
      </c>
      <c r="CR640">
        <v>0</v>
      </c>
      <c r="CW640">
        <v>461382</v>
      </c>
      <c r="CY640">
        <v>0</v>
      </c>
      <c r="CZ640">
        <v>0</v>
      </c>
      <c r="DA640">
        <v>0</v>
      </c>
      <c r="DB640">
        <v>1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</row>
    <row r="641" spans="1:113" x14ac:dyDescent="0.3">
      <c r="A641" t="str">
        <f>"06/16/2022 19:13:58.284"</f>
        <v>06/16/2022 19:13:58.284</v>
      </c>
      <c r="C641" t="str">
        <f t="shared" si="30"/>
        <v>FFBF5BC0</v>
      </c>
      <c r="D641" t="s">
        <v>113</v>
      </c>
      <c r="E641">
        <v>8</v>
      </c>
      <c r="H641">
        <v>206</v>
      </c>
      <c r="I641" t="s">
        <v>114</v>
      </c>
      <c r="J641" t="s">
        <v>115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>"19:13:58.008"</f>
        <v>19:13:58.008</v>
      </c>
      <c r="T641" t="str">
        <f>"19:13:58.008"</f>
        <v>19:13:58.008</v>
      </c>
      <c r="U641" t="str">
        <f t="shared" si="28"/>
        <v>AB63B2</v>
      </c>
      <c r="V641">
        <v>0</v>
      </c>
      <c r="W641">
        <v>0</v>
      </c>
      <c r="X641">
        <v>6</v>
      </c>
      <c r="Z641">
        <v>0</v>
      </c>
      <c r="AA641">
        <v>9</v>
      </c>
      <c r="AB641">
        <v>3</v>
      </c>
      <c r="AC641">
        <v>0</v>
      </c>
      <c r="AD641">
        <v>10</v>
      </c>
      <c r="AE641">
        <v>0</v>
      </c>
      <c r="AF641">
        <v>0</v>
      </c>
      <c r="AG641">
        <v>2</v>
      </c>
      <c r="AH641">
        <v>0</v>
      </c>
      <c r="AI641" t="s">
        <v>650</v>
      </c>
      <c r="AJ641">
        <v>41.969983999999997</v>
      </c>
      <c r="AK641" t="s">
        <v>649</v>
      </c>
      <c r="AL641">
        <v>-87.895624999999995</v>
      </c>
      <c r="AS641">
        <v>1</v>
      </c>
      <c r="AT641" t="s">
        <v>118</v>
      </c>
      <c r="AU641" t="b">
        <v>1</v>
      </c>
      <c r="AV641">
        <v>154.69</v>
      </c>
      <c r="AW641">
        <v>5.625</v>
      </c>
      <c r="AX641">
        <v>1</v>
      </c>
      <c r="AZ641">
        <v>7205</v>
      </c>
      <c r="BA641">
        <v>1</v>
      </c>
      <c r="BB641" t="str">
        <f t="shared" si="29"/>
        <v xml:space="preserve">KAP400  </v>
      </c>
      <c r="BC641">
        <v>1</v>
      </c>
      <c r="BE641">
        <v>0</v>
      </c>
      <c r="BF641">
        <v>0</v>
      </c>
      <c r="BG641">
        <v>0</v>
      </c>
      <c r="BI641">
        <v>1</v>
      </c>
      <c r="BJ641">
        <v>1</v>
      </c>
      <c r="BK641">
        <v>1</v>
      </c>
      <c r="BL641">
        <v>0</v>
      </c>
      <c r="BO641">
        <v>0</v>
      </c>
      <c r="BP641">
        <v>0</v>
      </c>
      <c r="BW641" t="str">
        <f>"19:13:58.008"</f>
        <v>19:13:58.008</v>
      </c>
      <c r="BX641" t="s">
        <v>119</v>
      </c>
      <c r="BY641" t="s">
        <v>120</v>
      </c>
      <c r="CJ641">
        <v>0</v>
      </c>
      <c r="CK641">
        <v>0</v>
      </c>
      <c r="CL641">
        <v>0</v>
      </c>
      <c r="CM641">
        <v>2</v>
      </c>
      <c r="CN641">
        <v>0</v>
      </c>
      <c r="CO641">
        <v>7</v>
      </c>
      <c r="CP641" t="s">
        <v>121</v>
      </c>
      <c r="CQ641">
        <v>580</v>
      </c>
      <c r="CR641">
        <v>0</v>
      </c>
      <c r="CW641">
        <v>463014</v>
      </c>
      <c r="CY641">
        <v>0</v>
      </c>
      <c r="CZ641">
        <v>0</v>
      </c>
      <c r="DA641">
        <v>0</v>
      </c>
      <c r="DB641">
        <v>1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</row>
    <row r="642" spans="1:113" x14ac:dyDescent="0.3">
      <c r="A642" t="str">
        <f>"06/16/2022 19:13:59.721"</f>
        <v>06/16/2022 19:13:59.721</v>
      </c>
      <c r="C642" t="str">
        <f t="shared" si="30"/>
        <v>FFBF5BC0</v>
      </c>
      <c r="D642" t="s">
        <v>113</v>
      </c>
      <c r="E642">
        <v>8</v>
      </c>
      <c r="H642">
        <v>206</v>
      </c>
      <c r="I642" t="s">
        <v>114</v>
      </c>
      <c r="J642" t="s">
        <v>115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>"19:13:59.461"</f>
        <v>19:13:59.461</v>
      </c>
      <c r="T642" t="str">
        <f>"19:13:59.461"</f>
        <v>19:13:59.461</v>
      </c>
      <c r="U642" t="str">
        <f t="shared" ref="U642:U705" si="31">"AB63B2"</f>
        <v>AB63B2</v>
      </c>
      <c r="V642">
        <v>0</v>
      </c>
      <c r="W642">
        <v>0</v>
      </c>
      <c r="X642">
        <v>6</v>
      </c>
      <c r="Z642">
        <v>0</v>
      </c>
      <c r="AA642">
        <v>9</v>
      </c>
      <c r="AB642">
        <v>3</v>
      </c>
      <c r="AC642">
        <v>0</v>
      </c>
      <c r="AD642">
        <v>10</v>
      </c>
      <c r="AE642">
        <v>0</v>
      </c>
      <c r="AF642">
        <v>0</v>
      </c>
      <c r="AG642">
        <v>2</v>
      </c>
      <c r="AH642">
        <v>0</v>
      </c>
      <c r="AI642" t="s">
        <v>651</v>
      </c>
      <c r="AJ642">
        <v>41.969940999999999</v>
      </c>
      <c r="AK642" t="s">
        <v>652</v>
      </c>
      <c r="AL642">
        <v>-87.895602999999994</v>
      </c>
      <c r="AS642">
        <v>1</v>
      </c>
      <c r="AT642" t="s">
        <v>118</v>
      </c>
      <c r="AU642" t="b">
        <v>1</v>
      </c>
      <c r="AV642">
        <v>163.13</v>
      </c>
      <c r="AW642">
        <v>6.125</v>
      </c>
      <c r="AX642">
        <v>1</v>
      </c>
      <c r="AZ642">
        <v>7205</v>
      </c>
      <c r="BA642">
        <v>1</v>
      </c>
      <c r="BB642" t="str">
        <f t="shared" ref="BB642:BB705" si="32">"KAP400  "</f>
        <v xml:space="preserve">KAP400  </v>
      </c>
      <c r="BC642">
        <v>1</v>
      </c>
      <c r="BE642">
        <v>0</v>
      </c>
      <c r="BF642">
        <v>0</v>
      </c>
      <c r="BG642">
        <v>0</v>
      </c>
      <c r="BI642">
        <v>1</v>
      </c>
      <c r="BJ642">
        <v>1</v>
      </c>
      <c r="BK642">
        <v>1</v>
      </c>
      <c r="BL642">
        <v>0</v>
      </c>
      <c r="BO642">
        <v>0</v>
      </c>
      <c r="BP642">
        <v>0</v>
      </c>
      <c r="BW642" t="str">
        <f>"19:13:59.468"</f>
        <v>19:13:59.468</v>
      </c>
      <c r="BX642" t="s">
        <v>119</v>
      </c>
      <c r="BY642" t="s">
        <v>120</v>
      </c>
      <c r="CJ642">
        <v>0</v>
      </c>
      <c r="CK642">
        <v>0</v>
      </c>
      <c r="CL642">
        <v>0</v>
      </c>
      <c r="CM642">
        <v>2</v>
      </c>
      <c r="CN642">
        <v>0</v>
      </c>
      <c r="CO642">
        <v>7</v>
      </c>
      <c r="CP642" t="s">
        <v>121</v>
      </c>
      <c r="CQ642">
        <v>580</v>
      </c>
      <c r="CR642">
        <v>0</v>
      </c>
      <c r="CW642">
        <v>465964</v>
      </c>
      <c r="CY642">
        <v>0</v>
      </c>
      <c r="CZ642">
        <v>0</v>
      </c>
      <c r="DA642">
        <v>0</v>
      </c>
      <c r="DB642">
        <v>1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</row>
    <row r="643" spans="1:113" x14ac:dyDescent="0.3">
      <c r="A643" t="str">
        <f>"06/16/2022 19:14:00.659"</f>
        <v>06/16/2022 19:14:00.659</v>
      </c>
      <c r="C643" t="str">
        <f t="shared" si="30"/>
        <v>FFBF5BC0</v>
      </c>
      <c r="D643" t="s">
        <v>113</v>
      </c>
      <c r="E643">
        <v>8</v>
      </c>
      <c r="H643">
        <v>206</v>
      </c>
      <c r="I643" t="s">
        <v>114</v>
      </c>
      <c r="J643" t="s">
        <v>115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>"19:14:00.359"</f>
        <v>19:14:00.359</v>
      </c>
      <c r="T643" t="str">
        <f>"19:14:00.359"</f>
        <v>19:14:00.359</v>
      </c>
      <c r="U643" t="str">
        <f t="shared" si="31"/>
        <v>AB63B2</v>
      </c>
      <c r="V643">
        <v>0</v>
      </c>
      <c r="W643">
        <v>0</v>
      </c>
      <c r="X643">
        <v>6</v>
      </c>
      <c r="Z643">
        <v>0</v>
      </c>
      <c r="AA643">
        <v>9</v>
      </c>
      <c r="AB643">
        <v>3</v>
      </c>
      <c r="AC643">
        <v>0</v>
      </c>
      <c r="AD643">
        <v>10</v>
      </c>
      <c r="AE643">
        <v>0</v>
      </c>
      <c r="AF643">
        <v>0</v>
      </c>
      <c r="AG643">
        <v>2</v>
      </c>
      <c r="AH643">
        <v>0</v>
      </c>
      <c r="AI643" t="s">
        <v>653</v>
      </c>
      <c r="AJ643">
        <v>41.969918999999997</v>
      </c>
      <c r="AK643" t="s">
        <v>414</v>
      </c>
      <c r="AL643">
        <v>-87.895582000000005</v>
      </c>
      <c r="AS643">
        <v>1</v>
      </c>
      <c r="AT643" t="s">
        <v>118</v>
      </c>
      <c r="AU643" t="b">
        <v>1</v>
      </c>
      <c r="AV643">
        <v>165.94</v>
      </c>
      <c r="AW643">
        <v>6.625</v>
      </c>
      <c r="AX643">
        <v>1</v>
      </c>
      <c r="AZ643">
        <v>7205</v>
      </c>
      <c r="BA643">
        <v>1</v>
      </c>
      <c r="BB643" t="str">
        <f t="shared" si="32"/>
        <v xml:space="preserve">KAP400  </v>
      </c>
      <c r="BC643">
        <v>1</v>
      </c>
      <c r="BE643">
        <v>0</v>
      </c>
      <c r="BF643">
        <v>0</v>
      </c>
      <c r="BG643">
        <v>0</v>
      </c>
      <c r="BI643">
        <v>1</v>
      </c>
      <c r="BJ643">
        <v>1</v>
      </c>
      <c r="BK643">
        <v>1</v>
      </c>
      <c r="BL643">
        <v>0</v>
      </c>
      <c r="BO643">
        <v>0</v>
      </c>
      <c r="BP643">
        <v>0</v>
      </c>
      <c r="BW643" t="str">
        <f>"19:14:00.364"</f>
        <v>19:14:00.364</v>
      </c>
      <c r="BX643" t="s">
        <v>119</v>
      </c>
      <c r="BY643" t="s">
        <v>120</v>
      </c>
      <c r="CJ643">
        <v>0</v>
      </c>
      <c r="CK643">
        <v>0</v>
      </c>
      <c r="CL643">
        <v>0</v>
      </c>
      <c r="CM643">
        <v>2</v>
      </c>
      <c r="CN643">
        <v>0</v>
      </c>
      <c r="CO643">
        <v>7</v>
      </c>
      <c r="CP643" t="s">
        <v>121</v>
      </c>
      <c r="CQ643">
        <v>580</v>
      </c>
      <c r="CR643">
        <v>0</v>
      </c>
      <c r="CW643">
        <v>467636</v>
      </c>
      <c r="CY643">
        <v>0</v>
      </c>
      <c r="CZ643">
        <v>0</v>
      </c>
      <c r="DA643">
        <v>0</v>
      </c>
      <c r="DB643">
        <v>1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</row>
    <row r="644" spans="1:113" x14ac:dyDescent="0.3">
      <c r="A644" t="str">
        <f>"06/16/2022 19:14:01.503"</f>
        <v>06/16/2022 19:14:01.503</v>
      </c>
      <c r="C644" t="str">
        <f t="shared" si="30"/>
        <v>FFBF5BC0</v>
      </c>
      <c r="D644" t="s">
        <v>113</v>
      </c>
      <c r="E644">
        <v>8</v>
      </c>
      <c r="H644">
        <v>206</v>
      </c>
      <c r="I644" t="s">
        <v>114</v>
      </c>
      <c r="J644" t="s">
        <v>115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>"19:14:01.258"</f>
        <v>19:14:01.258</v>
      </c>
      <c r="T644" t="str">
        <f>"19:14:01.258"</f>
        <v>19:14:01.258</v>
      </c>
      <c r="U644" t="str">
        <f t="shared" si="31"/>
        <v>AB63B2</v>
      </c>
      <c r="V644">
        <v>0</v>
      </c>
      <c r="W644">
        <v>0</v>
      </c>
      <c r="X644">
        <v>6</v>
      </c>
      <c r="Z644">
        <v>0</v>
      </c>
      <c r="AA644">
        <v>9</v>
      </c>
      <c r="AB644">
        <v>3</v>
      </c>
      <c r="AC644">
        <v>0</v>
      </c>
      <c r="AD644">
        <v>10</v>
      </c>
      <c r="AE644">
        <v>0</v>
      </c>
      <c r="AF644">
        <v>0</v>
      </c>
      <c r="AG644">
        <v>2</v>
      </c>
      <c r="AH644">
        <v>0</v>
      </c>
      <c r="AI644" t="s">
        <v>654</v>
      </c>
      <c r="AJ644">
        <v>41.969898000000001</v>
      </c>
      <c r="AK644" t="s">
        <v>414</v>
      </c>
      <c r="AL644">
        <v>-87.895582000000005</v>
      </c>
      <c r="AS644">
        <v>1</v>
      </c>
      <c r="AT644" t="s">
        <v>118</v>
      </c>
      <c r="AU644" t="b">
        <v>1</v>
      </c>
      <c r="AV644">
        <v>168.75</v>
      </c>
      <c r="AW644">
        <v>7.125</v>
      </c>
      <c r="AX644">
        <v>1</v>
      </c>
      <c r="AZ644">
        <v>7205</v>
      </c>
      <c r="BA644">
        <v>1</v>
      </c>
      <c r="BB644" t="str">
        <f t="shared" si="32"/>
        <v xml:space="preserve">KAP400  </v>
      </c>
      <c r="BC644">
        <v>1</v>
      </c>
      <c r="BE644">
        <v>0</v>
      </c>
      <c r="BF644">
        <v>0</v>
      </c>
      <c r="BG644">
        <v>0</v>
      </c>
      <c r="BI644">
        <v>1</v>
      </c>
      <c r="BJ644">
        <v>1</v>
      </c>
      <c r="BK644">
        <v>1</v>
      </c>
      <c r="BL644">
        <v>0</v>
      </c>
      <c r="BO644">
        <v>0</v>
      </c>
      <c r="BP644">
        <v>0</v>
      </c>
      <c r="BW644" t="str">
        <f>"19:14:01.264"</f>
        <v>19:14:01.264</v>
      </c>
      <c r="BX644" t="s">
        <v>119</v>
      </c>
      <c r="BY644" t="s">
        <v>120</v>
      </c>
      <c r="CJ644">
        <v>0</v>
      </c>
      <c r="CK644">
        <v>0</v>
      </c>
      <c r="CL644">
        <v>0</v>
      </c>
      <c r="CM644">
        <v>2</v>
      </c>
      <c r="CN644">
        <v>0</v>
      </c>
      <c r="CO644">
        <v>7</v>
      </c>
      <c r="CP644" t="s">
        <v>121</v>
      </c>
      <c r="CQ644">
        <v>580</v>
      </c>
      <c r="CR644">
        <v>0</v>
      </c>
      <c r="CW644">
        <v>469311</v>
      </c>
      <c r="CY644">
        <v>0</v>
      </c>
      <c r="CZ644">
        <v>0</v>
      </c>
      <c r="DA644">
        <v>0</v>
      </c>
      <c r="DB644">
        <v>1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</row>
    <row r="645" spans="1:113" x14ac:dyDescent="0.3">
      <c r="A645" t="str">
        <f>"06/16/2022 19:14:02.611"</f>
        <v>06/16/2022 19:14:02.611</v>
      </c>
      <c r="C645" t="str">
        <f t="shared" si="30"/>
        <v>FFBF5BC0</v>
      </c>
      <c r="D645" t="s">
        <v>113</v>
      </c>
      <c r="E645">
        <v>8</v>
      </c>
      <c r="H645">
        <v>206</v>
      </c>
      <c r="I645" t="s">
        <v>114</v>
      </c>
      <c r="J645" t="s">
        <v>115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>"19:14:02.336"</f>
        <v>19:14:02.336</v>
      </c>
      <c r="T645" t="str">
        <f>"19:14:02.336"</f>
        <v>19:14:02.336</v>
      </c>
      <c r="U645" t="str">
        <f t="shared" si="31"/>
        <v>AB63B2</v>
      </c>
      <c r="V645">
        <v>0</v>
      </c>
      <c r="W645">
        <v>0</v>
      </c>
      <c r="X645">
        <v>6</v>
      </c>
      <c r="Z645">
        <v>0</v>
      </c>
      <c r="AA645">
        <v>9</v>
      </c>
      <c r="AB645">
        <v>3</v>
      </c>
      <c r="AC645">
        <v>0</v>
      </c>
      <c r="AD645">
        <v>10</v>
      </c>
      <c r="AE645">
        <v>0</v>
      </c>
      <c r="AF645">
        <v>0</v>
      </c>
      <c r="AG645">
        <v>2</v>
      </c>
      <c r="AH645">
        <v>0</v>
      </c>
      <c r="AI645" t="s">
        <v>655</v>
      </c>
      <c r="AJ645">
        <v>41.969875999999999</v>
      </c>
      <c r="AK645" t="s">
        <v>414</v>
      </c>
      <c r="AL645">
        <v>-87.895582000000005</v>
      </c>
      <c r="AS645">
        <v>1</v>
      </c>
      <c r="AT645" t="s">
        <v>118</v>
      </c>
      <c r="AU645" t="b">
        <v>1</v>
      </c>
      <c r="AV645">
        <v>171.56</v>
      </c>
      <c r="AW645">
        <v>8.125</v>
      </c>
      <c r="AX645">
        <v>1</v>
      </c>
      <c r="AZ645">
        <v>7205</v>
      </c>
      <c r="BA645">
        <v>1</v>
      </c>
      <c r="BB645" t="str">
        <f t="shared" si="32"/>
        <v xml:space="preserve">KAP400  </v>
      </c>
      <c r="BC645">
        <v>1</v>
      </c>
      <c r="BE645">
        <v>0</v>
      </c>
      <c r="BF645">
        <v>0</v>
      </c>
      <c r="BG645">
        <v>0</v>
      </c>
      <c r="BI645">
        <v>1</v>
      </c>
      <c r="BJ645">
        <v>1</v>
      </c>
      <c r="BK645">
        <v>1</v>
      </c>
      <c r="BL645">
        <v>0</v>
      </c>
      <c r="BO645">
        <v>0</v>
      </c>
      <c r="BP645">
        <v>0</v>
      </c>
      <c r="BW645" t="str">
        <f>"19:14:02.340"</f>
        <v>19:14:02.340</v>
      </c>
      <c r="BX645" t="s">
        <v>119</v>
      </c>
      <c r="BY645" t="s">
        <v>120</v>
      </c>
      <c r="CJ645">
        <v>0</v>
      </c>
      <c r="CK645">
        <v>0</v>
      </c>
      <c r="CL645">
        <v>0</v>
      </c>
      <c r="CM645">
        <v>2</v>
      </c>
      <c r="CN645">
        <v>0</v>
      </c>
      <c r="CO645">
        <v>7</v>
      </c>
      <c r="CP645" t="s">
        <v>121</v>
      </c>
      <c r="CQ645">
        <v>579</v>
      </c>
      <c r="CR645">
        <v>0</v>
      </c>
      <c r="CW645">
        <v>1576848</v>
      </c>
      <c r="CY645">
        <v>0</v>
      </c>
      <c r="CZ645">
        <v>0</v>
      </c>
      <c r="DA645">
        <v>0</v>
      </c>
      <c r="DB645">
        <v>1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</row>
    <row r="646" spans="1:113" x14ac:dyDescent="0.3">
      <c r="A646" t="str">
        <f>"06/16/2022 19:14:03.627"</f>
        <v>06/16/2022 19:14:03.627</v>
      </c>
      <c r="C646" t="str">
        <f t="shared" si="30"/>
        <v>FFBF5BC0</v>
      </c>
      <c r="D646" t="s">
        <v>113</v>
      </c>
      <c r="E646">
        <v>8</v>
      </c>
      <c r="H646">
        <v>206</v>
      </c>
      <c r="I646" t="s">
        <v>114</v>
      </c>
      <c r="J646" t="s">
        <v>115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>"19:14:03.383"</f>
        <v>19:14:03.383</v>
      </c>
      <c r="T646" t="str">
        <f>"19:14:03.383"</f>
        <v>19:14:03.383</v>
      </c>
      <c r="U646" t="str">
        <f t="shared" si="31"/>
        <v>AB63B2</v>
      </c>
      <c r="V646">
        <v>0</v>
      </c>
      <c r="W646">
        <v>0</v>
      </c>
      <c r="X646">
        <v>6</v>
      </c>
      <c r="Z646">
        <v>0</v>
      </c>
      <c r="AA646">
        <v>9</v>
      </c>
      <c r="AB646">
        <v>3</v>
      </c>
      <c r="AC646">
        <v>0</v>
      </c>
      <c r="AD646">
        <v>10</v>
      </c>
      <c r="AE646">
        <v>0</v>
      </c>
      <c r="AF646">
        <v>0</v>
      </c>
      <c r="AG646">
        <v>2</v>
      </c>
      <c r="AH646">
        <v>0</v>
      </c>
      <c r="AI646" t="s">
        <v>656</v>
      </c>
      <c r="AJ646">
        <v>41.969811999999997</v>
      </c>
      <c r="AK646" t="s">
        <v>657</v>
      </c>
      <c r="AL646">
        <v>-87.895560000000003</v>
      </c>
      <c r="AS646">
        <v>1</v>
      </c>
      <c r="AT646" t="s">
        <v>118</v>
      </c>
      <c r="AU646" t="b">
        <v>1</v>
      </c>
      <c r="AV646">
        <v>177.19</v>
      </c>
      <c r="AW646">
        <v>8.625</v>
      </c>
      <c r="AX646">
        <v>1</v>
      </c>
      <c r="AZ646">
        <v>7205</v>
      </c>
      <c r="BA646">
        <v>1</v>
      </c>
      <c r="BB646" t="str">
        <f t="shared" si="32"/>
        <v xml:space="preserve">KAP400  </v>
      </c>
      <c r="BC646">
        <v>1</v>
      </c>
      <c r="BE646">
        <v>0</v>
      </c>
      <c r="BF646">
        <v>0</v>
      </c>
      <c r="BG646">
        <v>0</v>
      </c>
      <c r="BI646">
        <v>1</v>
      </c>
      <c r="BJ646">
        <v>1</v>
      </c>
      <c r="BK646">
        <v>1</v>
      </c>
      <c r="BL646">
        <v>0</v>
      </c>
      <c r="BO646">
        <v>0</v>
      </c>
      <c r="BP646">
        <v>0</v>
      </c>
      <c r="BW646" t="str">
        <f>"19:14:03.387"</f>
        <v>19:14:03.387</v>
      </c>
      <c r="BX646" t="s">
        <v>119</v>
      </c>
      <c r="BY646" t="s">
        <v>120</v>
      </c>
      <c r="CJ646">
        <v>0</v>
      </c>
      <c r="CK646">
        <v>0</v>
      </c>
      <c r="CL646">
        <v>0</v>
      </c>
      <c r="CM646">
        <v>2</v>
      </c>
      <c r="CN646">
        <v>0</v>
      </c>
      <c r="CO646">
        <v>7</v>
      </c>
      <c r="CP646" t="s">
        <v>121</v>
      </c>
      <c r="CQ646">
        <v>580</v>
      </c>
      <c r="CR646">
        <v>0</v>
      </c>
      <c r="CW646">
        <v>473335</v>
      </c>
      <c r="CY646">
        <v>0</v>
      </c>
      <c r="CZ646">
        <v>0</v>
      </c>
      <c r="DA646">
        <v>0</v>
      </c>
      <c r="DB646">
        <v>1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</row>
    <row r="647" spans="1:113" x14ac:dyDescent="0.3">
      <c r="A647" t="str">
        <f>"06/16/2022 19:14:04.658"</f>
        <v>06/16/2022 19:14:04.658</v>
      </c>
      <c r="C647" t="str">
        <f t="shared" si="30"/>
        <v>FFBF5BC0</v>
      </c>
      <c r="D647" t="s">
        <v>113</v>
      </c>
      <c r="E647">
        <v>8</v>
      </c>
      <c r="H647">
        <v>206</v>
      </c>
      <c r="I647" t="s">
        <v>114</v>
      </c>
      <c r="J647" t="s">
        <v>115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>"19:14:04.414"</f>
        <v>19:14:04.414</v>
      </c>
      <c r="T647" t="str">
        <f>"19:14:04.414"</f>
        <v>19:14:04.414</v>
      </c>
      <c r="U647" t="str">
        <f t="shared" si="31"/>
        <v>AB63B2</v>
      </c>
      <c r="V647">
        <v>0</v>
      </c>
      <c r="W647">
        <v>0</v>
      </c>
      <c r="X647">
        <v>6</v>
      </c>
      <c r="Z647">
        <v>0</v>
      </c>
      <c r="AA647">
        <v>9</v>
      </c>
      <c r="AB647">
        <v>3</v>
      </c>
      <c r="AC647">
        <v>0</v>
      </c>
      <c r="AD647">
        <v>10</v>
      </c>
      <c r="AE647">
        <v>0</v>
      </c>
      <c r="AF647">
        <v>0</v>
      </c>
      <c r="AG647">
        <v>2</v>
      </c>
      <c r="AH647">
        <v>0</v>
      </c>
      <c r="AI647" t="s">
        <v>658</v>
      </c>
      <c r="AJ647">
        <v>41.969790000000003</v>
      </c>
      <c r="AK647" t="s">
        <v>657</v>
      </c>
      <c r="AL647">
        <v>-87.895560000000003</v>
      </c>
      <c r="AS647">
        <v>1</v>
      </c>
      <c r="AT647" t="s">
        <v>118</v>
      </c>
      <c r="AU647" t="b">
        <v>1</v>
      </c>
      <c r="AV647">
        <v>177.19</v>
      </c>
      <c r="AW647">
        <v>9.125</v>
      </c>
      <c r="AX647">
        <v>1</v>
      </c>
      <c r="AZ647">
        <v>7205</v>
      </c>
      <c r="BA647">
        <v>1</v>
      </c>
      <c r="BB647" t="str">
        <f t="shared" si="32"/>
        <v xml:space="preserve">KAP400  </v>
      </c>
      <c r="BC647">
        <v>1</v>
      </c>
      <c r="BE647">
        <v>0</v>
      </c>
      <c r="BF647">
        <v>0</v>
      </c>
      <c r="BG647">
        <v>0</v>
      </c>
      <c r="BI647">
        <v>1</v>
      </c>
      <c r="BJ647">
        <v>1</v>
      </c>
      <c r="BK647">
        <v>1</v>
      </c>
      <c r="BL647">
        <v>0</v>
      </c>
      <c r="BO647">
        <v>0</v>
      </c>
      <c r="BP647">
        <v>0</v>
      </c>
      <c r="BW647" t="str">
        <f>"19:14:04.416"</f>
        <v>19:14:04.416</v>
      </c>
      <c r="BX647" t="s">
        <v>119</v>
      </c>
      <c r="BY647" t="s">
        <v>120</v>
      </c>
      <c r="CJ647">
        <v>0</v>
      </c>
      <c r="CK647">
        <v>0</v>
      </c>
      <c r="CL647">
        <v>0</v>
      </c>
      <c r="CM647">
        <v>2</v>
      </c>
      <c r="CN647">
        <v>0</v>
      </c>
      <c r="CO647">
        <v>7</v>
      </c>
      <c r="CP647" t="s">
        <v>121</v>
      </c>
      <c r="CQ647">
        <v>579</v>
      </c>
      <c r="CR647">
        <v>0</v>
      </c>
      <c r="CW647">
        <v>1581002</v>
      </c>
      <c r="CY647">
        <v>0</v>
      </c>
      <c r="CZ647">
        <v>0</v>
      </c>
      <c r="DA647">
        <v>0</v>
      </c>
      <c r="DB647">
        <v>1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</row>
    <row r="648" spans="1:113" x14ac:dyDescent="0.3">
      <c r="A648" t="str">
        <f>"06/16/2022 19:14:05.533"</f>
        <v>06/16/2022 19:14:05.533</v>
      </c>
      <c r="C648" t="str">
        <f t="shared" si="30"/>
        <v>FFBF5BC0</v>
      </c>
      <c r="D648" t="s">
        <v>113</v>
      </c>
      <c r="E648">
        <v>8</v>
      </c>
      <c r="H648">
        <v>206</v>
      </c>
      <c r="I648" t="s">
        <v>114</v>
      </c>
      <c r="J648" t="s">
        <v>115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>"19:14:05.320"</f>
        <v>19:14:05.320</v>
      </c>
      <c r="T648" t="str">
        <f>"19:14:05.320"</f>
        <v>19:14:05.320</v>
      </c>
      <c r="U648" t="str">
        <f t="shared" si="31"/>
        <v>AB63B2</v>
      </c>
      <c r="V648">
        <v>0</v>
      </c>
      <c r="W648">
        <v>0</v>
      </c>
      <c r="X648">
        <v>6</v>
      </c>
      <c r="Z648">
        <v>0</v>
      </c>
      <c r="AA648">
        <v>9</v>
      </c>
      <c r="AB648">
        <v>3</v>
      </c>
      <c r="AC648">
        <v>0</v>
      </c>
      <c r="AD648">
        <v>10</v>
      </c>
      <c r="AE648">
        <v>0</v>
      </c>
      <c r="AF648">
        <v>0</v>
      </c>
      <c r="AG648">
        <v>2</v>
      </c>
      <c r="AH648">
        <v>0</v>
      </c>
      <c r="AI648" t="s">
        <v>659</v>
      </c>
      <c r="AJ648">
        <v>41.969748000000003</v>
      </c>
      <c r="AK648" t="s">
        <v>657</v>
      </c>
      <c r="AL648">
        <v>-87.895560000000003</v>
      </c>
      <c r="AS648">
        <v>1</v>
      </c>
      <c r="AT648" t="s">
        <v>118</v>
      </c>
      <c r="AU648" t="b">
        <v>1</v>
      </c>
      <c r="AV648">
        <v>180</v>
      </c>
      <c r="AW648">
        <v>9.125</v>
      </c>
      <c r="AX648">
        <v>1</v>
      </c>
      <c r="AZ648">
        <v>7205</v>
      </c>
      <c r="BA648">
        <v>1</v>
      </c>
      <c r="BB648" t="str">
        <f t="shared" si="32"/>
        <v xml:space="preserve">KAP400  </v>
      </c>
      <c r="BC648">
        <v>1</v>
      </c>
      <c r="BE648">
        <v>0</v>
      </c>
      <c r="BF648">
        <v>0</v>
      </c>
      <c r="BG648">
        <v>0</v>
      </c>
      <c r="BI648">
        <v>1</v>
      </c>
      <c r="BJ648">
        <v>1</v>
      </c>
      <c r="BK648">
        <v>1</v>
      </c>
      <c r="BL648">
        <v>0</v>
      </c>
      <c r="BO648">
        <v>0</v>
      </c>
      <c r="BP648">
        <v>0</v>
      </c>
      <c r="BW648" t="str">
        <f>"19:14:05.325"</f>
        <v>19:14:05.325</v>
      </c>
      <c r="BX648" t="s">
        <v>119</v>
      </c>
      <c r="BY648" t="s">
        <v>120</v>
      </c>
      <c r="CJ648">
        <v>0</v>
      </c>
      <c r="CK648">
        <v>0</v>
      </c>
      <c r="CL648">
        <v>0</v>
      </c>
      <c r="CM648">
        <v>2</v>
      </c>
      <c r="CN648">
        <v>0</v>
      </c>
      <c r="CO648">
        <v>7</v>
      </c>
      <c r="CP648" t="s">
        <v>121</v>
      </c>
      <c r="CQ648">
        <v>580</v>
      </c>
      <c r="CR648">
        <v>0</v>
      </c>
      <c r="CW648">
        <v>476896</v>
      </c>
      <c r="CY648">
        <v>0</v>
      </c>
      <c r="CZ648">
        <v>0</v>
      </c>
      <c r="DA648">
        <v>0</v>
      </c>
      <c r="DB648">
        <v>1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</row>
    <row r="649" spans="1:113" x14ac:dyDescent="0.3">
      <c r="A649" t="str">
        <f>"06/16/2022 19:14:06.424"</f>
        <v>06/16/2022 19:14:06.424</v>
      </c>
      <c r="C649" t="str">
        <f t="shared" si="30"/>
        <v>FFBF5BC0</v>
      </c>
      <c r="D649" t="s">
        <v>113</v>
      </c>
      <c r="E649">
        <v>8</v>
      </c>
      <c r="H649">
        <v>206</v>
      </c>
      <c r="I649" t="s">
        <v>114</v>
      </c>
      <c r="J649" t="s">
        <v>115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>"19:14:06.227"</f>
        <v>19:14:06.227</v>
      </c>
      <c r="T649" t="str">
        <f>"19:14:06.227"</f>
        <v>19:14:06.227</v>
      </c>
      <c r="U649" t="str">
        <f t="shared" si="31"/>
        <v>AB63B2</v>
      </c>
      <c r="V649">
        <v>0</v>
      </c>
      <c r="W649">
        <v>0</v>
      </c>
      <c r="X649">
        <v>6</v>
      </c>
      <c r="Z649">
        <v>0</v>
      </c>
      <c r="AA649">
        <v>9</v>
      </c>
      <c r="AB649">
        <v>3</v>
      </c>
      <c r="AC649">
        <v>0</v>
      </c>
      <c r="AD649">
        <v>10</v>
      </c>
      <c r="AE649">
        <v>0</v>
      </c>
      <c r="AF649">
        <v>0</v>
      </c>
      <c r="AG649">
        <v>2</v>
      </c>
      <c r="AH649">
        <v>0</v>
      </c>
      <c r="AI649" t="s">
        <v>660</v>
      </c>
      <c r="AJ649">
        <v>41.969704999999998</v>
      </c>
      <c r="AK649" t="s">
        <v>657</v>
      </c>
      <c r="AL649">
        <v>-87.895560000000003</v>
      </c>
      <c r="AS649">
        <v>1</v>
      </c>
      <c r="AT649" t="s">
        <v>118</v>
      </c>
      <c r="AU649" t="b">
        <v>1</v>
      </c>
      <c r="AV649">
        <v>180</v>
      </c>
      <c r="AW649">
        <v>9.625</v>
      </c>
      <c r="AX649">
        <v>1</v>
      </c>
      <c r="AZ649">
        <v>7205</v>
      </c>
      <c r="BA649">
        <v>1</v>
      </c>
      <c r="BB649" t="str">
        <f t="shared" si="32"/>
        <v xml:space="preserve">KAP400  </v>
      </c>
      <c r="BC649">
        <v>1</v>
      </c>
      <c r="BE649">
        <v>0</v>
      </c>
      <c r="BF649">
        <v>0</v>
      </c>
      <c r="BG649">
        <v>0</v>
      </c>
      <c r="BI649">
        <v>1</v>
      </c>
      <c r="BJ649">
        <v>1</v>
      </c>
      <c r="BK649">
        <v>1</v>
      </c>
      <c r="BL649">
        <v>0</v>
      </c>
      <c r="BO649">
        <v>0</v>
      </c>
      <c r="BP649">
        <v>0</v>
      </c>
      <c r="BW649" t="str">
        <f>"19:14:06.230"</f>
        <v>19:14:06.230</v>
      </c>
      <c r="BX649" t="s">
        <v>119</v>
      </c>
      <c r="BY649" t="s">
        <v>120</v>
      </c>
      <c r="CJ649">
        <v>0</v>
      </c>
      <c r="CK649">
        <v>0</v>
      </c>
      <c r="CL649">
        <v>0</v>
      </c>
      <c r="CM649">
        <v>2</v>
      </c>
      <c r="CN649">
        <v>0</v>
      </c>
      <c r="CO649">
        <v>7</v>
      </c>
      <c r="CP649" t="s">
        <v>121</v>
      </c>
      <c r="CQ649">
        <v>579</v>
      </c>
      <c r="CR649">
        <v>0</v>
      </c>
      <c r="CW649">
        <v>1584617</v>
      </c>
      <c r="CY649">
        <v>0</v>
      </c>
      <c r="CZ649">
        <v>0</v>
      </c>
      <c r="DA649">
        <v>0</v>
      </c>
      <c r="DB649">
        <v>1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</row>
    <row r="650" spans="1:113" x14ac:dyDescent="0.3">
      <c r="A650" t="str">
        <f>"06/16/2022 19:14:07.910"</f>
        <v>06/16/2022 19:14:07.910</v>
      </c>
      <c r="C650" t="str">
        <f t="shared" si="30"/>
        <v>FFBF5BC0</v>
      </c>
      <c r="D650" t="s">
        <v>113</v>
      </c>
      <c r="E650">
        <v>8</v>
      </c>
      <c r="H650">
        <v>206</v>
      </c>
      <c r="I650" t="s">
        <v>114</v>
      </c>
      <c r="J650" t="s">
        <v>115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>"19:14:07.680"</f>
        <v>19:14:07.680</v>
      </c>
      <c r="T650" t="str">
        <f>"19:14:07.680"</f>
        <v>19:14:07.680</v>
      </c>
      <c r="U650" t="str">
        <f t="shared" si="31"/>
        <v>AB63B2</v>
      </c>
      <c r="V650">
        <v>0</v>
      </c>
      <c r="W650">
        <v>0</v>
      </c>
      <c r="X650">
        <v>6</v>
      </c>
      <c r="Z650">
        <v>0</v>
      </c>
      <c r="AA650">
        <v>9</v>
      </c>
      <c r="AB650">
        <v>3</v>
      </c>
      <c r="AC650">
        <v>0</v>
      </c>
      <c r="AD650">
        <v>10</v>
      </c>
      <c r="AE650">
        <v>0</v>
      </c>
      <c r="AF650">
        <v>0</v>
      </c>
      <c r="AG650">
        <v>2</v>
      </c>
      <c r="AH650">
        <v>0</v>
      </c>
      <c r="AI650" t="s">
        <v>661</v>
      </c>
      <c r="AJ650">
        <v>41.969639999999998</v>
      </c>
      <c r="AK650" t="s">
        <v>657</v>
      </c>
      <c r="AL650">
        <v>-87.895560000000003</v>
      </c>
      <c r="AS650">
        <v>1</v>
      </c>
      <c r="AT650" t="s">
        <v>118</v>
      </c>
      <c r="AU650" t="b">
        <v>1</v>
      </c>
      <c r="AV650">
        <v>180</v>
      </c>
      <c r="AW650">
        <v>10.125</v>
      </c>
      <c r="AX650">
        <v>1</v>
      </c>
      <c r="AZ650">
        <v>7205</v>
      </c>
      <c r="BA650">
        <v>1</v>
      </c>
      <c r="BB650" t="str">
        <f t="shared" si="32"/>
        <v xml:space="preserve">KAP400  </v>
      </c>
      <c r="BC650">
        <v>1</v>
      </c>
      <c r="BE650">
        <v>0</v>
      </c>
      <c r="BF650">
        <v>0</v>
      </c>
      <c r="BG650">
        <v>0</v>
      </c>
      <c r="BI650">
        <v>1</v>
      </c>
      <c r="BJ650">
        <v>1</v>
      </c>
      <c r="BK650">
        <v>1</v>
      </c>
      <c r="BL650">
        <v>0</v>
      </c>
      <c r="BO650">
        <v>0</v>
      </c>
      <c r="BP650">
        <v>0</v>
      </c>
      <c r="BW650" t="str">
        <f>"19:14:07.686"</f>
        <v>19:14:07.686</v>
      </c>
      <c r="BX650" t="s">
        <v>119</v>
      </c>
      <c r="BY650" t="s">
        <v>120</v>
      </c>
      <c r="CJ650">
        <v>0</v>
      </c>
      <c r="CK650">
        <v>0</v>
      </c>
      <c r="CL650">
        <v>0</v>
      </c>
      <c r="CM650">
        <v>2</v>
      </c>
      <c r="CN650">
        <v>0</v>
      </c>
      <c r="CO650">
        <v>7</v>
      </c>
      <c r="CP650" t="s">
        <v>121</v>
      </c>
      <c r="CQ650">
        <v>580</v>
      </c>
      <c r="CR650">
        <v>0</v>
      </c>
      <c r="CW650">
        <v>481146</v>
      </c>
      <c r="CY650">
        <v>0</v>
      </c>
      <c r="CZ650">
        <v>0</v>
      </c>
      <c r="DA650">
        <v>0</v>
      </c>
      <c r="DB650">
        <v>1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</row>
    <row r="651" spans="1:113" x14ac:dyDescent="0.3">
      <c r="A651" t="str">
        <f>"06/16/2022 19:14:08.956"</f>
        <v>06/16/2022 19:14:08.956</v>
      </c>
      <c r="C651" t="str">
        <f t="shared" si="30"/>
        <v>FFBF5BC0</v>
      </c>
      <c r="D651" t="s">
        <v>113</v>
      </c>
      <c r="E651">
        <v>8</v>
      </c>
      <c r="H651">
        <v>206</v>
      </c>
      <c r="I651" t="s">
        <v>114</v>
      </c>
      <c r="J651" t="s">
        <v>115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>"19:14:08.727"</f>
        <v>19:14:08.727</v>
      </c>
      <c r="T651" t="str">
        <f>"19:14:08.727"</f>
        <v>19:14:08.727</v>
      </c>
      <c r="U651" t="str">
        <f t="shared" si="31"/>
        <v>AB63B2</v>
      </c>
      <c r="V651">
        <v>0</v>
      </c>
      <c r="W651">
        <v>0</v>
      </c>
      <c r="X651">
        <v>6</v>
      </c>
      <c r="Z651">
        <v>0</v>
      </c>
      <c r="AA651">
        <v>9</v>
      </c>
      <c r="AB651">
        <v>3</v>
      </c>
      <c r="AC651">
        <v>0</v>
      </c>
      <c r="AD651">
        <v>10</v>
      </c>
      <c r="AE651">
        <v>0</v>
      </c>
      <c r="AF651">
        <v>0</v>
      </c>
      <c r="AG651">
        <v>2</v>
      </c>
      <c r="AH651">
        <v>0</v>
      </c>
      <c r="AI651" t="s">
        <v>662</v>
      </c>
      <c r="AJ651">
        <v>41.969597</v>
      </c>
      <c r="AK651" t="s">
        <v>657</v>
      </c>
      <c r="AL651">
        <v>-87.895560000000003</v>
      </c>
      <c r="AS651">
        <v>1</v>
      </c>
      <c r="AT651" t="s">
        <v>118</v>
      </c>
      <c r="AU651" t="b">
        <v>1</v>
      </c>
      <c r="AV651">
        <v>182.81</v>
      </c>
      <c r="AW651">
        <v>10.625</v>
      </c>
      <c r="AX651">
        <v>1</v>
      </c>
      <c r="AZ651">
        <v>7205</v>
      </c>
      <c r="BA651">
        <v>1</v>
      </c>
      <c r="BB651" t="str">
        <f t="shared" si="32"/>
        <v xml:space="preserve">KAP400  </v>
      </c>
      <c r="BC651">
        <v>1</v>
      </c>
      <c r="BE651">
        <v>0</v>
      </c>
      <c r="BF651">
        <v>0</v>
      </c>
      <c r="BG651">
        <v>0</v>
      </c>
      <c r="BI651">
        <v>1</v>
      </c>
      <c r="BJ651">
        <v>1</v>
      </c>
      <c r="BK651">
        <v>1</v>
      </c>
      <c r="BL651">
        <v>0</v>
      </c>
      <c r="BO651">
        <v>0</v>
      </c>
      <c r="BP651">
        <v>0</v>
      </c>
      <c r="BW651" t="str">
        <f>"19:14:08.732"</f>
        <v>19:14:08.732</v>
      </c>
      <c r="BX651" t="s">
        <v>119</v>
      </c>
      <c r="BY651" t="s">
        <v>120</v>
      </c>
      <c r="CJ651">
        <v>0</v>
      </c>
      <c r="CK651">
        <v>0</v>
      </c>
      <c r="CL651">
        <v>0</v>
      </c>
      <c r="CM651">
        <v>2</v>
      </c>
      <c r="CN651">
        <v>0</v>
      </c>
      <c r="CO651">
        <v>7</v>
      </c>
      <c r="CP651" t="s">
        <v>121</v>
      </c>
      <c r="CQ651">
        <v>580</v>
      </c>
      <c r="CR651">
        <v>0</v>
      </c>
      <c r="CW651">
        <v>483138</v>
      </c>
      <c r="CY651">
        <v>0</v>
      </c>
      <c r="CZ651">
        <v>0</v>
      </c>
      <c r="DA651">
        <v>0</v>
      </c>
      <c r="DB651">
        <v>1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</row>
    <row r="652" spans="1:113" x14ac:dyDescent="0.3">
      <c r="A652" t="str">
        <f>"06/16/2022 19:14:09.941"</f>
        <v>06/16/2022 19:14:09.941</v>
      </c>
      <c r="C652" t="str">
        <f t="shared" si="30"/>
        <v>FFBF5BC0</v>
      </c>
      <c r="D652" t="s">
        <v>113</v>
      </c>
      <c r="E652">
        <v>8</v>
      </c>
      <c r="H652">
        <v>206</v>
      </c>
      <c r="I652" t="s">
        <v>114</v>
      </c>
      <c r="J652" t="s">
        <v>115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>"19:14:09.703"</f>
        <v>19:14:09.703</v>
      </c>
      <c r="T652" t="str">
        <f>"19:14:09.703"</f>
        <v>19:14:09.703</v>
      </c>
      <c r="U652" t="str">
        <f t="shared" si="31"/>
        <v>AB63B2</v>
      </c>
      <c r="V652">
        <v>0</v>
      </c>
      <c r="W652">
        <v>0</v>
      </c>
      <c r="X652">
        <v>6</v>
      </c>
      <c r="Z652">
        <v>0</v>
      </c>
      <c r="AA652">
        <v>9</v>
      </c>
      <c r="AB652">
        <v>3</v>
      </c>
      <c r="AC652">
        <v>0</v>
      </c>
      <c r="AD652">
        <v>10</v>
      </c>
      <c r="AE652">
        <v>0</v>
      </c>
      <c r="AF652">
        <v>0</v>
      </c>
      <c r="AG652">
        <v>2</v>
      </c>
      <c r="AH652">
        <v>0</v>
      </c>
      <c r="AI652" t="s">
        <v>663</v>
      </c>
      <c r="AJ652">
        <v>41.969554000000002</v>
      </c>
      <c r="AK652" t="s">
        <v>657</v>
      </c>
      <c r="AL652">
        <v>-87.895560000000003</v>
      </c>
      <c r="AS652">
        <v>1</v>
      </c>
      <c r="AT652" t="s">
        <v>118</v>
      </c>
      <c r="AU652" t="b">
        <v>1</v>
      </c>
      <c r="AV652">
        <v>182.81</v>
      </c>
      <c r="AW652">
        <v>10.625</v>
      </c>
      <c r="AX652">
        <v>1</v>
      </c>
      <c r="AZ652">
        <v>7205</v>
      </c>
      <c r="BA652">
        <v>1</v>
      </c>
      <c r="BB652" t="str">
        <f t="shared" si="32"/>
        <v xml:space="preserve">KAP400  </v>
      </c>
      <c r="BC652">
        <v>1</v>
      </c>
      <c r="BE652">
        <v>0</v>
      </c>
      <c r="BF652">
        <v>0</v>
      </c>
      <c r="BG652">
        <v>0</v>
      </c>
      <c r="BI652">
        <v>1</v>
      </c>
      <c r="BJ652">
        <v>1</v>
      </c>
      <c r="BK652">
        <v>1</v>
      </c>
      <c r="BL652">
        <v>0</v>
      </c>
      <c r="BO652">
        <v>0</v>
      </c>
      <c r="BP652">
        <v>0</v>
      </c>
      <c r="BW652" t="str">
        <f>"19:14:09.708"</f>
        <v>19:14:09.708</v>
      </c>
      <c r="BX652" t="s">
        <v>119</v>
      </c>
      <c r="BY652" t="s">
        <v>120</v>
      </c>
      <c r="CJ652">
        <v>0</v>
      </c>
      <c r="CK652">
        <v>0</v>
      </c>
      <c r="CL652">
        <v>0</v>
      </c>
      <c r="CM652">
        <v>2</v>
      </c>
      <c r="CN652">
        <v>0</v>
      </c>
      <c r="CO652">
        <v>7</v>
      </c>
      <c r="CP652" t="s">
        <v>121</v>
      </c>
      <c r="CQ652">
        <v>580</v>
      </c>
      <c r="CR652">
        <v>0</v>
      </c>
      <c r="CW652">
        <v>485010</v>
      </c>
      <c r="CY652">
        <v>0</v>
      </c>
      <c r="CZ652">
        <v>0</v>
      </c>
      <c r="DA652">
        <v>0</v>
      </c>
      <c r="DB652">
        <v>1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</row>
    <row r="653" spans="1:113" x14ac:dyDescent="0.3">
      <c r="A653" t="str">
        <f>"06/16/2022 19:14:11.035"</f>
        <v>06/16/2022 19:14:11.035</v>
      </c>
      <c r="C653" t="str">
        <f t="shared" si="30"/>
        <v>FFBF5BC0</v>
      </c>
      <c r="D653" t="s">
        <v>113</v>
      </c>
      <c r="E653">
        <v>8</v>
      </c>
      <c r="H653">
        <v>206</v>
      </c>
      <c r="I653" t="s">
        <v>114</v>
      </c>
      <c r="J653" t="s">
        <v>115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>"19:14:10.852"</f>
        <v>19:14:10.852</v>
      </c>
      <c r="T653" t="str">
        <f>"19:14:10.852"</f>
        <v>19:14:10.852</v>
      </c>
      <c r="U653" t="str">
        <f t="shared" si="31"/>
        <v>AB63B2</v>
      </c>
      <c r="V653">
        <v>0</v>
      </c>
      <c r="W653">
        <v>0</v>
      </c>
      <c r="X653">
        <v>6</v>
      </c>
      <c r="Z653">
        <v>0</v>
      </c>
      <c r="AA653">
        <v>9</v>
      </c>
      <c r="AB653">
        <v>3</v>
      </c>
      <c r="AC653">
        <v>0</v>
      </c>
      <c r="AD653">
        <v>10</v>
      </c>
      <c r="AE653">
        <v>0</v>
      </c>
      <c r="AF653">
        <v>0</v>
      </c>
      <c r="AG653">
        <v>2</v>
      </c>
      <c r="AH653">
        <v>0</v>
      </c>
      <c r="AI653" t="s">
        <v>664</v>
      </c>
      <c r="AJ653">
        <v>41.96949</v>
      </c>
      <c r="AK653" t="s">
        <v>665</v>
      </c>
      <c r="AL653">
        <v>-87.895538999999999</v>
      </c>
      <c r="AS653">
        <v>1</v>
      </c>
      <c r="AT653" t="s">
        <v>118</v>
      </c>
      <c r="AU653" t="b">
        <v>1</v>
      </c>
      <c r="AV653">
        <v>182.81</v>
      </c>
      <c r="AW653">
        <v>10.625</v>
      </c>
      <c r="AX653">
        <v>1</v>
      </c>
      <c r="AZ653">
        <v>7205</v>
      </c>
      <c r="BA653">
        <v>1</v>
      </c>
      <c r="BB653" t="str">
        <f t="shared" si="32"/>
        <v xml:space="preserve">KAP400  </v>
      </c>
      <c r="BC653">
        <v>1</v>
      </c>
      <c r="BE653">
        <v>0</v>
      </c>
      <c r="BF653">
        <v>0</v>
      </c>
      <c r="BG653">
        <v>0</v>
      </c>
      <c r="BI653">
        <v>1</v>
      </c>
      <c r="BJ653">
        <v>1</v>
      </c>
      <c r="BK653">
        <v>1</v>
      </c>
      <c r="BL653">
        <v>0</v>
      </c>
      <c r="BO653">
        <v>0</v>
      </c>
      <c r="BP653">
        <v>0</v>
      </c>
      <c r="BW653" t="str">
        <f>"19:14:10.855"</f>
        <v>19:14:10.855</v>
      </c>
      <c r="BX653" t="s">
        <v>119</v>
      </c>
      <c r="BY653" t="s">
        <v>120</v>
      </c>
      <c r="CJ653">
        <v>0</v>
      </c>
      <c r="CK653">
        <v>0</v>
      </c>
      <c r="CL653">
        <v>0</v>
      </c>
      <c r="CM653">
        <v>2</v>
      </c>
      <c r="CN653">
        <v>0</v>
      </c>
      <c r="CO653">
        <v>7</v>
      </c>
      <c r="CP653" t="s">
        <v>121</v>
      </c>
      <c r="CQ653">
        <v>580</v>
      </c>
      <c r="CR653">
        <v>0</v>
      </c>
      <c r="CW653">
        <v>487059</v>
      </c>
      <c r="CY653">
        <v>0</v>
      </c>
      <c r="CZ653">
        <v>0</v>
      </c>
      <c r="DA653">
        <v>0</v>
      </c>
      <c r="DB653">
        <v>1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</row>
    <row r="654" spans="1:113" x14ac:dyDescent="0.3">
      <c r="A654" t="str">
        <f>"06/16/2022 19:14:12.112"</f>
        <v>06/16/2022 19:14:12.112</v>
      </c>
      <c r="C654" t="str">
        <f t="shared" si="30"/>
        <v>FFBF5BC0</v>
      </c>
      <c r="D654" t="s">
        <v>113</v>
      </c>
      <c r="E654">
        <v>8</v>
      </c>
      <c r="H654">
        <v>206</v>
      </c>
      <c r="I654" t="s">
        <v>114</v>
      </c>
      <c r="J654" t="s">
        <v>115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>"19:14:11.766"</f>
        <v>19:14:11.766</v>
      </c>
      <c r="T654" t="str">
        <f>"19:14:11.766"</f>
        <v>19:14:11.766</v>
      </c>
      <c r="U654" t="str">
        <f t="shared" si="31"/>
        <v>AB63B2</v>
      </c>
      <c r="V654">
        <v>0</v>
      </c>
      <c r="W654">
        <v>0</v>
      </c>
      <c r="X654">
        <v>6</v>
      </c>
      <c r="Z654">
        <v>0</v>
      </c>
      <c r="AA654">
        <v>9</v>
      </c>
      <c r="AB654">
        <v>3</v>
      </c>
      <c r="AC654">
        <v>0</v>
      </c>
      <c r="AD654">
        <v>10</v>
      </c>
      <c r="AE654">
        <v>0</v>
      </c>
      <c r="AF654">
        <v>0</v>
      </c>
      <c r="AG654">
        <v>2</v>
      </c>
      <c r="AH654">
        <v>0</v>
      </c>
      <c r="AI654" t="s">
        <v>666</v>
      </c>
      <c r="AJ654">
        <v>41.969447000000002</v>
      </c>
      <c r="AK654" t="s">
        <v>657</v>
      </c>
      <c r="AL654">
        <v>-87.895560000000003</v>
      </c>
      <c r="AS654">
        <v>1</v>
      </c>
      <c r="AT654" t="s">
        <v>118</v>
      </c>
      <c r="AU654" t="b">
        <v>1</v>
      </c>
      <c r="AV654">
        <v>182.81</v>
      </c>
      <c r="AW654">
        <v>10.625</v>
      </c>
      <c r="AX654">
        <v>1</v>
      </c>
      <c r="AZ654">
        <v>7205</v>
      </c>
      <c r="BA654">
        <v>1</v>
      </c>
      <c r="BB654" t="str">
        <f t="shared" si="32"/>
        <v xml:space="preserve">KAP400  </v>
      </c>
      <c r="BC654">
        <v>1</v>
      </c>
      <c r="BE654">
        <v>0</v>
      </c>
      <c r="BF654">
        <v>0</v>
      </c>
      <c r="BG654">
        <v>0</v>
      </c>
      <c r="BI654">
        <v>1</v>
      </c>
      <c r="BJ654">
        <v>1</v>
      </c>
      <c r="BK654">
        <v>1</v>
      </c>
      <c r="BL654">
        <v>0</v>
      </c>
      <c r="BO654">
        <v>0</v>
      </c>
      <c r="BP654">
        <v>0</v>
      </c>
      <c r="BW654" t="str">
        <f>"19:14:11.771"</f>
        <v>19:14:11.771</v>
      </c>
      <c r="BX654" t="s">
        <v>119</v>
      </c>
      <c r="BY654" t="s">
        <v>120</v>
      </c>
      <c r="CJ654">
        <v>0</v>
      </c>
      <c r="CK654">
        <v>0</v>
      </c>
      <c r="CL654">
        <v>0</v>
      </c>
      <c r="CM654">
        <v>2</v>
      </c>
      <c r="CN654">
        <v>0</v>
      </c>
      <c r="CO654">
        <v>7</v>
      </c>
      <c r="CP654" t="s">
        <v>121</v>
      </c>
      <c r="CQ654">
        <v>579</v>
      </c>
      <c r="CR654">
        <v>0</v>
      </c>
      <c r="CW654">
        <v>1595790</v>
      </c>
      <c r="CY654">
        <v>0</v>
      </c>
      <c r="CZ654">
        <v>0</v>
      </c>
      <c r="DA654">
        <v>0</v>
      </c>
      <c r="DB654">
        <v>1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</row>
    <row r="655" spans="1:113" x14ac:dyDescent="0.3">
      <c r="A655" t="str">
        <f>"06/16/2022 19:14:13.096"</f>
        <v>06/16/2022 19:14:13.096</v>
      </c>
      <c r="C655" t="str">
        <f t="shared" si="30"/>
        <v>FFBF5BC0</v>
      </c>
      <c r="D655" t="s">
        <v>113</v>
      </c>
      <c r="E655">
        <v>8</v>
      </c>
      <c r="H655">
        <v>206</v>
      </c>
      <c r="I655" t="s">
        <v>114</v>
      </c>
      <c r="J655" t="s">
        <v>115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>"19:14:12.836"</f>
        <v>19:14:12.836</v>
      </c>
      <c r="T655" t="str">
        <f>"19:14:12.836"</f>
        <v>19:14:12.836</v>
      </c>
      <c r="U655" t="str">
        <f t="shared" si="31"/>
        <v>AB63B2</v>
      </c>
      <c r="V655">
        <v>0</v>
      </c>
      <c r="W655">
        <v>0</v>
      </c>
      <c r="X655">
        <v>6</v>
      </c>
      <c r="Z655">
        <v>0</v>
      </c>
      <c r="AA655">
        <v>9</v>
      </c>
      <c r="AB655">
        <v>3</v>
      </c>
      <c r="AC655">
        <v>0</v>
      </c>
      <c r="AD655">
        <v>10</v>
      </c>
      <c r="AE655">
        <v>0</v>
      </c>
      <c r="AF655">
        <v>0</v>
      </c>
      <c r="AG655">
        <v>2</v>
      </c>
      <c r="AH655">
        <v>0</v>
      </c>
      <c r="AI655" t="s">
        <v>667</v>
      </c>
      <c r="AJ655">
        <v>41.969403999999997</v>
      </c>
      <c r="AK655" t="s">
        <v>657</v>
      </c>
      <c r="AL655">
        <v>-87.895560000000003</v>
      </c>
      <c r="AS655">
        <v>1</v>
      </c>
      <c r="AT655" t="s">
        <v>118</v>
      </c>
      <c r="AU655" t="b">
        <v>1</v>
      </c>
      <c r="AV655">
        <v>185.63</v>
      </c>
      <c r="AW655">
        <v>10.125</v>
      </c>
      <c r="AX655">
        <v>1</v>
      </c>
      <c r="AZ655">
        <v>7205</v>
      </c>
      <c r="BA655">
        <v>1</v>
      </c>
      <c r="BB655" t="str">
        <f t="shared" si="32"/>
        <v xml:space="preserve">KAP400  </v>
      </c>
      <c r="BC655">
        <v>1</v>
      </c>
      <c r="BE655">
        <v>0</v>
      </c>
      <c r="BF655">
        <v>0</v>
      </c>
      <c r="BG655">
        <v>0</v>
      </c>
      <c r="BI655">
        <v>1</v>
      </c>
      <c r="BJ655">
        <v>1</v>
      </c>
      <c r="BK655">
        <v>1</v>
      </c>
      <c r="BL655">
        <v>0</v>
      </c>
      <c r="BO655">
        <v>0</v>
      </c>
      <c r="BP655">
        <v>0</v>
      </c>
      <c r="BW655" t="str">
        <f>"19:14:12.839"</f>
        <v>19:14:12.839</v>
      </c>
      <c r="BX655" t="s">
        <v>119</v>
      </c>
      <c r="BY655" t="s">
        <v>120</v>
      </c>
      <c r="CJ655">
        <v>0</v>
      </c>
      <c r="CK655">
        <v>0</v>
      </c>
      <c r="CL655">
        <v>0</v>
      </c>
      <c r="CM655">
        <v>2</v>
      </c>
      <c r="CN655">
        <v>0</v>
      </c>
      <c r="CO655">
        <v>7</v>
      </c>
      <c r="CP655" t="s">
        <v>121</v>
      </c>
      <c r="CQ655">
        <v>579</v>
      </c>
      <c r="CR655">
        <v>0</v>
      </c>
      <c r="CW655">
        <v>1597952</v>
      </c>
      <c r="CY655">
        <v>0</v>
      </c>
      <c r="CZ655">
        <v>0</v>
      </c>
      <c r="DA655">
        <v>0</v>
      </c>
      <c r="DB655">
        <v>1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</row>
    <row r="656" spans="1:113" x14ac:dyDescent="0.3">
      <c r="A656" t="str">
        <f>"06/16/2022 19:14:14.174"</f>
        <v>06/16/2022 19:14:14.174</v>
      </c>
      <c r="C656" t="str">
        <f t="shared" ref="C656:C719" si="33">"FFBF5BC0"</f>
        <v>FFBF5BC0</v>
      </c>
      <c r="D656" t="s">
        <v>113</v>
      </c>
      <c r="E656">
        <v>8</v>
      </c>
      <c r="H656">
        <v>206</v>
      </c>
      <c r="I656" t="s">
        <v>114</v>
      </c>
      <c r="J656" t="s">
        <v>115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>"19:14:13.938"</f>
        <v>19:14:13.938</v>
      </c>
      <c r="T656" t="str">
        <f>"19:14:13.938"</f>
        <v>19:14:13.938</v>
      </c>
      <c r="U656" t="str">
        <f t="shared" si="31"/>
        <v>AB63B2</v>
      </c>
      <c r="V656">
        <v>0</v>
      </c>
      <c r="W656">
        <v>0</v>
      </c>
      <c r="X656">
        <v>6</v>
      </c>
      <c r="Z656">
        <v>0</v>
      </c>
      <c r="AA656">
        <v>9</v>
      </c>
      <c r="AB656">
        <v>3</v>
      </c>
      <c r="AC656">
        <v>0</v>
      </c>
      <c r="AD656">
        <v>10</v>
      </c>
      <c r="AE656">
        <v>0</v>
      </c>
      <c r="AF656">
        <v>0</v>
      </c>
      <c r="AG656">
        <v>2</v>
      </c>
      <c r="AH656">
        <v>0</v>
      </c>
      <c r="AI656" t="s">
        <v>668</v>
      </c>
      <c r="AJ656">
        <v>41.969360999999999</v>
      </c>
      <c r="AK656" t="s">
        <v>657</v>
      </c>
      <c r="AL656">
        <v>-87.895560000000003</v>
      </c>
      <c r="AS656">
        <v>1</v>
      </c>
      <c r="AT656" t="s">
        <v>118</v>
      </c>
      <c r="AU656" t="b">
        <v>1</v>
      </c>
      <c r="AV656">
        <v>188.44</v>
      </c>
      <c r="AW656">
        <v>9.625</v>
      </c>
      <c r="AX656">
        <v>1</v>
      </c>
      <c r="AZ656">
        <v>7205</v>
      </c>
      <c r="BA656">
        <v>1</v>
      </c>
      <c r="BB656" t="str">
        <f t="shared" si="32"/>
        <v xml:space="preserve">KAP400  </v>
      </c>
      <c r="BC656">
        <v>1</v>
      </c>
      <c r="BE656">
        <v>0</v>
      </c>
      <c r="BF656">
        <v>0</v>
      </c>
      <c r="BG656">
        <v>0</v>
      </c>
      <c r="BI656">
        <v>1</v>
      </c>
      <c r="BJ656">
        <v>1</v>
      </c>
      <c r="BK656">
        <v>1</v>
      </c>
      <c r="BL656">
        <v>0</v>
      </c>
      <c r="BO656">
        <v>0</v>
      </c>
      <c r="BP656">
        <v>0</v>
      </c>
      <c r="BW656" t="str">
        <f>"19:14:13.944"</f>
        <v>19:14:13.944</v>
      </c>
      <c r="BX656" t="s">
        <v>119</v>
      </c>
      <c r="BY656" t="s">
        <v>120</v>
      </c>
      <c r="CJ656">
        <v>0</v>
      </c>
      <c r="CK656">
        <v>0</v>
      </c>
      <c r="CL656">
        <v>0</v>
      </c>
      <c r="CM656">
        <v>2</v>
      </c>
      <c r="CN656">
        <v>0</v>
      </c>
      <c r="CO656">
        <v>7</v>
      </c>
      <c r="CP656" t="s">
        <v>121</v>
      </c>
      <c r="CQ656">
        <v>579</v>
      </c>
      <c r="CR656">
        <v>0</v>
      </c>
      <c r="CW656">
        <v>1600148</v>
      </c>
      <c r="CY656">
        <v>0</v>
      </c>
      <c r="CZ656">
        <v>0</v>
      </c>
      <c r="DA656">
        <v>0</v>
      </c>
      <c r="DB656">
        <v>1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</row>
    <row r="657" spans="1:113" x14ac:dyDescent="0.3">
      <c r="A657" t="str">
        <f>"06/16/2022 19:14:16.253"</f>
        <v>06/16/2022 19:14:16.253</v>
      </c>
      <c r="C657" t="str">
        <f t="shared" si="33"/>
        <v>FFBF5BC0</v>
      </c>
      <c r="D657" t="s">
        <v>113</v>
      </c>
      <c r="E657">
        <v>8</v>
      </c>
      <c r="H657">
        <v>206</v>
      </c>
      <c r="I657" t="s">
        <v>114</v>
      </c>
      <c r="J657" t="s">
        <v>115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>"19:14:16.000"</f>
        <v>19:14:16.000</v>
      </c>
      <c r="T657" t="str">
        <f>"19:14:16.000"</f>
        <v>19:14:16.000</v>
      </c>
      <c r="U657" t="str">
        <f t="shared" si="31"/>
        <v>AB63B2</v>
      </c>
      <c r="V657">
        <v>0</v>
      </c>
      <c r="W657">
        <v>0</v>
      </c>
      <c r="X657">
        <v>6</v>
      </c>
      <c r="Z657">
        <v>0</v>
      </c>
      <c r="AA657">
        <v>9</v>
      </c>
      <c r="AB657">
        <v>3</v>
      </c>
      <c r="AC657">
        <v>0</v>
      </c>
      <c r="AD657">
        <v>10</v>
      </c>
      <c r="AE657">
        <v>0</v>
      </c>
      <c r="AF657">
        <v>0</v>
      </c>
      <c r="AG657">
        <v>2</v>
      </c>
      <c r="AH657">
        <v>0</v>
      </c>
      <c r="AI657" t="s">
        <v>669</v>
      </c>
      <c r="AJ657">
        <v>41.969275000000003</v>
      </c>
      <c r="AK657" t="s">
        <v>414</v>
      </c>
      <c r="AL657">
        <v>-87.895582000000005</v>
      </c>
      <c r="AS657">
        <v>1</v>
      </c>
      <c r="AT657" t="s">
        <v>118</v>
      </c>
      <c r="AU657" t="b">
        <v>1</v>
      </c>
      <c r="AV657">
        <v>191.25</v>
      </c>
      <c r="AW657">
        <v>8.125</v>
      </c>
      <c r="AX657">
        <v>1</v>
      </c>
      <c r="AZ657">
        <v>7205</v>
      </c>
      <c r="BA657">
        <v>1</v>
      </c>
      <c r="BB657" t="str">
        <f t="shared" si="32"/>
        <v xml:space="preserve">KAP400  </v>
      </c>
      <c r="BC657">
        <v>1</v>
      </c>
      <c r="BE657">
        <v>0</v>
      </c>
      <c r="BF657">
        <v>0</v>
      </c>
      <c r="BG657">
        <v>0</v>
      </c>
      <c r="BI657">
        <v>1</v>
      </c>
      <c r="BJ657">
        <v>1</v>
      </c>
      <c r="BK657">
        <v>1</v>
      </c>
      <c r="BL657">
        <v>0</v>
      </c>
      <c r="BO657">
        <v>0</v>
      </c>
      <c r="BP657">
        <v>0</v>
      </c>
      <c r="BW657" t="str">
        <f>"19:14:16.006"</f>
        <v>19:14:16.006</v>
      </c>
      <c r="BX657" t="s">
        <v>119</v>
      </c>
      <c r="BY657" t="s">
        <v>120</v>
      </c>
      <c r="CJ657">
        <v>0</v>
      </c>
      <c r="CK657">
        <v>0</v>
      </c>
      <c r="CL657">
        <v>0</v>
      </c>
      <c r="CM657">
        <v>2</v>
      </c>
      <c r="CN657">
        <v>0</v>
      </c>
      <c r="CO657">
        <v>7</v>
      </c>
      <c r="CP657" t="s">
        <v>121</v>
      </c>
      <c r="CQ657">
        <v>579</v>
      </c>
      <c r="CR657">
        <v>0</v>
      </c>
      <c r="CW657">
        <v>1604139</v>
      </c>
      <c r="CY657">
        <v>0</v>
      </c>
      <c r="CZ657">
        <v>0</v>
      </c>
      <c r="DA657">
        <v>0</v>
      </c>
      <c r="DB657">
        <v>1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</row>
    <row r="658" spans="1:113" x14ac:dyDescent="0.3">
      <c r="A658" t="str">
        <f>"06/16/2022 19:14:17.408"</f>
        <v>06/16/2022 19:14:17.408</v>
      </c>
      <c r="C658" t="str">
        <f t="shared" si="33"/>
        <v>FFBF5BC0</v>
      </c>
      <c r="D658" t="s">
        <v>113</v>
      </c>
      <c r="E658">
        <v>8</v>
      </c>
      <c r="H658">
        <v>206</v>
      </c>
      <c r="I658" t="s">
        <v>114</v>
      </c>
      <c r="J658" t="s">
        <v>115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>"19:14:16.953"</f>
        <v>19:14:16.953</v>
      </c>
      <c r="T658" t="str">
        <f>"19:14:16.953"</f>
        <v>19:14:16.953</v>
      </c>
      <c r="U658" t="str">
        <f t="shared" si="31"/>
        <v>AB63B2</v>
      </c>
      <c r="V658">
        <v>0</v>
      </c>
      <c r="W658">
        <v>0</v>
      </c>
      <c r="X658">
        <v>6</v>
      </c>
      <c r="Z658">
        <v>0</v>
      </c>
      <c r="AA658">
        <v>9</v>
      </c>
      <c r="AB658">
        <v>3</v>
      </c>
      <c r="AC658">
        <v>0</v>
      </c>
      <c r="AD658">
        <v>10</v>
      </c>
      <c r="AE658">
        <v>0</v>
      </c>
      <c r="AF658">
        <v>0</v>
      </c>
      <c r="AG658">
        <v>2</v>
      </c>
      <c r="AH658">
        <v>0</v>
      </c>
      <c r="AI658" t="s">
        <v>670</v>
      </c>
      <c r="AJ658">
        <v>41.969233000000003</v>
      </c>
      <c r="AK658" t="s">
        <v>414</v>
      </c>
      <c r="AL658">
        <v>-87.895582000000005</v>
      </c>
      <c r="AS658">
        <v>1</v>
      </c>
      <c r="AT658" t="s">
        <v>118</v>
      </c>
      <c r="AU658" t="b">
        <v>1</v>
      </c>
      <c r="AV658">
        <v>191.25</v>
      </c>
      <c r="AW658">
        <v>8.625</v>
      </c>
      <c r="AX658">
        <v>1</v>
      </c>
      <c r="AZ658">
        <v>7205</v>
      </c>
      <c r="BA658">
        <v>1</v>
      </c>
      <c r="BB658" t="str">
        <f t="shared" si="32"/>
        <v xml:space="preserve">KAP400  </v>
      </c>
      <c r="BC658">
        <v>1</v>
      </c>
      <c r="BE658">
        <v>0</v>
      </c>
      <c r="BF658">
        <v>0</v>
      </c>
      <c r="BG658">
        <v>0</v>
      </c>
      <c r="BI658">
        <v>1</v>
      </c>
      <c r="BJ658">
        <v>1</v>
      </c>
      <c r="BK658">
        <v>1</v>
      </c>
      <c r="BL658">
        <v>0</v>
      </c>
      <c r="BO658">
        <v>0</v>
      </c>
      <c r="BP658">
        <v>0</v>
      </c>
      <c r="BW658" t="str">
        <f>"19:14:16.957"</f>
        <v>19:14:16.957</v>
      </c>
      <c r="BX658" t="s">
        <v>119</v>
      </c>
      <c r="BY658" t="s">
        <v>120</v>
      </c>
      <c r="CJ658">
        <v>0</v>
      </c>
      <c r="CK658">
        <v>0</v>
      </c>
      <c r="CL658">
        <v>0</v>
      </c>
      <c r="CM658">
        <v>2</v>
      </c>
      <c r="CN658">
        <v>0</v>
      </c>
      <c r="CO658">
        <v>7</v>
      </c>
      <c r="CP658" t="s">
        <v>121</v>
      </c>
      <c r="CQ658">
        <v>579</v>
      </c>
      <c r="CR658">
        <v>0</v>
      </c>
      <c r="CW658">
        <v>1606064</v>
      </c>
      <c r="CY658">
        <v>0</v>
      </c>
      <c r="CZ658">
        <v>0</v>
      </c>
      <c r="DA658">
        <v>0</v>
      </c>
      <c r="DB658">
        <v>1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</row>
    <row r="659" spans="1:113" x14ac:dyDescent="0.3">
      <c r="A659" t="str">
        <f>"06/16/2022 19:14:18.705"</f>
        <v>06/16/2022 19:14:18.705</v>
      </c>
      <c r="C659" t="str">
        <f t="shared" si="33"/>
        <v>FFBF5BC0</v>
      </c>
      <c r="D659" t="s">
        <v>113</v>
      </c>
      <c r="E659">
        <v>8</v>
      </c>
      <c r="H659">
        <v>206</v>
      </c>
      <c r="I659" t="s">
        <v>114</v>
      </c>
      <c r="J659" t="s">
        <v>115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>"19:14:18.477"</f>
        <v>19:14:18.477</v>
      </c>
      <c r="T659" t="str">
        <f>"19:14:18.477"</f>
        <v>19:14:18.477</v>
      </c>
      <c r="U659" t="str">
        <f t="shared" si="31"/>
        <v>AB63B2</v>
      </c>
      <c r="V659">
        <v>0</v>
      </c>
      <c r="W659">
        <v>0</v>
      </c>
      <c r="X659">
        <v>6</v>
      </c>
      <c r="Z659">
        <v>0</v>
      </c>
      <c r="AA659">
        <v>9</v>
      </c>
      <c r="AB659">
        <v>3</v>
      </c>
      <c r="AC659">
        <v>0</v>
      </c>
      <c r="AD659">
        <v>10</v>
      </c>
      <c r="AE659">
        <v>0</v>
      </c>
      <c r="AF659">
        <v>0</v>
      </c>
      <c r="AG659">
        <v>2</v>
      </c>
      <c r="AH659">
        <v>0</v>
      </c>
      <c r="AI659" t="s">
        <v>671</v>
      </c>
      <c r="AJ659">
        <v>41.969168000000003</v>
      </c>
      <c r="AK659" t="s">
        <v>665</v>
      </c>
      <c r="AL659">
        <v>-87.895538999999999</v>
      </c>
      <c r="AS659">
        <v>1</v>
      </c>
      <c r="AT659" t="s">
        <v>118</v>
      </c>
      <c r="AU659" t="b">
        <v>1</v>
      </c>
      <c r="AV659">
        <v>180</v>
      </c>
      <c r="AW659">
        <v>10.625</v>
      </c>
      <c r="AX659">
        <v>1</v>
      </c>
      <c r="AZ659">
        <v>7205</v>
      </c>
      <c r="BA659">
        <v>1</v>
      </c>
      <c r="BB659" t="str">
        <f t="shared" si="32"/>
        <v xml:space="preserve">KAP400  </v>
      </c>
      <c r="BC659">
        <v>1</v>
      </c>
      <c r="BE659">
        <v>0</v>
      </c>
      <c r="BF659">
        <v>0</v>
      </c>
      <c r="BG659">
        <v>0</v>
      </c>
      <c r="BI659">
        <v>1</v>
      </c>
      <c r="BJ659">
        <v>1</v>
      </c>
      <c r="BK659">
        <v>1</v>
      </c>
      <c r="BL659">
        <v>0</v>
      </c>
      <c r="BO659">
        <v>0</v>
      </c>
      <c r="BP659">
        <v>0</v>
      </c>
      <c r="BW659" t="str">
        <f>"19:14:18.479"</f>
        <v>19:14:18.479</v>
      </c>
      <c r="BX659" t="s">
        <v>119</v>
      </c>
      <c r="BY659" t="s">
        <v>120</v>
      </c>
      <c r="CJ659">
        <v>0</v>
      </c>
      <c r="CK659">
        <v>0</v>
      </c>
      <c r="CL659">
        <v>0</v>
      </c>
      <c r="CM659">
        <v>2</v>
      </c>
      <c r="CN659">
        <v>0</v>
      </c>
      <c r="CO659">
        <v>7</v>
      </c>
      <c r="CP659" t="s">
        <v>121</v>
      </c>
      <c r="CQ659">
        <v>580</v>
      </c>
      <c r="CR659">
        <v>0</v>
      </c>
      <c r="CW659">
        <v>500868</v>
      </c>
      <c r="CY659">
        <v>0</v>
      </c>
      <c r="CZ659">
        <v>0</v>
      </c>
      <c r="DA659">
        <v>0</v>
      </c>
      <c r="DB659">
        <v>1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</row>
    <row r="660" spans="1:113" x14ac:dyDescent="0.3">
      <c r="A660" t="str">
        <f>"06/16/2022 19:14:19.768"</f>
        <v>06/16/2022 19:14:19.768</v>
      </c>
      <c r="C660" t="str">
        <f t="shared" si="33"/>
        <v>FFBF5BC0</v>
      </c>
      <c r="D660" t="s">
        <v>113</v>
      </c>
      <c r="E660">
        <v>8</v>
      </c>
      <c r="H660">
        <v>206</v>
      </c>
      <c r="I660" t="s">
        <v>114</v>
      </c>
      <c r="J660" t="s">
        <v>115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>"19:14:19.414"</f>
        <v>19:14:19.414</v>
      </c>
      <c r="T660" t="str">
        <f>"19:14:19.414"</f>
        <v>19:14:19.414</v>
      </c>
      <c r="U660" t="str">
        <f t="shared" si="31"/>
        <v>AB63B2</v>
      </c>
      <c r="V660">
        <v>0</v>
      </c>
      <c r="W660">
        <v>0</v>
      </c>
      <c r="X660">
        <v>6</v>
      </c>
      <c r="Z660">
        <v>0</v>
      </c>
      <c r="AA660">
        <v>9</v>
      </c>
      <c r="AB660">
        <v>3</v>
      </c>
      <c r="AC660">
        <v>0</v>
      </c>
      <c r="AD660">
        <v>10</v>
      </c>
      <c r="AE660">
        <v>0</v>
      </c>
      <c r="AF660">
        <v>0</v>
      </c>
      <c r="AG660">
        <v>2</v>
      </c>
      <c r="AH660">
        <v>0</v>
      </c>
      <c r="AI660" t="s">
        <v>672</v>
      </c>
      <c r="AJ660">
        <v>41.969124999999998</v>
      </c>
      <c r="AK660" t="s">
        <v>673</v>
      </c>
      <c r="AL660">
        <v>-87.895516999999998</v>
      </c>
      <c r="AS660">
        <v>1</v>
      </c>
      <c r="AT660" t="s">
        <v>118</v>
      </c>
      <c r="AU660" t="b">
        <v>1</v>
      </c>
      <c r="AV660">
        <v>160.31</v>
      </c>
      <c r="AW660">
        <v>10.125</v>
      </c>
      <c r="AX660">
        <v>1</v>
      </c>
      <c r="AZ660">
        <v>7205</v>
      </c>
      <c r="BA660">
        <v>1</v>
      </c>
      <c r="BB660" t="str">
        <f t="shared" si="32"/>
        <v xml:space="preserve">KAP400  </v>
      </c>
      <c r="BC660">
        <v>1</v>
      </c>
      <c r="BE660">
        <v>0</v>
      </c>
      <c r="BF660">
        <v>0</v>
      </c>
      <c r="BG660">
        <v>0</v>
      </c>
      <c r="BI660">
        <v>1</v>
      </c>
      <c r="BJ660">
        <v>1</v>
      </c>
      <c r="BK660">
        <v>1</v>
      </c>
      <c r="BL660">
        <v>0</v>
      </c>
      <c r="BO660">
        <v>0</v>
      </c>
      <c r="BP660">
        <v>0</v>
      </c>
      <c r="BW660" t="str">
        <f>"19:14:19.416"</f>
        <v>19:14:19.416</v>
      </c>
      <c r="BX660" t="s">
        <v>119</v>
      </c>
      <c r="BY660" t="s">
        <v>120</v>
      </c>
      <c r="CJ660">
        <v>0</v>
      </c>
      <c r="CK660">
        <v>0</v>
      </c>
      <c r="CL660">
        <v>0</v>
      </c>
      <c r="CM660">
        <v>2</v>
      </c>
      <c r="CN660">
        <v>0</v>
      </c>
      <c r="CO660">
        <v>7</v>
      </c>
      <c r="CP660" t="s">
        <v>121</v>
      </c>
      <c r="CQ660">
        <v>579</v>
      </c>
      <c r="CR660">
        <v>0</v>
      </c>
      <c r="CW660">
        <v>1610596</v>
      </c>
      <c r="CY660">
        <v>0</v>
      </c>
      <c r="CZ660">
        <v>0</v>
      </c>
      <c r="DA660">
        <v>0</v>
      </c>
      <c r="DB660">
        <v>1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</row>
    <row r="661" spans="1:113" x14ac:dyDescent="0.3">
      <c r="A661" t="str">
        <f>"06/16/2022 19:14:20.581"</f>
        <v>06/16/2022 19:14:20.581</v>
      </c>
      <c r="C661" t="str">
        <f t="shared" si="33"/>
        <v>FFBF5BC0</v>
      </c>
      <c r="D661" t="s">
        <v>113</v>
      </c>
      <c r="E661">
        <v>8</v>
      </c>
      <c r="H661">
        <v>206</v>
      </c>
      <c r="I661" t="s">
        <v>114</v>
      </c>
      <c r="J661" t="s">
        <v>115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>"19:14:20.375"</f>
        <v>19:14:20.375</v>
      </c>
      <c r="T661" t="str">
        <f>"19:14:20.375"</f>
        <v>19:14:20.375</v>
      </c>
      <c r="U661" t="str">
        <f t="shared" si="31"/>
        <v>AB63B2</v>
      </c>
      <c r="V661">
        <v>0</v>
      </c>
      <c r="W661">
        <v>0</v>
      </c>
      <c r="X661">
        <v>6</v>
      </c>
      <c r="Z661">
        <v>0</v>
      </c>
      <c r="AA661">
        <v>9</v>
      </c>
      <c r="AB661">
        <v>3</v>
      </c>
      <c r="AC661">
        <v>0</v>
      </c>
      <c r="AD661">
        <v>10</v>
      </c>
      <c r="AE661">
        <v>0</v>
      </c>
      <c r="AF661">
        <v>0</v>
      </c>
      <c r="AG661">
        <v>2</v>
      </c>
      <c r="AH661">
        <v>0</v>
      </c>
      <c r="AI661" t="s">
        <v>674</v>
      </c>
      <c r="AJ661">
        <v>41.969082</v>
      </c>
      <c r="AK661" t="s">
        <v>675</v>
      </c>
      <c r="AL661">
        <v>-87.895495999999994</v>
      </c>
      <c r="AS661">
        <v>1</v>
      </c>
      <c r="AT661" t="s">
        <v>118</v>
      </c>
      <c r="AU661" t="b">
        <v>1</v>
      </c>
      <c r="AV661">
        <v>126.56</v>
      </c>
      <c r="AW661">
        <v>11.125</v>
      </c>
      <c r="AX661">
        <v>1</v>
      </c>
      <c r="AZ661">
        <v>7205</v>
      </c>
      <c r="BA661">
        <v>1</v>
      </c>
      <c r="BB661" t="str">
        <f t="shared" si="32"/>
        <v xml:space="preserve">KAP400  </v>
      </c>
      <c r="BC661">
        <v>1</v>
      </c>
      <c r="BE661">
        <v>0</v>
      </c>
      <c r="BF661">
        <v>0</v>
      </c>
      <c r="BG661">
        <v>0</v>
      </c>
      <c r="BI661">
        <v>1</v>
      </c>
      <c r="BJ661">
        <v>1</v>
      </c>
      <c r="BK661">
        <v>1</v>
      </c>
      <c r="BL661">
        <v>0</v>
      </c>
      <c r="BO661">
        <v>0</v>
      </c>
      <c r="BP661">
        <v>0</v>
      </c>
      <c r="BW661" t="str">
        <f>"19:14:20.379"</f>
        <v>19:14:20.379</v>
      </c>
      <c r="BX661" t="s">
        <v>119</v>
      </c>
      <c r="BY661" t="s">
        <v>120</v>
      </c>
      <c r="CJ661">
        <v>0</v>
      </c>
      <c r="CK661">
        <v>0</v>
      </c>
      <c r="CL661">
        <v>0</v>
      </c>
      <c r="CM661">
        <v>2</v>
      </c>
      <c r="CN661">
        <v>0</v>
      </c>
      <c r="CO661">
        <v>7</v>
      </c>
      <c r="CP661" t="s">
        <v>121</v>
      </c>
      <c r="CQ661">
        <v>579</v>
      </c>
      <c r="CR661">
        <v>0</v>
      </c>
      <c r="CW661">
        <v>1612429</v>
      </c>
      <c r="CY661">
        <v>0</v>
      </c>
      <c r="CZ661">
        <v>0</v>
      </c>
      <c r="DA661">
        <v>0</v>
      </c>
      <c r="DB661">
        <v>1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</row>
    <row r="662" spans="1:113" x14ac:dyDescent="0.3">
      <c r="A662" t="str">
        <f>"06/16/2022 19:14:21.565"</f>
        <v>06/16/2022 19:14:21.565</v>
      </c>
      <c r="C662" t="str">
        <f t="shared" si="33"/>
        <v>FFBF5BC0</v>
      </c>
      <c r="D662" t="s">
        <v>113</v>
      </c>
      <c r="E662">
        <v>8</v>
      </c>
      <c r="H662">
        <v>206</v>
      </c>
      <c r="I662" t="s">
        <v>114</v>
      </c>
      <c r="J662" t="s">
        <v>115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>"19:14:21.297"</f>
        <v>19:14:21.297</v>
      </c>
      <c r="T662" t="str">
        <f>"19:14:21.297"</f>
        <v>19:14:21.297</v>
      </c>
      <c r="U662" t="str">
        <f t="shared" si="31"/>
        <v>AB63B2</v>
      </c>
      <c r="V662">
        <v>0</v>
      </c>
      <c r="W662">
        <v>0</v>
      </c>
      <c r="X662">
        <v>6</v>
      </c>
      <c r="Z662">
        <v>0</v>
      </c>
      <c r="AA662">
        <v>9</v>
      </c>
      <c r="AB662">
        <v>3</v>
      </c>
      <c r="AC662">
        <v>0</v>
      </c>
      <c r="AD662">
        <v>10</v>
      </c>
      <c r="AE662">
        <v>0</v>
      </c>
      <c r="AF662">
        <v>0</v>
      </c>
      <c r="AG662">
        <v>2</v>
      </c>
      <c r="AH662">
        <v>0</v>
      </c>
      <c r="AI662" t="s">
        <v>676</v>
      </c>
      <c r="AJ662">
        <v>41.969061000000004</v>
      </c>
      <c r="AK662" t="s">
        <v>412</v>
      </c>
      <c r="AL662">
        <v>-87.895453000000003</v>
      </c>
      <c r="AS662">
        <v>1</v>
      </c>
      <c r="AT662" t="s">
        <v>118</v>
      </c>
      <c r="AU662" t="b">
        <v>1</v>
      </c>
      <c r="AV662">
        <v>95.63</v>
      </c>
      <c r="AW662">
        <v>11.625</v>
      </c>
      <c r="AX662">
        <v>1</v>
      </c>
      <c r="AZ662">
        <v>7205</v>
      </c>
      <c r="BA662">
        <v>1</v>
      </c>
      <c r="BB662" t="str">
        <f t="shared" si="32"/>
        <v xml:space="preserve">KAP400  </v>
      </c>
      <c r="BC662">
        <v>1</v>
      </c>
      <c r="BE662">
        <v>0</v>
      </c>
      <c r="BF662">
        <v>0</v>
      </c>
      <c r="BG662">
        <v>0</v>
      </c>
      <c r="BI662">
        <v>1</v>
      </c>
      <c r="BJ662">
        <v>1</v>
      </c>
      <c r="BK662">
        <v>1</v>
      </c>
      <c r="BL662">
        <v>0</v>
      </c>
      <c r="BO662">
        <v>0</v>
      </c>
      <c r="BP662">
        <v>0</v>
      </c>
      <c r="BW662" t="str">
        <f>"19:14:21.302"</f>
        <v>19:14:21.302</v>
      </c>
      <c r="BX662" t="s">
        <v>119</v>
      </c>
      <c r="BY662" t="s">
        <v>120</v>
      </c>
      <c r="CJ662">
        <v>0</v>
      </c>
      <c r="CK662">
        <v>0</v>
      </c>
      <c r="CL662">
        <v>0</v>
      </c>
      <c r="CM662">
        <v>2</v>
      </c>
      <c r="CN662">
        <v>0</v>
      </c>
      <c r="CO662">
        <v>7</v>
      </c>
      <c r="CP662" t="s">
        <v>121</v>
      </c>
      <c r="CQ662">
        <v>579</v>
      </c>
      <c r="CR662">
        <v>0</v>
      </c>
      <c r="CW662">
        <v>1614188</v>
      </c>
      <c r="CY662">
        <v>0</v>
      </c>
      <c r="CZ662">
        <v>0</v>
      </c>
      <c r="DA662">
        <v>0</v>
      </c>
      <c r="DB662">
        <v>1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</row>
    <row r="663" spans="1:113" x14ac:dyDescent="0.3">
      <c r="A663" t="str">
        <f>"06/16/2022 19:14:22.440"</f>
        <v>06/16/2022 19:14:22.440</v>
      </c>
      <c r="C663" t="str">
        <f t="shared" si="33"/>
        <v>FFBF5BC0</v>
      </c>
      <c r="D663" t="s">
        <v>113</v>
      </c>
      <c r="E663">
        <v>8</v>
      </c>
      <c r="H663">
        <v>206</v>
      </c>
      <c r="I663" t="s">
        <v>114</v>
      </c>
      <c r="J663" t="s">
        <v>115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>"19:14:22.250"</f>
        <v>19:14:22.250</v>
      </c>
      <c r="T663" t="str">
        <f>"19:14:22.250"</f>
        <v>19:14:22.250</v>
      </c>
      <c r="U663" t="str">
        <f t="shared" si="31"/>
        <v>AB63B2</v>
      </c>
      <c r="V663">
        <v>0</v>
      </c>
      <c r="W663">
        <v>0</v>
      </c>
      <c r="X663">
        <v>6</v>
      </c>
      <c r="Z663">
        <v>0</v>
      </c>
      <c r="AA663">
        <v>9</v>
      </c>
      <c r="AB663">
        <v>3</v>
      </c>
      <c r="AC663">
        <v>0</v>
      </c>
      <c r="AD663">
        <v>10</v>
      </c>
      <c r="AE663">
        <v>0</v>
      </c>
      <c r="AF663">
        <v>0</v>
      </c>
      <c r="AG663">
        <v>2</v>
      </c>
      <c r="AH663">
        <v>0</v>
      </c>
      <c r="AI663" t="s">
        <v>676</v>
      </c>
      <c r="AJ663">
        <v>41.969061000000004</v>
      </c>
      <c r="AK663" t="s">
        <v>677</v>
      </c>
      <c r="AL663">
        <v>-87.895409999999998</v>
      </c>
      <c r="AS663">
        <v>1</v>
      </c>
      <c r="AT663" t="s">
        <v>118</v>
      </c>
      <c r="AU663" t="b">
        <v>1</v>
      </c>
      <c r="AV663">
        <v>75.94</v>
      </c>
      <c r="AW663">
        <v>9.125</v>
      </c>
      <c r="AX663">
        <v>1</v>
      </c>
      <c r="AZ663">
        <v>7205</v>
      </c>
      <c r="BA663">
        <v>1</v>
      </c>
      <c r="BB663" t="str">
        <f t="shared" si="32"/>
        <v xml:space="preserve">KAP400  </v>
      </c>
      <c r="BC663">
        <v>1</v>
      </c>
      <c r="BE663">
        <v>0</v>
      </c>
      <c r="BF663">
        <v>0</v>
      </c>
      <c r="BG663">
        <v>0</v>
      </c>
      <c r="BI663">
        <v>1</v>
      </c>
      <c r="BJ663">
        <v>1</v>
      </c>
      <c r="BK663">
        <v>1</v>
      </c>
      <c r="BL663">
        <v>0</v>
      </c>
      <c r="BO663">
        <v>0</v>
      </c>
      <c r="BP663">
        <v>0</v>
      </c>
      <c r="BW663" t="str">
        <f>"19:14:22.250"</f>
        <v>19:14:22.250</v>
      </c>
      <c r="BX663" t="s">
        <v>119</v>
      </c>
      <c r="BY663" t="s">
        <v>120</v>
      </c>
      <c r="CJ663">
        <v>0</v>
      </c>
      <c r="CK663">
        <v>0</v>
      </c>
      <c r="CL663">
        <v>0</v>
      </c>
      <c r="CM663">
        <v>2</v>
      </c>
      <c r="CN663">
        <v>0</v>
      </c>
      <c r="CO663">
        <v>7</v>
      </c>
      <c r="CP663" t="s">
        <v>121</v>
      </c>
      <c r="CQ663">
        <v>580</v>
      </c>
      <c r="CR663">
        <v>0</v>
      </c>
      <c r="CW663">
        <v>507892</v>
      </c>
      <c r="CY663">
        <v>0</v>
      </c>
      <c r="CZ663">
        <v>0</v>
      </c>
      <c r="DA663">
        <v>0</v>
      </c>
      <c r="DB663">
        <v>1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</row>
    <row r="664" spans="1:113" x14ac:dyDescent="0.3">
      <c r="A664" t="str">
        <f>"06/16/2022 19:14:23.471"</f>
        <v>06/16/2022 19:14:23.471</v>
      </c>
      <c r="C664" t="str">
        <f t="shared" si="33"/>
        <v>FFBF5BC0</v>
      </c>
      <c r="D664" t="s">
        <v>113</v>
      </c>
      <c r="E664">
        <v>8</v>
      </c>
      <c r="H664">
        <v>206</v>
      </c>
      <c r="I664" t="s">
        <v>114</v>
      </c>
      <c r="J664" t="s">
        <v>115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>"19:14:23.203"</f>
        <v>19:14:23.203</v>
      </c>
      <c r="T664" t="str">
        <f>"19:14:23.203"</f>
        <v>19:14:23.203</v>
      </c>
      <c r="U664" t="str">
        <f t="shared" si="31"/>
        <v>AB63B2</v>
      </c>
      <c r="V664">
        <v>0</v>
      </c>
      <c r="W664">
        <v>0</v>
      </c>
      <c r="X664">
        <v>6</v>
      </c>
      <c r="Z664">
        <v>0</v>
      </c>
      <c r="AA664">
        <v>9</v>
      </c>
      <c r="AB664">
        <v>3</v>
      </c>
      <c r="AC664">
        <v>0</v>
      </c>
      <c r="AD664">
        <v>10</v>
      </c>
      <c r="AE664">
        <v>0</v>
      </c>
      <c r="AF664">
        <v>0</v>
      </c>
      <c r="AG664">
        <v>2</v>
      </c>
      <c r="AH664">
        <v>0</v>
      </c>
      <c r="AI664" t="s">
        <v>676</v>
      </c>
      <c r="AJ664">
        <v>41.969061000000004</v>
      </c>
      <c r="AK664" t="s">
        <v>406</v>
      </c>
      <c r="AL664">
        <v>-87.895346000000004</v>
      </c>
      <c r="AS664">
        <v>1</v>
      </c>
      <c r="AT664" t="s">
        <v>118</v>
      </c>
      <c r="AU664" t="b">
        <v>1</v>
      </c>
      <c r="AV664">
        <v>67.5</v>
      </c>
      <c r="AW664">
        <v>9.125</v>
      </c>
      <c r="AX664">
        <v>1</v>
      </c>
      <c r="AZ664">
        <v>7205</v>
      </c>
      <c r="BA664">
        <v>1</v>
      </c>
      <c r="BB664" t="str">
        <f t="shared" si="32"/>
        <v xml:space="preserve">KAP400  </v>
      </c>
      <c r="BC664">
        <v>1</v>
      </c>
      <c r="BE664">
        <v>0</v>
      </c>
      <c r="BF664">
        <v>0</v>
      </c>
      <c r="BG664">
        <v>0</v>
      </c>
      <c r="BI664">
        <v>1</v>
      </c>
      <c r="BJ664">
        <v>1</v>
      </c>
      <c r="BK664">
        <v>1</v>
      </c>
      <c r="BL664">
        <v>0</v>
      </c>
      <c r="BO664">
        <v>0</v>
      </c>
      <c r="BP664">
        <v>0</v>
      </c>
      <c r="BW664" t="str">
        <f>"19:14:23.209"</f>
        <v>19:14:23.209</v>
      </c>
      <c r="BX664" t="s">
        <v>119</v>
      </c>
      <c r="BY664" t="s">
        <v>120</v>
      </c>
      <c r="CJ664">
        <v>0</v>
      </c>
      <c r="CK664">
        <v>0</v>
      </c>
      <c r="CL664">
        <v>0</v>
      </c>
      <c r="CM664">
        <v>2</v>
      </c>
      <c r="CN664">
        <v>0</v>
      </c>
      <c r="CO664">
        <v>7</v>
      </c>
      <c r="CP664" t="s">
        <v>121</v>
      </c>
      <c r="CQ664">
        <v>580</v>
      </c>
      <c r="CR664">
        <v>0</v>
      </c>
      <c r="CW664">
        <v>509603</v>
      </c>
      <c r="CY664">
        <v>0</v>
      </c>
      <c r="CZ664">
        <v>0</v>
      </c>
      <c r="DA664">
        <v>0</v>
      </c>
      <c r="DB664">
        <v>1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</row>
    <row r="665" spans="1:113" x14ac:dyDescent="0.3">
      <c r="A665" t="str">
        <f>"06/16/2022 19:14:24.519"</f>
        <v>06/16/2022 19:14:24.519</v>
      </c>
      <c r="C665" t="str">
        <f t="shared" si="33"/>
        <v>FFBF5BC0</v>
      </c>
      <c r="D665" t="s">
        <v>113</v>
      </c>
      <c r="E665">
        <v>8</v>
      </c>
      <c r="H665">
        <v>206</v>
      </c>
      <c r="I665" t="s">
        <v>114</v>
      </c>
      <c r="J665" t="s">
        <v>115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>"19:14:24.289"</f>
        <v>19:14:24.289</v>
      </c>
      <c r="T665" t="str">
        <f>"19:14:24.289"</f>
        <v>19:14:24.289</v>
      </c>
      <c r="U665" t="str">
        <f t="shared" si="31"/>
        <v>AB63B2</v>
      </c>
      <c r="V665">
        <v>0</v>
      </c>
      <c r="W665">
        <v>0</v>
      </c>
      <c r="X665">
        <v>6</v>
      </c>
      <c r="Z665">
        <v>0</v>
      </c>
      <c r="AA665">
        <v>9</v>
      </c>
      <c r="AB665">
        <v>3</v>
      </c>
      <c r="AC665">
        <v>0</v>
      </c>
      <c r="AD665">
        <v>10</v>
      </c>
      <c r="AE665">
        <v>0</v>
      </c>
      <c r="AF665">
        <v>0</v>
      </c>
      <c r="AG665">
        <v>2</v>
      </c>
      <c r="AH665">
        <v>0</v>
      </c>
      <c r="AI665" t="s">
        <v>676</v>
      </c>
      <c r="AJ665">
        <v>41.969061000000004</v>
      </c>
      <c r="AK665" t="s">
        <v>402</v>
      </c>
      <c r="AL665">
        <v>-87.895280999999997</v>
      </c>
      <c r="AS665">
        <v>1</v>
      </c>
      <c r="AT665" t="s">
        <v>118</v>
      </c>
      <c r="AU665" t="b">
        <v>1</v>
      </c>
      <c r="AV665">
        <v>64.69</v>
      </c>
      <c r="AW665">
        <v>9.625</v>
      </c>
      <c r="AX665">
        <v>1</v>
      </c>
      <c r="AZ665">
        <v>7205</v>
      </c>
      <c r="BA665">
        <v>1</v>
      </c>
      <c r="BB665" t="str">
        <f t="shared" si="32"/>
        <v xml:space="preserve">KAP400  </v>
      </c>
      <c r="BC665">
        <v>1</v>
      </c>
      <c r="BE665">
        <v>0</v>
      </c>
      <c r="BF665">
        <v>0</v>
      </c>
      <c r="BG665">
        <v>0</v>
      </c>
      <c r="BI665">
        <v>1</v>
      </c>
      <c r="BJ665">
        <v>1</v>
      </c>
      <c r="BK665">
        <v>1</v>
      </c>
      <c r="BL665">
        <v>0</v>
      </c>
      <c r="BO665">
        <v>0</v>
      </c>
      <c r="BP665">
        <v>0</v>
      </c>
      <c r="BW665" t="str">
        <f>"19:14:24.290"</f>
        <v>19:14:24.290</v>
      </c>
      <c r="BX665" t="s">
        <v>119</v>
      </c>
      <c r="BY665" t="s">
        <v>120</v>
      </c>
      <c r="CJ665">
        <v>0</v>
      </c>
      <c r="CK665">
        <v>0</v>
      </c>
      <c r="CL665">
        <v>0</v>
      </c>
      <c r="CM665">
        <v>2</v>
      </c>
      <c r="CN665">
        <v>0</v>
      </c>
      <c r="CO665">
        <v>7</v>
      </c>
      <c r="CP665" t="s">
        <v>121</v>
      </c>
      <c r="CQ665">
        <v>580</v>
      </c>
      <c r="CR665">
        <v>0</v>
      </c>
      <c r="CW665">
        <v>511502</v>
      </c>
      <c r="CY665">
        <v>0</v>
      </c>
      <c r="CZ665">
        <v>0</v>
      </c>
      <c r="DA665">
        <v>0</v>
      </c>
      <c r="DB665">
        <v>1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</row>
    <row r="666" spans="1:113" x14ac:dyDescent="0.3">
      <c r="A666" t="str">
        <f>"06/16/2022 19:14:25.457"</f>
        <v>06/16/2022 19:14:25.457</v>
      </c>
      <c r="C666" t="str">
        <f t="shared" si="33"/>
        <v>FFBF5BC0</v>
      </c>
      <c r="D666" t="s">
        <v>113</v>
      </c>
      <c r="E666">
        <v>8</v>
      </c>
      <c r="H666">
        <v>206</v>
      </c>
      <c r="I666" t="s">
        <v>114</v>
      </c>
      <c r="J666" t="s">
        <v>115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>"19:14:25.219"</f>
        <v>19:14:25.219</v>
      </c>
      <c r="T666" t="str">
        <f>"19:14:25.219"</f>
        <v>19:14:25.219</v>
      </c>
      <c r="U666" t="str">
        <f t="shared" si="31"/>
        <v>AB63B2</v>
      </c>
      <c r="V666">
        <v>0</v>
      </c>
      <c r="W666">
        <v>0</v>
      </c>
      <c r="X666">
        <v>6</v>
      </c>
      <c r="Z666">
        <v>0</v>
      </c>
      <c r="AA666">
        <v>9</v>
      </c>
      <c r="AB666">
        <v>3</v>
      </c>
      <c r="AC666">
        <v>0</v>
      </c>
      <c r="AD666">
        <v>10</v>
      </c>
      <c r="AE666">
        <v>0</v>
      </c>
      <c r="AF666">
        <v>0</v>
      </c>
      <c r="AG666">
        <v>2</v>
      </c>
      <c r="AH666">
        <v>0</v>
      </c>
      <c r="AI666" t="s">
        <v>674</v>
      </c>
      <c r="AJ666">
        <v>41.969082</v>
      </c>
      <c r="AK666" t="s">
        <v>364</v>
      </c>
      <c r="AL666">
        <v>-87.895238000000006</v>
      </c>
      <c r="AS666">
        <v>1</v>
      </c>
      <c r="AT666" t="s">
        <v>118</v>
      </c>
      <c r="AU666" t="b">
        <v>1</v>
      </c>
      <c r="AV666">
        <v>61.88</v>
      </c>
      <c r="AW666">
        <v>9.625</v>
      </c>
      <c r="AX666">
        <v>1</v>
      </c>
      <c r="AZ666">
        <v>7205</v>
      </c>
      <c r="BA666">
        <v>1</v>
      </c>
      <c r="BB666" t="str">
        <f t="shared" si="32"/>
        <v xml:space="preserve">KAP400  </v>
      </c>
      <c r="BC666">
        <v>1</v>
      </c>
      <c r="BE666">
        <v>0</v>
      </c>
      <c r="BF666">
        <v>0</v>
      </c>
      <c r="BG666">
        <v>0</v>
      </c>
      <c r="BI666">
        <v>1</v>
      </c>
      <c r="BJ666">
        <v>1</v>
      </c>
      <c r="BK666">
        <v>1</v>
      </c>
      <c r="BL666">
        <v>0</v>
      </c>
      <c r="BO666">
        <v>0</v>
      </c>
      <c r="BP666">
        <v>0</v>
      </c>
      <c r="BW666" t="str">
        <f>"19:14:25.221"</f>
        <v>19:14:25.221</v>
      </c>
      <c r="BX666" t="s">
        <v>119</v>
      </c>
      <c r="BY666" t="s">
        <v>120</v>
      </c>
      <c r="CJ666">
        <v>0</v>
      </c>
      <c r="CK666">
        <v>0</v>
      </c>
      <c r="CL666">
        <v>0</v>
      </c>
      <c r="CM666">
        <v>2</v>
      </c>
      <c r="CN666">
        <v>0</v>
      </c>
      <c r="CO666">
        <v>7</v>
      </c>
      <c r="CP666" t="s">
        <v>121</v>
      </c>
      <c r="CQ666">
        <v>580</v>
      </c>
      <c r="CR666">
        <v>0</v>
      </c>
      <c r="CW666">
        <v>513264</v>
      </c>
      <c r="CY666">
        <v>0</v>
      </c>
      <c r="CZ666">
        <v>0</v>
      </c>
      <c r="DA666">
        <v>0</v>
      </c>
      <c r="DB666">
        <v>1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</row>
    <row r="667" spans="1:113" x14ac:dyDescent="0.3">
      <c r="A667" t="str">
        <f>"06/16/2022 19:14:26.566"</f>
        <v>06/16/2022 19:14:26.566</v>
      </c>
      <c r="C667" t="str">
        <f t="shared" si="33"/>
        <v>FFBF5BC0</v>
      </c>
      <c r="D667" t="s">
        <v>113</v>
      </c>
      <c r="E667">
        <v>8</v>
      </c>
      <c r="H667">
        <v>206</v>
      </c>
      <c r="I667" t="s">
        <v>114</v>
      </c>
      <c r="J667" t="s">
        <v>115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>"19:14:26.328"</f>
        <v>19:14:26.328</v>
      </c>
      <c r="T667" t="str">
        <f>"19:14:26.328"</f>
        <v>19:14:26.328</v>
      </c>
      <c r="U667" t="str">
        <f t="shared" si="31"/>
        <v>AB63B2</v>
      </c>
      <c r="V667">
        <v>0</v>
      </c>
      <c r="W667">
        <v>0</v>
      </c>
      <c r="X667">
        <v>6</v>
      </c>
      <c r="Z667">
        <v>0</v>
      </c>
      <c r="AA667">
        <v>9</v>
      </c>
      <c r="AB667">
        <v>3</v>
      </c>
      <c r="AC667">
        <v>0</v>
      </c>
      <c r="AD667">
        <v>10</v>
      </c>
      <c r="AE667">
        <v>0</v>
      </c>
      <c r="AF667">
        <v>0</v>
      </c>
      <c r="AG667">
        <v>2</v>
      </c>
      <c r="AH667">
        <v>0</v>
      </c>
      <c r="AI667" t="s">
        <v>678</v>
      </c>
      <c r="AJ667">
        <v>41.969104000000002</v>
      </c>
      <c r="AK667" t="s">
        <v>362</v>
      </c>
      <c r="AL667">
        <v>-87.895173999999997</v>
      </c>
      <c r="AS667">
        <v>1</v>
      </c>
      <c r="AT667" t="s">
        <v>118</v>
      </c>
      <c r="AU667" t="b">
        <v>1</v>
      </c>
      <c r="AV667">
        <v>64.69</v>
      </c>
      <c r="AW667">
        <v>9.625</v>
      </c>
      <c r="AX667">
        <v>1</v>
      </c>
      <c r="AZ667">
        <v>7205</v>
      </c>
      <c r="BA667">
        <v>1</v>
      </c>
      <c r="BB667" t="str">
        <f t="shared" si="32"/>
        <v xml:space="preserve">KAP400  </v>
      </c>
      <c r="BC667">
        <v>1</v>
      </c>
      <c r="BE667">
        <v>0</v>
      </c>
      <c r="BF667">
        <v>0</v>
      </c>
      <c r="BG667">
        <v>0</v>
      </c>
      <c r="BI667">
        <v>1</v>
      </c>
      <c r="BJ667">
        <v>1</v>
      </c>
      <c r="BK667">
        <v>1</v>
      </c>
      <c r="BL667">
        <v>0</v>
      </c>
      <c r="BO667">
        <v>0</v>
      </c>
      <c r="BP667">
        <v>0</v>
      </c>
      <c r="BW667" t="str">
        <f>"19:14:26.330"</f>
        <v>19:14:26.330</v>
      </c>
      <c r="BX667" t="s">
        <v>119</v>
      </c>
      <c r="BY667" t="s">
        <v>120</v>
      </c>
      <c r="CJ667">
        <v>0</v>
      </c>
      <c r="CK667">
        <v>0</v>
      </c>
      <c r="CL667">
        <v>0</v>
      </c>
      <c r="CM667">
        <v>2</v>
      </c>
      <c r="CN667">
        <v>0</v>
      </c>
      <c r="CO667">
        <v>7</v>
      </c>
      <c r="CP667" t="s">
        <v>121</v>
      </c>
      <c r="CQ667">
        <v>580</v>
      </c>
      <c r="CR667">
        <v>0</v>
      </c>
      <c r="CW667">
        <v>515363</v>
      </c>
      <c r="CY667">
        <v>0</v>
      </c>
      <c r="CZ667">
        <v>0</v>
      </c>
      <c r="DA667">
        <v>0</v>
      </c>
      <c r="DB667">
        <v>1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</row>
    <row r="668" spans="1:113" x14ac:dyDescent="0.3">
      <c r="A668" t="str">
        <f>"06/16/2022 19:14:27.596"</f>
        <v>06/16/2022 19:14:27.596</v>
      </c>
      <c r="C668" t="str">
        <f t="shared" si="33"/>
        <v>FFBF5BC0</v>
      </c>
      <c r="D668" t="s">
        <v>113</v>
      </c>
      <c r="E668">
        <v>8</v>
      </c>
      <c r="H668">
        <v>206</v>
      </c>
      <c r="I668" t="s">
        <v>114</v>
      </c>
      <c r="J668" t="s">
        <v>115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>"19:14:27.344"</f>
        <v>19:14:27.344</v>
      </c>
      <c r="T668" t="str">
        <f>"19:14:27.344"</f>
        <v>19:14:27.344</v>
      </c>
      <c r="U668" t="str">
        <f t="shared" si="31"/>
        <v>AB63B2</v>
      </c>
      <c r="V668">
        <v>0</v>
      </c>
      <c r="W668">
        <v>0</v>
      </c>
      <c r="X668">
        <v>6</v>
      </c>
      <c r="Z668">
        <v>0</v>
      </c>
      <c r="AA668">
        <v>9</v>
      </c>
      <c r="AB668">
        <v>3</v>
      </c>
      <c r="AC668">
        <v>0</v>
      </c>
      <c r="AD668">
        <v>10</v>
      </c>
      <c r="AE668">
        <v>0</v>
      </c>
      <c r="AF668">
        <v>0</v>
      </c>
      <c r="AG668">
        <v>2</v>
      </c>
      <c r="AH668">
        <v>0</v>
      </c>
      <c r="AI668" t="s">
        <v>672</v>
      </c>
      <c r="AJ668">
        <v>41.969124999999998</v>
      </c>
      <c r="AK668" t="s">
        <v>679</v>
      </c>
      <c r="AL668">
        <v>-87.895110000000003</v>
      </c>
      <c r="AS668">
        <v>1</v>
      </c>
      <c r="AT668" t="s">
        <v>118</v>
      </c>
      <c r="AU668" t="b">
        <v>1</v>
      </c>
      <c r="AV668">
        <v>67.5</v>
      </c>
      <c r="AW668">
        <v>10.125</v>
      </c>
      <c r="AX668">
        <v>1</v>
      </c>
      <c r="AZ668">
        <v>7205</v>
      </c>
      <c r="BA668">
        <v>1</v>
      </c>
      <c r="BB668" t="str">
        <f t="shared" si="32"/>
        <v xml:space="preserve">KAP400  </v>
      </c>
      <c r="BC668">
        <v>1</v>
      </c>
      <c r="BE668">
        <v>0</v>
      </c>
      <c r="BF668">
        <v>0</v>
      </c>
      <c r="BG668">
        <v>0</v>
      </c>
      <c r="BI668">
        <v>1</v>
      </c>
      <c r="BJ668">
        <v>1</v>
      </c>
      <c r="BK668">
        <v>1</v>
      </c>
      <c r="BL668">
        <v>0</v>
      </c>
      <c r="BO668">
        <v>0</v>
      </c>
      <c r="BP668">
        <v>0</v>
      </c>
      <c r="BW668" t="str">
        <f>"19:14:27.349"</f>
        <v>19:14:27.349</v>
      </c>
      <c r="BX668" t="s">
        <v>119</v>
      </c>
      <c r="BY668" t="s">
        <v>120</v>
      </c>
      <c r="CJ668">
        <v>0</v>
      </c>
      <c r="CK668">
        <v>0</v>
      </c>
      <c r="CL668">
        <v>0</v>
      </c>
      <c r="CM668">
        <v>2</v>
      </c>
      <c r="CN668">
        <v>0</v>
      </c>
      <c r="CO668">
        <v>7</v>
      </c>
      <c r="CP668" t="s">
        <v>121</v>
      </c>
      <c r="CQ668">
        <v>580</v>
      </c>
      <c r="CR668">
        <v>0</v>
      </c>
      <c r="CW668">
        <v>517253</v>
      </c>
      <c r="CY668">
        <v>0</v>
      </c>
      <c r="CZ668">
        <v>0</v>
      </c>
      <c r="DA668">
        <v>0</v>
      </c>
      <c r="DB668">
        <v>1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</row>
    <row r="669" spans="1:113" x14ac:dyDescent="0.3">
      <c r="A669" t="str">
        <f>"06/16/2022 19:14:28.643"</f>
        <v>06/16/2022 19:14:28.643</v>
      </c>
      <c r="C669" t="str">
        <f t="shared" si="33"/>
        <v>FFBF5BC0</v>
      </c>
      <c r="D669" t="s">
        <v>113</v>
      </c>
      <c r="E669">
        <v>8</v>
      </c>
      <c r="H669">
        <v>206</v>
      </c>
      <c r="I669" t="s">
        <v>114</v>
      </c>
      <c r="J669" t="s">
        <v>115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>"19:14:28.344"</f>
        <v>19:14:28.344</v>
      </c>
      <c r="T669" t="str">
        <f>"19:14:28.344"</f>
        <v>19:14:28.344</v>
      </c>
      <c r="U669" t="str">
        <f t="shared" si="31"/>
        <v>AB63B2</v>
      </c>
      <c r="V669">
        <v>0</v>
      </c>
      <c r="W669">
        <v>0</v>
      </c>
      <c r="X669">
        <v>6</v>
      </c>
      <c r="Z669">
        <v>0</v>
      </c>
      <c r="AA669">
        <v>9</v>
      </c>
      <c r="AB669">
        <v>3</v>
      </c>
      <c r="AC669">
        <v>0</v>
      </c>
      <c r="AD669">
        <v>10</v>
      </c>
      <c r="AE669">
        <v>0</v>
      </c>
      <c r="AF669">
        <v>0</v>
      </c>
      <c r="AG669">
        <v>2</v>
      </c>
      <c r="AH669">
        <v>0</v>
      </c>
      <c r="AI669" t="s">
        <v>680</v>
      </c>
      <c r="AJ669">
        <v>41.969147</v>
      </c>
      <c r="AK669" t="s">
        <v>360</v>
      </c>
      <c r="AL669">
        <v>-87.895066999999997</v>
      </c>
      <c r="AS669">
        <v>1</v>
      </c>
      <c r="AT669" t="s">
        <v>118</v>
      </c>
      <c r="AU669" t="b">
        <v>1</v>
      </c>
      <c r="AV669">
        <v>70.31</v>
      </c>
      <c r="AW669">
        <v>10.125</v>
      </c>
      <c r="AX669">
        <v>1</v>
      </c>
      <c r="AZ669">
        <v>7205</v>
      </c>
      <c r="BA669">
        <v>1</v>
      </c>
      <c r="BB669" t="str">
        <f t="shared" si="32"/>
        <v xml:space="preserve">KAP400  </v>
      </c>
      <c r="BC669">
        <v>1</v>
      </c>
      <c r="BE669">
        <v>0</v>
      </c>
      <c r="BF669">
        <v>0</v>
      </c>
      <c r="BG669">
        <v>0</v>
      </c>
      <c r="BI669">
        <v>1</v>
      </c>
      <c r="BJ669">
        <v>1</v>
      </c>
      <c r="BK669">
        <v>1</v>
      </c>
      <c r="BL669">
        <v>0</v>
      </c>
      <c r="BO669">
        <v>0</v>
      </c>
      <c r="BP669">
        <v>0</v>
      </c>
      <c r="BW669" t="str">
        <f>"19:14:28.349"</f>
        <v>19:14:28.349</v>
      </c>
      <c r="BX669" t="s">
        <v>119</v>
      </c>
      <c r="BY669" t="s">
        <v>120</v>
      </c>
      <c r="CJ669">
        <v>0</v>
      </c>
      <c r="CK669">
        <v>0</v>
      </c>
      <c r="CL669">
        <v>0</v>
      </c>
      <c r="CM669">
        <v>2</v>
      </c>
      <c r="CN669">
        <v>0</v>
      </c>
      <c r="CO669">
        <v>7</v>
      </c>
      <c r="CP669" t="s">
        <v>121</v>
      </c>
      <c r="CQ669">
        <v>580</v>
      </c>
      <c r="CR669">
        <v>0</v>
      </c>
      <c r="CW669">
        <v>518990</v>
      </c>
      <c r="CY669">
        <v>0</v>
      </c>
      <c r="CZ669">
        <v>0</v>
      </c>
      <c r="DA669">
        <v>0</v>
      </c>
      <c r="DB669">
        <v>1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</row>
    <row r="670" spans="1:113" x14ac:dyDescent="0.3">
      <c r="A670" t="str">
        <f>"06/16/2022 19:14:29.549"</f>
        <v>06/16/2022 19:14:29.549</v>
      </c>
      <c r="C670" t="str">
        <f t="shared" si="33"/>
        <v>FFBF5BC0</v>
      </c>
      <c r="D670" t="s">
        <v>113</v>
      </c>
      <c r="E670">
        <v>8</v>
      </c>
      <c r="H670">
        <v>206</v>
      </c>
      <c r="I670" t="s">
        <v>114</v>
      </c>
      <c r="J670" t="s">
        <v>115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>"19:14:29.281"</f>
        <v>19:14:29.281</v>
      </c>
      <c r="T670" t="str">
        <f>"19:14:29.281"</f>
        <v>19:14:29.281</v>
      </c>
      <c r="U670" t="str">
        <f t="shared" si="31"/>
        <v>AB63B2</v>
      </c>
      <c r="V670">
        <v>0</v>
      </c>
      <c r="W670">
        <v>0</v>
      </c>
      <c r="X670">
        <v>6</v>
      </c>
      <c r="Z670">
        <v>0</v>
      </c>
      <c r="AA670">
        <v>9</v>
      </c>
      <c r="AB670">
        <v>3</v>
      </c>
      <c r="AC670">
        <v>0</v>
      </c>
      <c r="AD670">
        <v>10</v>
      </c>
      <c r="AE670">
        <v>0</v>
      </c>
      <c r="AF670">
        <v>0</v>
      </c>
      <c r="AG670">
        <v>2</v>
      </c>
      <c r="AH670">
        <v>0</v>
      </c>
      <c r="AI670" t="s">
        <v>671</v>
      </c>
      <c r="AJ670">
        <v>41.969168000000003</v>
      </c>
      <c r="AK670" t="s">
        <v>358</v>
      </c>
      <c r="AL670">
        <v>-87.895002000000005</v>
      </c>
      <c r="AS670">
        <v>1</v>
      </c>
      <c r="AT670" t="s">
        <v>118</v>
      </c>
      <c r="AU670" t="b">
        <v>1</v>
      </c>
      <c r="AV670">
        <v>73.13</v>
      </c>
      <c r="AW670">
        <v>10.125</v>
      </c>
      <c r="AX670">
        <v>1</v>
      </c>
      <c r="AZ670">
        <v>7205</v>
      </c>
      <c r="BA670">
        <v>1</v>
      </c>
      <c r="BB670" t="str">
        <f t="shared" si="32"/>
        <v xml:space="preserve">KAP400  </v>
      </c>
      <c r="BC670">
        <v>1</v>
      </c>
      <c r="BE670">
        <v>0</v>
      </c>
      <c r="BF670">
        <v>0</v>
      </c>
      <c r="BG670">
        <v>0</v>
      </c>
      <c r="BI670">
        <v>1</v>
      </c>
      <c r="BJ670">
        <v>1</v>
      </c>
      <c r="BK670">
        <v>1</v>
      </c>
      <c r="BL670">
        <v>0</v>
      </c>
      <c r="BO670">
        <v>0</v>
      </c>
      <c r="BP670">
        <v>0</v>
      </c>
      <c r="BW670" t="str">
        <f>"19:14:29.287"</f>
        <v>19:14:29.287</v>
      </c>
      <c r="BX670" t="s">
        <v>119</v>
      </c>
      <c r="BY670" t="s">
        <v>120</v>
      </c>
      <c r="CJ670">
        <v>0</v>
      </c>
      <c r="CK670">
        <v>0</v>
      </c>
      <c r="CL670">
        <v>0</v>
      </c>
      <c r="CM670">
        <v>2</v>
      </c>
      <c r="CN670">
        <v>0</v>
      </c>
      <c r="CO670">
        <v>7</v>
      </c>
      <c r="CP670" t="s">
        <v>121</v>
      </c>
      <c r="CQ670">
        <v>580</v>
      </c>
      <c r="CR670">
        <v>0</v>
      </c>
      <c r="CW670">
        <v>520641</v>
      </c>
      <c r="CY670">
        <v>0</v>
      </c>
      <c r="CZ670">
        <v>0</v>
      </c>
      <c r="DA670">
        <v>0</v>
      </c>
      <c r="DB670">
        <v>1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</row>
    <row r="671" spans="1:113" x14ac:dyDescent="0.3">
      <c r="A671" t="str">
        <f>"06/16/2022 19:14:30.658"</f>
        <v>06/16/2022 19:14:30.658</v>
      </c>
      <c r="C671" t="str">
        <f t="shared" si="33"/>
        <v>FFBF5BC0</v>
      </c>
      <c r="D671" t="s">
        <v>113</v>
      </c>
      <c r="E671">
        <v>8</v>
      </c>
      <c r="H671">
        <v>206</v>
      </c>
      <c r="I671" t="s">
        <v>114</v>
      </c>
      <c r="J671" t="s">
        <v>115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>"19:14:30.336"</f>
        <v>19:14:30.336</v>
      </c>
      <c r="T671" t="str">
        <f>"19:14:30.336"</f>
        <v>19:14:30.336</v>
      </c>
      <c r="U671" t="str">
        <f t="shared" si="31"/>
        <v>AB63B2</v>
      </c>
      <c r="V671">
        <v>0</v>
      </c>
      <c r="W671">
        <v>0</v>
      </c>
      <c r="X671">
        <v>6</v>
      </c>
      <c r="Z671">
        <v>0</v>
      </c>
      <c r="AA671">
        <v>9</v>
      </c>
      <c r="AB671">
        <v>3</v>
      </c>
      <c r="AC671">
        <v>0</v>
      </c>
      <c r="AD671">
        <v>10</v>
      </c>
      <c r="AE671">
        <v>0</v>
      </c>
      <c r="AF671">
        <v>0</v>
      </c>
      <c r="AG671">
        <v>2</v>
      </c>
      <c r="AH671">
        <v>0</v>
      </c>
      <c r="AI671" t="s">
        <v>671</v>
      </c>
      <c r="AJ671">
        <v>41.969168000000003</v>
      </c>
      <c r="AK671" t="s">
        <v>141</v>
      </c>
      <c r="AL671">
        <v>-87.894937999999996</v>
      </c>
      <c r="AS671">
        <v>1</v>
      </c>
      <c r="AT671" t="s">
        <v>118</v>
      </c>
      <c r="AU671" t="b">
        <v>1</v>
      </c>
      <c r="AV671">
        <v>70.31</v>
      </c>
      <c r="AW671">
        <v>10.125</v>
      </c>
      <c r="AX671">
        <v>1</v>
      </c>
      <c r="AZ671">
        <v>7205</v>
      </c>
      <c r="BA671">
        <v>1</v>
      </c>
      <c r="BB671" t="str">
        <f t="shared" si="32"/>
        <v xml:space="preserve">KAP400  </v>
      </c>
      <c r="BC671">
        <v>1</v>
      </c>
      <c r="BE671">
        <v>0</v>
      </c>
      <c r="BF671">
        <v>0</v>
      </c>
      <c r="BG671">
        <v>0</v>
      </c>
      <c r="BI671">
        <v>1</v>
      </c>
      <c r="BJ671">
        <v>1</v>
      </c>
      <c r="BK671">
        <v>1</v>
      </c>
      <c r="BL671">
        <v>0</v>
      </c>
      <c r="BO671">
        <v>0</v>
      </c>
      <c r="BP671">
        <v>0</v>
      </c>
      <c r="BW671" t="str">
        <f>"19:14:30.341"</f>
        <v>19:14:30.341</v>
      </c>
      <c r="BX671" t="s">
        <v>119</v>
      </c>
      <c r="BY671" t="s">
        <v>120</v>
      </c>
      <c r="CJ671">
        <v>0</v>
      </c>
      <c r="CK671">
        <v>0</v>
      </c>
      <c r="CL671">
        <v>0</v>
      </c>
      <c r="CM671">
        <v>2</v>
      </c>
      <c r="CN671">
        <v>0</v>
      </c>
      <c r="CO671">
        <v>6</v>
      </c>
      <c r="CP671" t="s">
        <v>121</v>
      </c>
      <c r="CQ671">
        <v>582</v>
      </c>
      <c r="CR671">
        <v>0</v>
      </c>
      <c r="CW671">
        <v>6355071</v>
      </c>
      <c r="CY671">
        <v>0</v>
      </c>
      <c r="CZ671">
        <v>0</v>
      </c>
      <c r="DA671">
        <v>0</v>
      </c>
      <c r="DB671">
        <v>1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</row>
    <row r="672" spans="1:113" x14ac:dyDescent="0.3">
      <c r="A672" t="str">
        <f>"06/16/2022 19:14:31.612"</f>
        <v>06/16/2022 19:14:31.612</v>
      </c>
      <c r="C672" t="str">
        <f t="shared" si="33"/>
        <v>FFBF5BC0</v>
      </c>
      <c r="D672" t="s">
        <v>113</v>
      </c>
      <c r="E672">
        <v>8</v>
      </c>
      <c r="H672">
        <v>206</v>
      </c>
      <c r="I672" t="s">
        <v>114</v>
      </c>
      <c r="J672" t="s">
        <v>115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>"19:14:31.328"</f>
        <v>19:14:31.328</v>
      </c>
      <c r="T672" t="str">
        <f>"19:14:31.328"</f>
        <v>19:14:31.328</v>
      </c>
      <c r="U672" t="str">
        <f t="shared" si="31"/>
        <v>AB63B2</v>
      </c>
      <c r="V672">
        <v>0</v>
      </c>
      <c r="W672">
        <v>0</v>
      </c>
      <c r="X672">
        <v>6</v>
      </c>
      <c r="Z672">
        <v>0</v>
      </c>
      <c r="AA672">
        <v>9</v>
      </c>
      <c r="AB672">
        <v>3</v>
      </c>
      <c r="AC672">
        <v>0</v>
      </c>
      <c r="AD672">
        <v>10</v>
      </c>
      <c r="AE672">
        <v>0</v>
      </c>
      <c r="AF672">
        <v>0</v>
      </c>
      <c r="AG672">
        <v>2</v>
      </c>
      <c r="AH672">
        <v>0</v>
      </c>
      <c r="AI672" t="s">
        <v>681</v>
      </c>
      <c r="AJ672">
        <v>41.969189999999998</v>
      </c>
      <c r="AK672" t="s">
        <v>131</v>
      </c>
      <c r="AL672">
        <v>-87.894895000000005</v>
      </c>
      <c r="AS672">
        <v>1</v>
      </c>
      <c r="AT672" t="s">
        <v>118</v>
      </c>
      <c r="AU672" t="b">
        <v>1</v>
      </c>
      <c r="AV672">
        <v>67.5</v>
      </c>
      <c r="AW672">
        <v>10.125</v>
      </c>
      <c r="AX672">
        <v>1</v>
      </c>
      <c r="AZ672">
        <v>7205</v>
      </c>
      <c r="BA672">
        <v>1</v>
      </c>
      <c r="BB672" t="str">
        <f t="shared" si="32"/>
        <v xml:space="preserve">KAP400  </v>
      </c>
      <c r="BC672">
        <v>1</v>
      </c>
      <c r="BE672">
        <v>0</v>
      </c>
      <c r="BF672">
        <v>0</v>
      </c>
      <c r="BG672">
        <v>0</v>
      </c>
      <c r="BI672">
        <v>1</v>
      </c>
      <c r="BJ672">
        <v>1</v>
      </c>
      <c r="BK672">
        <v>1</v>
      </c>
      <c r="BL672">
        <v>0</v>
      </c>
      <c r="BO672">
        <v>0</v>
      </c>
      <c r="BP672">
        <v>0</v>
      </c>
      <c r="BW672" t="str">
        <f>"19:14:31.332"</f>
        <v>19:14:31.332</v>
      </c>
      <c r="BX672" t="s">
        <v>119</v>
      </c>
      <c r="BY672" t="s">
        <v>120</v>
      </c>
      <c r="CJ672">
        <v>0</v>
      </c>
      <c r="CK672">
        <v>0</v>
      </c>
      <c r="CL672">
        <v>0</v>
      </c>
      <c r="CM672">
        <v>2</v>
      </c>
      <c r="CN672">
        <v>0</v>
      </c>
      <c r="CO672">
        <v>7</v>
      </c>
      <c r="CP672" t="s">
        <v>121</v>
      </c>
      <c r="CQ672">
        <v>580</v>
      </c>
      <c r="CR672">
        <v>0</v>
      </c>
      <c r="CW672">
        <v>524406</v>
      </c>
      <c r="CY672">
        <v>0</v>
      </c>
      <c r="CZ672">
        <v>0</v>
      </c>
      <c r="DA672">
        <v>0</v>
      </c>
      <c r="DB672">
        <v>1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</row>
    <row r="673" spans="1:113" x14ac:dyDescent="0.3">
      <c r="A673" t="str">
        <f>"06/16/2022 19:14:32.721"</f>
        <v>06/16/2022 19:14:32.721</v>
      </c>
      <c r="C673" t="str">
        <f t="shared" si="33"/>
        <v>FFBF5BC0</v>
      </c>
      <c r="D673" t="s">
        <v>113</v>
      </c>
      <c r="E673">
        <v>8</v>
      </c>
      <c r="H673">
        <v>206</v>
      </c>
      <c r="I673" t="s">
        <v>114</v>
      </c>
      <c r="J673" t="s">
        <v>115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>"19:14:32.438"</f>
        <v>19:14:32.438</v>
      </c>
      <c r="T673" t="str">
        <f>"19:14:32.438"</f>
        <v>19:14:32.438</v>
      </c>
      <c r="U673" t="str">
        <f t="shared" si="31"/>
        <v>AB63B2</v>
      </c>
      <c r="V673">
        <v>0</v>
      </c>
      <c r="W673">
        <v>0</v>
      </c>
      <c r="X673">
        <v>6</v>
      </c>
      <c r="Z673">
        <v>0</v>
      </c>
      <c r="AA673">
        <v>9</v>
      </c>
      <c r="AB673">
        <v>3</v>
      </c>
      <c r="AC673">
        <v>0</v>
      </c>
      <c r="AD673">
        <v>10</v>
      </c>
      <c r="AE673">
        <v>0</v>
      </c>
      <c r="AF673">
        <v>0</v>
      </c>
      <c r="AG673">
        <v>2</v>
      </c>
      <c r="AH673">
        <v>0</v>
      </c>
      <c r="AI673" t="s">
        <v>682</v>
      </c>
      <c r="AJ673">
        <v>41.969211000000001</v>
      </c>
      <c r="AK673" t="s">
        <v>125</v>
      </c>
      <c r="AL673">
        <v>-87.894830999999996</v>
      </c>
      <c r="AS673">
        <v>1</v>
      </c>
      <c r="AT673" t="s">
        <v>118</v>
      </c>
      <c r="AU673" t="b">
        <v>1</v>
      </c>
      <c r="AV673">
        <v>61.88</v>
      </c>
      <c r="AW673">
        <v>9.625</v>
      </c>
      <c r="AX673">
        <v>1</v>
      </c>
      <c r="AZ673">
        <v>7205</v>
      </c>
      <c r="BA673">
        <v>1</v>
      </c>
      <c r="BB673" t="str">
        <f t="shared" si="32"/>
        <v xml:space="preserve">KAP400  </v>
      </c>
      <c r="BC673">
        <v>1</v>
      </c>
      <c r="BE673">
        <v>0</v>
      </c>
      <c r="BF673">
        <v>0</v>
      </c>
      <c r="BG673">
        <v>0</v>
      </c>
      <c r="BI673">
        <v>1</v>
      </c>
      <c r="BJ673">
        <v>1</v>
      </c>
      <c r="BK673">
        <v>1</v>
      </c>
      <c r="BL673">
        <v>0</v>
      </c>
      <c r="BO673">
        <v>0</v>
      </c>
      <c r="BP673">
        <v>0</v>
      </c>
      <c r="BW673" t="str">
        <f>"19:14:32.443"</f>
        <v>19:14:32.443</v>
      </c>
      <c r="BX673" t="s">
        <v>119</v>
      </c>
      <c r="BY673" t="s">
        <v>120</v>
      </c>
      <c r="CJ673">
        <v>0</v>
      </c>
      <c r="CK673">
        <v>0</v>
      </c>
      <c r="CL673">
        <v>0</v>
      </c>
      <c r="CM673">
        <v>2</v>
      </c>
      <c r="CN673">
        <v>0</v>
      </c>
      <c r="CO673">
        <v>7</v>
      </c>
      <c r="CP673" t="s">
        <v>121</v>
      </c>
      <c r="CQ673">
        <v>581</v>
      </c>
      <c r="CR673">
        <v>0</v>
      </c>
      <c r="CW673">
        <v>15438224</v>
      </c>
      <c r="CY673">
        <v>0</v>
      </c>
      <c r="CZ673">
        <v>0</v>
      </c>
      <c r="DA673">
        <v>0</v>
      </c>
      <c r="DB673">
        <v>1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</row>
    <row r="674" spans="1:113" x14ac:dyDescent="0.3">
      <c r="A674" t="str">
        <f>"06/16/2022 19:14:33.502"</f>
        <v>06/16/2022 19:14:33.502</v>
      </c>
      <c r="C674" t="str">
        <f t="shared" si="33"/>
        <v>FFBF5BC0</v>
      </c>
      <c r="D674" t="s">
        <v>113</v>
      </c>
      <c r="E674">
        <v>8</v>
      </c>
      <c r="H674">
        <v>206</v>
      </c>
      <c r="I674" t="s">
        <v>114</v>
      </c>
      <c r="J674" t="s">
        <v>115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>"19:14:33.273"</f>
        <v>19:14:33.273</v>
      </c>
      <c r="T674" t="str">
        <f>"19:14:33.273"</f>
        <v>19:14:33.273</v>
      </c>
      <c r="U674" t="str">
        <f t="shared" si="31"/>
        <v>AB63B2</v>
      </c>
      <c r="V674">
        <v>0</v>
      </c>
      <c r="W674">
        <v>0</v>
      </c>
      <c r="X674">
        <v>6</v>
      </c>
      <c r="Z674">
        <v>0</v>
      </c>
      <c r="AA674">
        <v>9</v>
      </c>
      <c r="AB674">
        <v>3</v>
      </c>
      <c r="AC674">
        <v>0</v>
      </c>
      <c r="AD674">
        <v>10</v>
      </c>
      <c r="AE674">
        <v>0</v>
      </c>
      <c r="AF674">
        <v>0</v>
      </c>
      <c r="AG674">
        <v>2</v>
      </c>
      <c r="AH674">
        <v>0</v>
      </c>
      <c r="AI674" t="s">
        <v>670</v>
      </c>
      <c r="AJ674">
        <v>41.969233000000003</v>
      </c>
      <c r="AK674" t="s">
        <v>263</v>
      </c>
      <c r="AL674">
        <v>-87.894788000000005</v>
      </c>
      <c r="AS674">
        <v>1</v>
      </c>
      <c r="AT674" t="s">
        <v>118</v>
      </c>
      <c r="AU674" t="b">
        <v>1</v>
      </c>
      <c r="AV674">
        <v>59.06</v>
      </c>
      <c r="AW674">
        <v>9.625</v>
      </c>
      <c r="AX674">
        <v>1</v>
      </c>
      <c r="AZ674">
        <v>7205</v>
      </c>
      <c r="BA674">
        <v>1</v>
      </c>
      <c r="BB674" t="str">
        <f t="shared" si="32"/>
        <v xml:space="preserve">KAP400  </v>
      </c>
      <c r="BC674">
        <v>1</v>
      </c>
      <c r="BE674">
        <v>0</v>
      </c>
      <c r="BF674">
        <v>0</v>
      </c>
      <c r="BG674">
        <v>0</v>
      </c>
      <c r="BI674">
        <v>1</v>
      </c>
      <c r="BJ674">
        <v>1</v>
      </c>
      <c r="BK674">
        <v>1</v>
      </c>
      <c r="BL674">
        <v>0</v>
      </c>
      <c r="BO674">
        <v>0</v>
      </c>
      <c r="BP674">
        <v>0</v>
      </c>
      <c r="BW674" t="str">
        <f>"19:14:33.275"</f>
        <v>19:14:33.275</v>
      </c>
      <c r="BX674" t="s">
        <v>119</v>
      </c>
      <c r="BY674" t="s">
        <v>120</v>
      </c>
      <c r="CJ674">
        <v>0</v>
      </c>
      <c r="CK674">
        <v>0</v>
      </c>
      <c r="CL674">
        <v>0</v>
      </c>
      <c r="CM674">
        <v>2</v>
      </c>
      <c r="CN674">
        <v>0</v>
      </c>
      <c r="CO674">
        <v>7</v>
      </c>
      <c r="CP674" t="s">
        <v>121</v>
      </c>
      <c r="CQ674">
        <v>582</v>
      </c>
      <c r="CR674">
        <v>0</v>
      </c>
      <c r="CW674">
        <v>6359187</v>
      </c>
      <c r="CY674">
        <v>0</v>
      </c>
      <c r="CZ674">
        <v>0</v>
      </c>
      <c r="DA674">
        <v>0</v>
      </c>
      <c r="DB674">
        <v>1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</row>
    <row r="675" spans="1:113" x14ac:dyDescent="0.3">
      <c r="A675" t="str">
        <f>"06/16/2022 19:14:34.659"</f>
        <v>06/16/2022 19:14:34.659</v>
      </c>
      <c r="C675" t="str">
        <f t="shared" si="33"/>
        <v>FFBF5BC0</v>
      </c>
      <c r="D675" t="s">
        <v>113</v>
      </c>
      <c r="E675">
        <v>8</v>
      </c>
      <c r="H675">
        <v>206</v>
      </c>
      <c r="I675" t="s">
        <v>114</v>
      </c>
      <c r="J675" t="s">
        <v>115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>"19:14:34.352"</f>
        <v>19:14:34.352</v>
      </c>
      <c r="T675" t="str">
        <f>"19:14:34.352"</f>
        <v>19:14:34.352</v>
      </c>
      <c r="U675" t="str">
        <f t="shared" si="31"/>
        <v>AB63B2</v>
      </c>
      <c r="V675">
        <v>0</v>
      </c>
      <c r="W675">
        <v>0</v>
      </c>
      <c r="X675">
        <v>6</v>
      </c>
      <c r="Z675">
        <v>0</v>
      </c>
      <c r="AA675">
        <v>9</v>
      </c>
      <c r="AB675">
        <v>3</v>
      </c>
      <c r="AC675">
        <v>0</v>
      </c>
      <c r="AD675">
        <v>10</v>
      </c>
      <c r="AE675">
        <v>0</v>
      </c>
      <c r="AF675">
        <v>0</v>
      </c>
      <c r="AG675">
        <v>2</v>
      </c>
      <c r="AH675">
        <v>0</v>
      </c>
      <c r="AI675" t="s">
        <v>683</v>
      </c>
      <c r="AJ675">
        <v>41.969253999999999</v>
      </c>
      <c r="AK675" t="s">
        <v>684</v>
      </c>
      <c r="AL675">
        <v>-87.894745</v>
      </c>
      <c r="AS675">
        <v>1</v>
      </c>
      <c r="AT675" t="s">
        <v>118</v>
      </c>
      <c r="AU675" t="b">
        <v>1</v>
      </c>
      <c r="AV675">
        <v>56.25</v>
      </c>
      <c r="AW675">
        <v>9.125</v>
      </c>
      <c r="AX675">
        <v>1</v>
      </c>
      <c r="AZ675">
        <v>7205</v>
      </c>
      <c r="BA675">
        <v>1</v>
      </c>
      <c r="BB675" t="str">
        <f t="shared" si="32"/>
        <v xml:space="preserve">KAP400  </v>
      </c>
      <c r="BC675">
        <v>1</v>
      </c>
      <c r="BE675">
        <v>0</v>
      </c>
      <c r="BF675">
        <v>0</v>
      </c>
      <c r="BG675">
        <v>0</v>
      </c>
      <c r="BI675">
        <v>1</v>
      </c>
      <c r="BJ675">
        <v>1</v>
      </c>
      <c r="BK675">
        <v>1</v>
      </c>
      <c r="BL675">
        <v>0</v>
      </c>
      <c r="BO675">
        <v>0</v>
      </c>
      <c r="BP675">
        <v>0</v>
      </c>
      <c r="BW675" t="str">
        <f>"19:14:34.357"</f>
        <v>19:14:34.357</v>
      </c>
      <c r="BX675" t="s">
        <v>119</v>
      </c>
      <c r="BY675" t="s">
        <v>120</v>
      </c>
      <c r="CJ675">
        <v>0</v>
      </c>
      <c r="CK675">
        <v>0</v>
      </c>
      <c r="CL675">
        <v>0</v>
      </c>
      <c r="CM675">
        <v>2</v>
      </c>
      <c r="CN675">
        <v>0</v>
      </c>
      <c r="CO675">
        <v>7</v>
      </c>
      <c r="CP675" t="s">
        <v>121</v>
      </c>
      <c r="CQ675">
        <v>582</v>
      </c>
      <c r="CR675">
        <v>0</v>
      </c>
      <c r="CW675">
        <v>6360732</v>
      </c>
      <c r="CY675">
        <v>0</v>
      </c>
      <c r="CZ675">
        <v>0</v>
      </c>
      <c r="DA675">
        <v>0</v>
      </c>
      <c r="DB675">
        <v>1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</row>
    <row r="676" spans="1:113" x14ac:dyDescent="0.3">
      <c r="A676" t="str">
        <f>"06/16/2022 19:14:35.424"</f>
        <v>06/16/2022 19:14:35.424</v>
      </c>
      <c r="C676" t="str">
        <f t="shared" si="33"/>
        <v>FFBF5BC0</v>
      </c>
      <c r="D676" t="s">
        <v>113</v>
      </c>
      <c r="E676">
        <v>8</v>
      </c>
      <c r="H676">
        <v>206</v>
      </c>
      <c r="I676" t="s">
        <v>114</v>
      </c>
      <c r="J676" t="s">
        <v>115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>"19:14:35.242"</f>
        <v>19:14:35.242</v>
      </c>
      <c r="T676" t="str">
        <f>"19:14:35.242"</f>
        <v>19:14:35.242</v>
      </c>
      <c r="U676" t="str">
        <f t="shared" si="31"/>
        <v>AB63B2</v>
      </c>
      <c r="V676">
        <v>0</v>
      </c>
      <c r="W676">
        <v>0</v>
      </c>
      <c r="X676">
        <v>6</v>
      </c>
      <c r="Z676">
        <v>0</v>
      </c>
      <c r="AA676">
        <v>9</v>
      </c>
      <c r="AB676">
        <v>3</v>
      </c>
      <c r="AC676">
        <v>0</v>
      </c>
      <c r="AD676">
        <v>10</v>
      </c>
      <c r="AE676">
        <v>0</v>
      </c>
      <c r="AF676">
        <v>0</v>
      </c>
      <c r="AG676">
        <v>2</v>
      </c>
      <c r="AH676">
        <v>0</v>
      </c>
      <c r="AI676" t="s">
        <v>683</v>
      </c>
      <c r="AJ676">
        <v>41.969253999999999</v>
      </c>
      <c r="AK676" t="s">
        <v>685</v>
      </c>
      <c r="AL676">
        <v>-87.894701999999995</v>
      </c>
      <c r="AS676">
        <v>1</v>
      </c>
      <c r="AT676" t="s">
        <v>118</v>
      </c>
      <c r="AU676" t="b">
        <v>1</v>
      </c>
      <c r="AV676">
        <v>56.25</v>
      </c>
      <c r="AW676">
        <v>8.625</v>
      </c>
      <c r="AX676">
        <v>1</v>
      </c>
      <c r="AZ676">
        <v>7205</v>
      </c>
      <c r="BA676">
        <v>1</v>
      </c>
      <c r="BB676" t="str">
        <f t="shared" si="32"/>
        <v xml:space="preserve">KAP400  </v>
      </c>
      <c r="BC676">
        <v>1</v>
      </c>
      <c r="BE676">
        <v>0</v>
      </c>
      <c r="BF676">
        <v>0</v>
      </c>
      <c r="BG676">
        <v>0</v>
      </c>
      <c r="BI676">
        <v>1</v>
      </c>
      <c r="BJ676">
        <v>1</v>
      </c>
      <c r="BK676">
        <v>1</v>
      </c>
      <c r="BL676">
        <v>0</v>
      </c>
      <c r="BO676">
        <v>0</v>
      </c>
      <c r="BP676">
        <v>0</v>
      </c>
      <c r="BW676" t="str">
        <f>"19:14:35.250"</f>
        <v>19:14:35.250</v>
      </c>
      <c r="BX676" t="s">
        <v>119</v>
      </c>
      <c r="BY676" t="s">
        <v>120</v>
      </c>
      <c r="CJ676">
        <v>0</v>
      </c>
      <c r="CK676">
        <v>0</v>
      </c>
      <c r="CL676">
        <v>0</v>
      </c>
      <c r="CM676">
        <v>2</v>
      </c>
      <c r="CN676">
        <v>0</v>
      </c>
      <c r="CO676">
        <v>7</v>
      </c>
      <c r="CP676" t="s">
        <v>121</v>
      </c>
      <c r="CQ676">
        <v>579</v>
      </c>
      <c r="CR676">
        <v>0</v>
      </c>
      <c r="CW676">
        <v>1641835</v>
      </c>
      <c r="CY676">
        <v>0</v>
      </c>
      <c r="CZ676">
        <v>0</v>
      </c>
      <c r="DA676">
        <v>0</v>
      </c>
      <c r="DB676">
        <v>1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</row>
    <row r="677" spans="1:113" x14ac:dyDescent="0.3">
      <c r="A677" t="str">
        <f>"06/16/2022 19:14:36.565"</f>
        <v>06/16/2022 19:14:36.565</v>
      </c>
      <c r="C677" t="str">
        <f t="shared" si="33"/>
        <v>FFBF5BC0</v>
      </c>
      <c r="D677" t="s">
        <v>113</v>
      </c>
      <c r="E677">
        <v>8</v>
      </c>
      <c r="H677">
        <v>206</v>
      </c>
      <c r="I677" t="s">
        <v>114</v>
      </c>
      <c r="J677" t="s">
        <v>115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>"19:14:36.273"</f>
        <v>19:14:36.273</v>
      </c>
      <c r="T677" t="str">
        <f>"19:14:36.273"</f>
        <v>19:14:36.273</v>
      </c>
      <c r="U677" t="str">
        <f t="shared" si="31"/>
        <v>AB63B2</v>
      </c>
      <c r="V677">
        <v>0</v>
      </c>
      <c r="W677">
        <v>0</v>
      </c>
      <c r="X677">
        <v>6</v>
      </c>
      <c r="Z677">
        <v>0</v>
      </c>
      <c r="AA677">
        <v>9</v>
      </c>
      <c r="AB677">
        <v>3</v>
      </c>
      <c r="AC677">
        <v>0</v>
      </c>
      <c r="AD677">
        <v>10</v>
      </c>
      <c r="AE677">
        <v>0</v>
      </c>
      <c r="AF677">
        <v>0</v>
      </c>
      <c r="AG677">
        <v>2</v>
      </c>
      <c r="AH677">
        <v>0</v>
      </c>
      <c r="AI677" t="s">
        <v>669</v>
      </c>
      <c r="AJ677">
        <v>41.969275000000003</v>
      </c>
      <c r="AK677" t="s">
        <v>267</v>
      </c>
      <c r="AL677">
        <v>-87.894659000000004</v>
      </c>
      <c r="AS677">
        <v>1</v>
      </c>
      <c r="AT677" t="s">
        <v>118</v>
      </c>
      <c r="AU677" t="b">
        <v>1</v>
      </c>
      <c r="AV677">
        <v>53.44</v>
      </c>
      <c r="AW677">
        <v>8.125</v>
      </c>
      <c r="AX677">
        <v>1</v>
      </c>
      <c r="AZ677">
        <v>7205</v>
      </c>
      <c r="BA677">
        <v>1</v>
      </c>
      <c r="BB677" t="str">
        <f t="shared" si="32"/>
        <v xml:space="preserve">KAP400  </v>
      </c>
      <c r="BC677">
        <v>1</v>
      </c>
      <c r="BE677">
        <v>0</v>
      </c>
      <c r="BF677">
        <v>0</v>
      </c>
      <c r="BG677">
        <v>0</v>
      </c>
      <c r="BI677">
        <v>1</v>
      </c>
      <c r="BJ677">
        <v>1</v>
      </c>
      <c r="BK677">
        <v>1</v>
      </c>
      <c r="BL677">
        <v>0</v>
      </c>
      <c r="BO677">
        <v>0</v>
      </c>
      <c r="BP677">
        <v>0</v>
      </c>
      <c r="BW677" t="str">
        <f>"19:14:36.277"</f>
        <v>19:14:36.277</v>
      </c>
      <c r="BX677" t="s">
        <v>119</v>
      </c>
      <c r="BY677" t="s">
        <v>120</v>
      </c>
      <c r="CJ677">
        <v>0</v>
      </c>
      <c r="CK677">
        <v>0</v>
      </c>
      <c r="CL677">
        <v>0</v>
      </c>
      <c r="CM677">
        <v>2</v>
      </c>
      <c r="CN677">
        <v>0</v>
      </c>
      <c r="CO677">
        <v>7</v>
      </c>
      <c r="CP677" t="s">
        <v>121</v>
      </c>
      <c r="CQ677">
        <v>582</v>
      </c>
      <c r="CR677">
        <v>0</v>
      </c>
      <c r="CW677">
        <v>6363524</v>
      </c>
      <c r="CY677">
        <v>0</v>
      </c>
      <c r="CZ677">
        <v>0</v>
      </c>
      <c r="DA677">
        <v>0</v>
      </c>
      <c r="DB677">
        <v>1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</row>
    <row r="678" spans="1:113" x14ac:dyDescent="0.3">
      <c r="A678" t="str">
        <f>"06/16/2022 19:14:37.440"</f>
        <v>06/16/2022 19:14:37.440</v>
      </c>
      <c r="C678" t="str">
        <f t="shared" si="33"/>
        <v>FFBF5BC0</v>
      </c>
      <c r="D678" t="s">
        <v>113</v>
      </c>
      <c r="E678">
        <v>8</v>
      </c>
      <c r="H678">
        <v>206</v>
      </c>
      <c r="I678" t="s">
        <v>114</v>
      </c>
      <c r="J678" t="s">
        <v>115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>"19:14:37.234"</f>
        <v>19:14:37.234</v>
      </c>
      <c r="T678" t="str">
        <f>"19:14:37.234"</f>
        <v>19:14:37.234</v>
      </c>
      <c r="U678" t="str">
        <f t="shared" si="31"/>
        <v>AB63B2</v>
      </c>
      <c r="V678">
        <v>0</v>
      </c>
      <c r="W678">
        <v>0</v>
      </c>
      <c r="X678">
        <v>6</v>
      </c>
      <c r="Z678">
        <v>0</v>
      </c>
      <c r="AA678">
        <v>9</v>
      </c>
      <c r="AB678">
        <v>3</v>
      </c>
      <c r="AC678">
        <v>0</v>
      </c>
      <c r="AD678">
        <v>10</v>
      </c>
      <c r="AE678">
        <v>0</v>
      </c>
      <c r="AF678">
        <v>0</v>
      </c>
      <c r="AG678">
        <v>2</v>
      </c>
      <c r="AH678">
        <v>0</v>
      </c>
      <c r="AI678" t="s">
        <v>686</v>
      </c>
      <c r="AJ678">
        <v>41.969296999999997</v>
      </c>
      <c r="AK678" t="s">
        <v>687</v>
      </c>
      <c r="AL678">
        <v>-87.894615999999999</v>
      </c>
      <c r="AS678">
        <v>1</v>
      </c>
      <c r="AT678" t="s">
        <v>118</v>
      </c>
      <c r="AU678" t="b">
        <v>1</v>
      </c>
      <c r="AV678">
        <v>50.63</v>
      </c>
      <c r="AW678">
        <v>7.625</v>
      </c>
      <c r="AX678">
        <v>1</v>
      </c>
      <c r="AZ678">
        <v>7205</v>
      </c>
      <c r="BA678">
        <v>1</v>
      </c>
      <c r="BB678" t="str">
        <f t="shared" si="32"/>
        <v xml:space="preserve">KAP400  </v>
      </c>
      <c r="BC678">
        <v>1</v>
      </c>
      <c r="BE678">
        <v>0</v>
      </c>
      <c r="BF678">
        <v>0</v>
      </c>
      <c r="BG678">
        <v>0</v>
      </c>
      <c r="BI678">
        <v>1</v>
      </c>
      <c r="BJ678">
        <v>1</v>
      </c>
      <c r="BK678">
        <v>1</v>
      </c>
      <c r="BL678">
        <v>0</v>
      </c>
      <c r="BO678">
        <v>0</v>
      </c>
      <c r="BP678">
        <v>0</v>
      </c>
      <c r="BW678" t="str">
        <f>"19:14:37.239"</f>
        <v>19:14:37.239</v>
      </c>
      <c r="BX678" t="s">
        <v>119</v>
      </c>
      <c r="BY678" t="s">
        <v>120</v>
      </c>
      <c r="CJ678">
        <v>0</v>
      </c>
      <c r="CK678">
        <v>0</v>
      </c>
      <c r="CL678">
        <v>0</v>
      </c>
      <c r="CM678">
        <v>2</v>
      </c>
      <c r="CN678">
        <v>0</v>
      </c>
      <c r="CO678">
        <v>7</v>
      </c>
      <c r="CP678" t="s">
        <v>121</v>
      </c>
      <c r="CQ678">
        <v>579</v>
      </c>
      <c r="CR678">
        <v>0</v>
      </c>
      <c r="CW678">
        <v>1645869</v>
      </c>
      <c r="CY678">
        <v>0</v>
      </c>
      <c r="CZ678">
        <v>0</v>
      </c>
      <c r="DA678">
        <v>0</v>
      </c>
      <c r="DB678">
        <v>1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</row>
    <row r="679" spans="1:113" x14ac:dyDescent="0.3">
      <c r="A679" t="str">
        <f>"06/16/2022 19:14:38.534"</f>
        <v>06/16/2022 19:14:38.534</v>
      </c>
      <c r="C679" t="str">
        <f t="shared" si="33"/>
        <v>FFBF5BC0</v>
      </c>
      <c r="D679" t="s">
        <v>113</v>
      </c>
      <c r="E679">
        <v>8</v>
      </c>
      <c r="H679">
        <v>206</v>
      </c>
      <c r="I679" t="s">
        <v>114</v>
      </c>
      <c r="J679" t="s">
        <v>115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>"19:14:38.313"</f>
        <v>19:14:38.313</v>
      </c>
      <c r="T679" t="str">
        <f>"19:14:38.313"</f>
        <v>19:14:38.313</v>
      </c>
      <c r="U679" t="str">
        <f t="shared" si="31"/>
        <v>AB63B2</v>
      </c>
      <c r="V679">
        <v>0</v>
      </c>
      <c r="W679">
        <v>0</v>
      </c>
      <c r="X679">
        <v>6</v>
      </c>
      <c r="Z679">
        <v>0</v>
      </c>
      <c r="AA679">
        <v>9</v>
      </c>
      <c r="AB679">
        <v>3</v>
      </c>
      <c r="AC679">
        <v>0</v>
      </c>
      <c r="AD679">
        <v>10</v>
      </c>
      <c r="AE679">
        <v>0</v>
      </c>
      <c r="AF679">
        <v>0</v>
      </c>
      <c r="AG679">
        <v>2</v>
      </c>
      <c r="AH679">
        <v>0</v>
      </c>
      <c r="AI679" t="s">
        <v>688</v>
      </c>
      <c r="AJ679">
        <v>41.969318000000001</v>
      </c>
      <c r="AK679" t="s">
        <v>269</v>
      </c>
      <c r="AL679">
        <v>-87.894594999999995</v>
      </c>
      <c r="AS679">
        <v>1</v>
      </c>
      <c r="AT679" t="s">
        <v>118</v>
      </c>
      <c r="AU679" t="b">
        <v>1</v>
      </c>
      <c r="AV679">
        <v>45</v>
      </c>
      <c r="AW679">
        <v>7.625</v>
      </c>
      <c r="AX679">
        <v>1</v>
      </c>
      <c r="AZ679">
        <v>7205</v>
      </c>
      <c r="BA679">
        <v>1</v>
      </c>
      <c r="BB679" t="str">
        <f t="shared" si="32"/>
        <v xml:space="preserve">KAP400  </v>
      </c>
      <c r="BC679">
        <v>1</v>
      </c>
      <c r="BE679">
        <v>0</v>
      </c>
      <c r="BF679">
        <v>0</v>
      </c>
      <c r="BG679">
        <v>0</v>
      </c>
      <c r="BI679">
        <v>1</v>
      </c>
      <c r="BJ679">
        <v>1</v>
      </c>
      <c r="BK679">
        <v>1</v>
      </c>
      <c r="BL679">
        <v>0</v>
      </c>
      <c r="BO679">
        <v>0</v>
      </c>
      <c r="BP679">
        <v>0</v>
      </c>
      <c r="BW679" t="str">
        <f>"19:14:38.315"</f>
        <v>19:14:38.315</v>
      </c>
      <c r="BX679" t="s">
        <v>119</v>
      </c>
      <c r="BY679" t="s">
        <v>120</v>
      </c>
      <c r="CJ679">
        <v>0</v>
      </c>
      <c r="CK679">
        <v>0</v>
      </c>
      <c r="CL679">
        <v>0</v>
      </c>
      <c r="CM679">
        <v>2</v>
      </c>
      <c r="CN679">
        <v>0</v>
      </c>
      <c r="CO679">
        <v>6</v>
      </c>
      <c r="CP679" t="s">
        <v>121</v>
      </c>
      <c r="CQ679">
        <v>582</v>
      </c>
      <c r="CR679">
        <v>0</v>
      </c>
      <c r="CW679">
        <v>6366220</v>
      </c>
      <c r="CY679">
        <v>0</v>
      </c>
      <c r="CZ679">
        <v>0</v>
      </c>
      <c r="DA679">
        <v>0</v>
      </c>
      <c r="DB679">
        <v>1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</row>
    <row r="680" spans="1:113" x14ac:dyDescent="0.3">
      <c r="A680" t="str">
        <f>"06/16/2022 19:14:53.596"</f>
        <v>06/16/2022 19:14:53.596</v>
      </c>
      <c r="C680" t="str">
        <f t="shared" si="33"/>
        <v>FFBF5BC0</v>
      </c>
      <c r="D680" t="s">
        <v>113</v>
      </c>
      <c r="E680">
        <v>8</v>
      </c>
      <c r="H680">
        <v>206</v>
      </c>
      <c r="I680" t="s">
        <v>114</v>
      </c>
      <c r="J680" t="s">
        <v>115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>"19:14:53.398"</f>
        <v>19:14:53.398</v>
      </c>
      <c r="T680" t="str">
        <f>"19:14:53.398"</f>
        <v>19:14:53.398</v>
      </c>
      <c r="U680" t="str">
        <f t="shared" si="31"/>
        <v>AB63B2</v>
      </c>
      <c r="V680">
        <v>0</v>
      </c>
      <c r="W680">
        <v>0</v>
      </c>
      <c r="X680">
        <v>6</v>
      </c>
      <c r="Z680">
        <v>0</v>
      </c>
      <c r="AA680">
        <v>9</v>
      </c>
      <c r="AB680">
        <v>3</v>
      </c>
      <c r="AC680">
        <v>0</v>
      </c>
      <c r="AD680">
        <v>10</v>
      </c>
      <c r="AE680">
        <v>0</v>
      </c>
      <c r="AF680">
        <v>0</v>
      </c>
      <c r="AG680">
        <v>2</v>
      </c>
      <c r="AH680">
        <v>0</v>
      </c>
      <c r="AI680" t="s">
        <v>689</v>
      </c>
      <c r="AJ680">
        <v>41.969683000000003</v>
      </c>
      <c r="AK680" t="s">
        <v>690</v>
      </c>
      <c r="AL680">
        <v>-87.894358999999994</v>
      </c>
      <c r="AS680">
        <v>1</v>
      </c>
      <c r="AT680" t="s">
        <v>118</v>
      </c>
      <c r="AU680" t="b">
        <v>1</v>
      </c>
      <c r="AV680">
        <v>357.19</v>
      </c>
      <c r="AW680">
        <v>5.125</v>
      </c>
      <c r="AX680">
        <v>1</v>
      </c>
      <c r="AZ680">
        <v>7205</v>
      </c>
      <c r="BA680">
        <v>1</v>
      </c>
      <c r="BB680" t="str">
        <f t="shared" si="32"/>
        <v xml:space="preserve">KAP400  </v>
      </c>
      <c r="BC680">
        <v>1</v>
      </c>
      <c r="BE680">
        <v>0</v>
      </c>
      <c r="BF680">
        <v>0</v>
      </c>
      <c r="BG680">
        <v>0</v>
      </c>
      <c r="BI680">
        <v>1</v>
      </c>
      <c r="BJ680">
        <v>1</v>
      </c>
      <c r="BK680">
        <v>1</v>
      </c>
      <c r="BL680">
        <v>0</v>
      </c>
      <c r="BO680">
        <v>0</v>
      </c>
      <c r="BP680">
        <v>0</v>
      </c>
      <c r="BW680" t="str">
        <f>"19:14:53.398"</f>
        <v>19:14:53.398</v>
      </c>
      <c r="BX680" t="s">
        <v>119</v>
      </c>
      <c r="BY680" t="s">
        <v>120</v>
      </c>
      <c r="CJ680">
        <v>0</v>
      </c>
      <c r="CK680">
        <v>0</v>
      </c>
      <c r="CL680">
        <v>0</v>
      </c>
      <c r="CM680">
        <v>2</v>
      </c>
      <c r="CN680">
        <v>0</v>
      </c>
      <c r="CO680">
        <v>7</v>
      </c>
      <c r="CP680" t="s">
        <v>121</v>
      </c>
      <c r="CQ680">
        <v>580</v>
      </c>
      <c r="CR680">
        <v>0</v>
      </c>
      <c r="CW680">
        <v>564566</v>
      </c>
      <c r="CY680">
        <v>0</v>
      </c>
      <c r="CZ680">
        <v>0</v>
      </c>
      <c r="DA680">
        <v>0</v>
      </c>
      <c r="DB680">
        <v>1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</row>
    <row r="681" spans="1:113" x14ac:dyDescent="0.3">
      <c r="A681" t="str">
        <f>"06/16/2022 19:14:54.706"</f>
        <v>06/16/2022 19:14:54.706</v>
      </c>
      <c r="C681" t="str">
        <f t="shared" si="33"/>
        <v>FFBF5BC0</v>
      </c>
      <c r="D681" t="s">
        <v>113</v>
      </c>
      <c r="E681">
        <v>8</v>
      </c>
      <c r="H681">
        <v>206</v>
      </c>
      <c r="I681" t="s">
        <v>114</v>
      </c>
      <c r="J681" t="s">
        <v>115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>"19:14:54.492"</f>
        <v>19:14:54.492</v>
      </c>
      <c r="T681" t="str">
        <f>"19:14:54.492"</f>
        <v>19:14:54.492</v>
      </c>
      <c r="U681" t="str">
        <f t="shared" si="31"/>
        <v>AB63B2</v>
      </c>
      <c r="V681">
        <v>0</v>
      </c>
      <c r="W681">
        <v>0</v>
      </c>
      <c r="X681">
        <v>6</v>
      </c>
      <c r="Z681">
        <v>0</v>
      </c>
      <c r="AA681">
        <v>9</v>
      </c>
      <c r="AB681">
        <v>3</v>
      </c>
      <c r="AC681">
        <v>0</v>
      </c>
      <c r="AD681">
        <v>10</v>
      </c>
      <c r="AE681">
        <v>0</v>
      </c>
      <c r="AF681">
        <v>0</v>
      </c>
      <c r="AG681">
        <v>2</v>
      </c>
      <c r="AH681">
        <v>0</v>
      </c>
      <c r="AI681" t="s">
        <v>660</v>
      </c>
      <c r="AJ681">
        <v>41.969704999999998</v>
      </c>
      <c r="AK681" t="s">
        <v>342</v>
      </c>
      <c r="AL681">
        <v>-87.894379999999998</v>
      </c>
      <c r="AS681">
        <v>1</v>
      </c>
      <c r="AT681" t="s">
        <v>118</v>
      </c>
      <c r="AU681" t="b">
        <v>1</v>
      </c>
      <c r="AV681">
        <v>357.19</v>
      </c>
      <c r="AW681">
        <v>4.625</v>
      </c>
      <c r="AX681">
        <v>1</v>
      </c>
      <c r="AZ681">
        <v>7205</v>
      </c>
      <c r="BA681">
        <v>1</v>
      </c>
      <c r="BB681" t="str">
        <f t="shared" si="32"/>
        <v xml:space="preserve">KAP400  </v>
      </c>
      <c r="BC681">
        <v>1</v>
      </c>
      <c r="BE681">
        <v>0</v>
      </c>
      <c r="BF681">
        <v>0</v>
      </c>
      <c r="BG681">
        <v>0</v>
      </c>
      <c r="BI681">
        <v>1</v>
      </c>
      <c r="BJ681">
        <v>1</v>
      </c>
      <c r="BK681">
        <v>1</v>
      </c>
      <c r="BL681">
        <v>0</v>
      </c>
      <c r="BO681">
        <v>0</v>
      </c>
      <c r="BP681">
        <v>0</v>
      </c>
      <c r="BW681" t="str">
        <f>"19:14:54.499"</f>
        <v>19:14:54.499</v>
      </c>
      <c r="BX681" t="s">
        <v>119</v>
      </c>
      <c r="BY681" t="s">
        <v>120</v>
      </c>
      <c r="CJ681">
        <v>0</v>
      </c>
      <c r="CK681">
        <v>0</v>
      </c>
      <c r="CL681">
        <v>0</v>
      </c>
      <c r="CM681">
        <v>2</v>
      </c>
      <c r="CN681">
        <v>0</v>
      </c>
      <c r="CO681">
        <v>7</v>
      </c>
      <c r="CP681" t="s">
        <v>121</v>
      </c>
      <c r="CQ681">
        <v>580</v>
      </c>
      <c r="CR681">
        <v>0</v>
      </c>
      <c r="CW681">
        <v>566725</v>
      </c>
      <c r="CY681">
        <v>0</v>
      </c>
      <c r="CZ681">
        <v>0</v>
      </c>
      <c r="DA681">
        <v>0</v>
      </c>
      <c r="DB681">
        <v>1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</row>
    <row r="682" spans="1:113" x14ac:dyDescent="0.3">
      <c r="A682" t="str">
        <f>"06/16/2022 19:14:56.597"</f>
        <v>06/16/2022 19:14:56.597</v>
      </c>
      <c r="C682" t="str">
        <f t="shared" si="33"/>
        <v>FFBF5BC0</v>
      </c>
      <c r="D682" t="s">
        <v>113</v>
      </c>
      <c r="E682">
        <v>8</v>
      </c>
      <c r="H682">
        <v>206</v>
      </c>
      <c r="I682" t="s">
        <v>114</v>
      </c>
      <c r="J682" t="s">
        <v>115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>"19:14:56.047"</f>
        <v>19:14:56.047</v>
      </c>
      <c r="T682" t="str">
        <f>"19:14:56.047"</f>
        <v>19:14:56.047</v>
      </c>
      <c r="U682" t="str">
        <f t="shared" si="31"/>
        <v>AB63B2</v>
      </c>
      <c r="V682">
        <v>0</v>
      </c>
      <c r="W682">
        <v>0</v>
      </c>
      <c r="X682">
        <v>6</v>
      </c>
      <c r="Z682">
        <v>0</v>
      </c>
      <c r="AA682">
        <v>9</v>
      </c>
      <c r="AB682">
        <v>3</v>
      </c>
      <c r="AC682">
        <v>0</v>
      </c>
      <c r="AD682">
        <v>10</v>
      </c>
      <c r="AE682">
        <v>0</v>
      </c>
      <c r="AF682">
        <v>0</v>
      </c>
      <c r="AG682">
        <v>2</v>
      </c>
      <c r="AH682">
        <v>0</v>
      </c>
      <c r="AI682" t="s">
        <v>691</v>
      </c>
      <c r="AJ682">
        <v>41.969726000000001</v>
      </c>
      <c r="AK682" t="s">
        <v>342</v>
      </c>
      <c r="AL682">
        <v>-87.894379999999998</v>
      </c>
      <c r="AS682">
        <v>1</v>
      </c>
      <c r="AT682" t="s">
        <v>118</v>
      </c>
      <c r="AU682" t="b">
        <v>1</v>
      </c>
      <c r="AV682">
        <v>0</v>
      </c>
      <c r="AW682">
        <v>4.625</v>
      </c>
      <c r="AX682">
        <v>1</v>
      </c>
      <c r="AZ682">
        <v>7205</v>
      </c>
      <c r="BA682">
        <v>1</v>
      </c>
      <c r="BB682" t="str">
        <f t="shared" si="32"/>
        <v xml:space="preserve">KAP400  </v>
      </c>
      <c r="BC682">
        <v>1</v>
      </c>
      <c r="BE682">
        <v>0</v>
      </c>
      <c r="BF682">
        <v>0</v>
      </c>
      <c r="BG682">
        <v>0</v>
      </c>
      <c r="BI682">
        <v>1</v>
      </c>
      <c r="BJ682">
        <v>1</v>
      </c>
      <c r="BK682">
        <v>1</v>
      </c>
      <c r="BL682">
        <v>0</v>
      </c>
      <c r="BO682">
        <v>0</v>
      </c>
      <c r="BP682">
        <v>0</v>
      </c>
      <c r="BW682" t="str">
        <f>"19:14:56.053"</f>
        <v>19:14:56.053</v>
      </c>
      <c r="BX682" t="s">
        <v>119</v>
      </c>
      <c r="BY682" t="s">
        <v>120</v>
      </c>
      <c r="CJ682">
        <v>0</v>
      </c>
      <c r="CK682">
        <v>0</v>
      </c>
      <c r="CL682">
        <v>0</v>
      </c>
      <c r="CM682">
        <v>2</v>
      </c>
      <c r="CN682">
        <v>0</v>
      </c>
      <c r="CO682">
        <v>7</v>
      </c>
      <c r="CP682" t="s">
        <v>121</v>
      </c>
      <c r="CQ682">
        <v>579</v>
      </c>
      <c r="CR682">
        <v>0</v>
      </c>
      <c r="CW682">
        <v>1683131</v>
      </c>
      <c r="CY682">
        <v>0</v>
      </c>
      <c r="CZ682">
        <v>0</v>
      </c>
      <c r="DA682">
        <v>0</v>
      </c>
      <c r="DB682">
        <v>1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</row>
    <row r="683" spans="1:113" x14ac:dyDescent="0.3">
      <c r="A683" t="str">
        <f>"06/16/2022 19:14:57.362"</f>
        <v>06/16/2022 19:14:57.362</v>
      </c>
      <c r="C683" t="str">
        <f t="shared" si="33"/>
        <v>FFBF5BC0</v>
      </c>
      <c r="D683" t="s">
        <v>113</v>
      </c>
      <c r="E683">
        <v>8</v>
      </c>
      <c r="H683">
        <v>206</v>
      </c>
      <c r="I683" t="s">
        <v>114</v>
      </c>
      <c r="J683" t="s">
        <v>115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>"19:14:57.109"</f>
        <v>19:14:57.109</v>
      </c>
      <c r="T683" t="str">
        <f>"19:14:57.109"</f>
        <v>19:14:57.109</v>
      </c>
      <c r="U683" t="str">
        <f t="shared" si="31"/>
        <v>AB63B2</v>
      </c>
      <c r="V683">
        <v>0</v>
      </c>
      <c r="W683">
        <v>0</v>
      </c>
      <c r="X683">
        <v>6</v>
      </c>
      <c r="Z683">
        <v>0</v>
      </c>
      <c r="AA683">
        <v>9</v>
      </c>
      <c r="AB683">
        <v>3</v>
      </c>
      <c r="AC683">
        <v>0</v>
      </c>
      <c r="AD683">
        <v>10</v>
      </c>
      <c r="AE683">
        <v>0</v>
      </c>
      <c r="AF683">
        <v>0</v>
      </c>
      <c r="AG683">
        <v>2</v>
      </c>
      <c r="AH683">
        <v>0</v>
      </c>
      <c r="AI683" t="s">
        <v>659</v>
      </c>
      <c r="AJ683">
        <v>41.969748000000003</v>
      </c>
      <c r="AK683" t="s">
        <v>342</v>
      </c>
      <c r="AL683">
        <v>-87.894379999999998</v>
      </c>
      <c r="AS683">
        <v>1</v>
      </c>
      <c r="AT683" t="s">
        <v>118</v>
      </c>
      <c r="AU683" t="b">
        <v>1</v>
      </c>
      <c r="AV683">
        <v>0</v>
      </c>
      <c r="AW683">
        <v>4.625</v>
      </c>
      <c r="AX683">
        <v>1</v>
      </c>
      <c r="AZ683">
        <v>7205</v>
      </c>
      <c r="BA683">
        <v>1</v>
      </c>
      <c r="BB683" t="str">
        <f t="shared" si="32"/>
        <v xml:space="preserve">KAP400  </v>
      </c>
      <c r="BC683">
        <v>1</v>
      </c>
      <c r="BE683">
        <v>0</v>
      </c>
      <c r="BF683">
        <v>0</v>
      </c>
      <c r="BG683">
        <v>0</v>
      </c>
      <c r="BI683">
        <v>1</v>
      </c>
      <c r="BJ683">
        <v>1</v>
      </c>
      <c r="BK683">
        <v>1</v>
      </c>
      <c r="BL683">
        <v>0</v>
      </c>
      <c r="BO683">
        <v>0</v>
      </c>
      <c r="BP683">
        <v>0</v>
      </c>
      <c r="BW683" t="str">
        <f>"19:14:57.110"</f>
        <v>19:14:57.110</v>
      </c>
      <c r="BX683" t="s">
        <v>119</v>
      </c>
      <c r="BY683" t="s">
        <v>120</v>
      </c>
      <c r="CJ683">
        <v>0</v>
      </c>
      <c r="CK683">
        <v>0</v>
      </c>
      <c r="CL683">
        <v>0</v>
      </c>
      <c r="CM683">
        <v>2</v>
      </c>
      <c r="CN683">
        <v>0</v>
      </c>
      <c r="CO683">
        <v>7</v>
      </c>
      <c r="CP683" t="s">
        <v>121</v>
      </c>
      <c r="CQ683">
        <v>579</v>
      </c>
      <c r="CR683">
        <v>0</v>
      </c>
      <c r="CW683">
        <v>1685204</v>
      </c>
      <c r="CY683">
        <v>0</v>
      </c>
      <c r="CZ683">
        <v>0</v>
      </c>
      <c r="DA683">
        <v>0</v>
      </c>
      <c r="DB683">
        <v>1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</row>
    <row r="684" spans="1:113" x14ac:dyDescent="0.3">
      <c r="A684" t="str">
        <f>"06/16/2022 19:14:58.284"</f>
        <v>06/16/2022 19:14:58.284</v>
      </c>
      <c r="C684" t="str">
        <f t="shared" si="33"/>
        <v>FFBF5BC0</v>
      </c>
      <c r="D684" t="s">
        <v>113</v>
      </c>
      <c r="E684">
        <v>8</v>
      </c>
      <c r="H684">
        <v>206</v>
      </c>
      <c r="I684" t="s">
        <v>114</v>
      </c>
      <c r="J684" t="s">
        <v>115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>"19:14:58.047"</f>
        <v>19:14:58.047</v>
      </c>
      <c r="T684" t="str">
        <f>"19:14:58.047"</f>
        <v>19:14:58.047</v>
      </c>
      <c r="U684" t="str">
        <f t="shared" si="31"/>
        <v>AB63B2</v>
      </c>
      <c r="V684">
        <v>0</v>
      </c>
      <c r="W684">
        <v>0</v>
      </c>
      <c r="X684">
        <v>6</v>
      </c>
      <c r="Z684">
        <v>0</v>
      </c>
      <c r="AA684">
        <v>9</v>
      </c>
      <c r="AB684">
        <v>3</v>
      </c>
      <c r="AC684">
        <v>0</v>
      </c>
      <c r="AD684">
        <v>10</v>
      </c>
      <c r="AE684">
        <v>0</v>
      </c>
      <c r="AF684">
        <v>0</v>
      </c>
      <c r="AG684">
        <v>2</v>
      </c>
      <c r="AH684">
        <v>0</v>
      </c>
      <c r="AI684" t="s">
        <v>692</v>
      </c>
      <c r="AJ684">
        <v>41.969768999999999</v>
      </c>
      <c r="AK684" t="s">
        <v>690</v>
      </c>
      <c r="AL684">
        <v>-87.894358999999994</v>
      </c>
      <c r="AS684">
        <v>1</v>
      </c>
      <c r="AT684" t="s">
        <v>118</v>
      </c>
      <c r="AU684" t="b">
        <v>1</v>
      </c>
      <c r="AV684">
        <v>0</v>
      </c>
      <c r="AW684">
        <v>4.625</v>
      </c>
      <c r="AX684">
        <v>1</v>
      </c>
      <c r="AZ684">
        <v>7205</v>
      </c>
      <c r="BA684">
        <v>1</v>
      </c>
      <c r="BB684" t="str">
        <f t="shared" si="32"/>
        <v xml:space="preserve">KAP400  </v>
      </c>
      <c r="BC684">
        <v>1</v>
      </c>
      <c r="BE684">
        <v>0</v>
      </c>
      <c r="BF684">
        <v>0</v>
      </c>
      <c r="BG684">
        <v>0</v>
      </c>
      <c r="BI684">
        <v>1</v>
      </c>
      <c r="BJ684">
        <v>1</v>
      </c>
      <c r="BK684">
        <v>1</v>
      </c>
      <c r="BL684">
        <v>0</v>
      </c>
      <c r="BO684">
        <v>0</v>
      </c>
      <c r="BP684">
        <v>0</v>
      </c>
      <c r="BW684" t="str">
        <f>"19:14:58.050"</f>
        <v>19:14:58.050</v>
      </c>
      <c r="BX684" t="s">
        <v>119</v>
      </c>
      <c r="BY684" t="s">
        <v>120</v>
      </c>
      <c r="CJ684">
        <v>0</v>
      </c>
      <c r="CK684">
        <v>0</v>
      </c>
      <c r="CL684">
        <v>0</v>
      </c>
      <c r="CM684">
        <v>2</v>
      </c>
      <c r="CN684">
        <v>0</v>
      </c>
      <c r="CO684">
        <v>7</v>
      </c>
      <c r="CP684" t="s">
        <v>121</v>
      </c>
      <c r="CQ684">
        <v>579</v>
      </c>
      <c r="CR684">
        <v>0</v>
      </c>
      <c r="CW684">
        <v>1687075</v>
      </c>
      <c r="CY684">
        <v>0</v>
      </c>
      <c r="CZ684">
        <v>0</v>
      </c>
      <c r="DA684">
        <v>0</v>
      </c>
      <c r="DB684">
        <v>1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</row>
    <row r="685" spans="1:113" x14ac:dyDescent="0.3">
      <c r="A685" t="str">
        <f>"06/16/2022 19:14:59.300"</f>
        <v>06/16/2022 19:14:59.300</v>
      </c>
      <c r="C685" t="str">
        <f t="shared" si="33"/>
        <v>FFBF5BC0</v>
      </c>
      <c r="D685" t="s">
        <v>113</v>
      </c>
      <c r="E685">
        <v>8</v>
      </c>
      <c r="H685">
        <v>206</v>
      </c>
      <c r="I685" t="s">
        <v>114</v>
      </c>
      <c r="J685" t="s">
        <v>115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>"19:14:59.023"</f>
        <v>19:14:59.023</v>
      </c>
      <c r="T685" t="str">
        <f>"19:14:59.023"</f>
        <v>19:14:59.023</v>
      </c>
      <c r="U685" t="str">
        <f t="shared" si="31"/>
        <v>AB63B2</v>
      </c>
      <c r="V685">
        <v>0</v>
      </c>
      <c r="W685">
        <v>0</v>
      </c>
      <c r="X685">
        <v>6</v>
      </c>
      <c r="Z685">
        <v>0</v>
      </c>
      <c r="AA685">
        <v>9</v>
      </c>
      <c r="AB685">
        <v>3</v>
      </c>
      <c r="AC685">
        <v>0</v>
      </c>
      <c r="AD685">
        <v>10</v>
      </c>
      <c r="AE685">
        <v>0</v>
      </c>
      <c r="AF685">
        <v>0</v>
      </c>
      <c r="AG685">
        <v>2</v>
      </c>
      <c r="AH685">
        <v>0</v>
      </c>
      <c r="AI685" t="s">
        <v>658</v>
      </c>
      <c r="AJ685">
        <v>41.969790000000003</v>
      </c>
      <c r="AK685" t="s">
        <v>690</v>
      </c>
      <c r="AL685">
        <v>-87.894358999999994</v>
      </c>
      <c r="AS685">
        <v>1</v>
      </c>
      <c r="AT685" t="s">
        <v>118</v>
      </c>
      <c r="AU685" t="b">
        <v>1</v>
      </c>
      <c r="AV685">
        <v>0</v>
      </c>
      <c r="AW685">
        <v>5.125</v>
      </c>
      <c r="AX685">
        <v>1</v>
      </c>
      <c r="AZ685">
        <v>7205</v>
      </c>
      <c r="BA685">
        <v>1</v>
      </c>
      <c r="BB685" t="str">
        <f t="shared" si="32"/>
        <v xml:space="preserve">KAP400  </v>
      </c>
      <c r="BC685">
        <v>1</v>
      </c>
      <c r="BE685">
        <v>0</v>
      </c>
      <c r="BF685">
        <v>0</v>
      </c>
      <c r="BG685">
        <v>0</v>
      </c>
      <c r="BI685">
        <v>1</v>
      </c>
      <c r="BJ685">
        <v>1</v>
      </c>
      <c r="BK685">
        <v>1</v>
      </c>
      <c r="BL685">
        <v>0</v>
      </c>
      <c r="BO685">
        <v>0</v>
      </c>
      <c r="BP685">
        <v>0</v>
      </c>
      <c r="BW685" t="str">
        <f>"19:14:59.026"</f>
        <v>19:14:59.026</v>
      </c>
      <c r="BX685" t="s">
        <v>119</v>
      </c>
      <c r="BY685" t="s">
        <v>120</v>
      </c>
      <c r="CJ685">
        <v>0</v>
      </c>
      <c r="CK685">
        <v>0</v>
      </c>
      <c r="CL685">
        <v>0</v>
      </c>
      <c r="CM685">
        <v>2</v>
      </c>
      <c r="CN685">
        <v>0</v>
      </c>
      <c r="CO685">
        <v>7</v>
      </c>
      <c r="CP685" t="s">
        <v>121</v>
      </c>
      <c r="CQ685">
        <v>579</v>
      </c>
      <c r="CR685">
        <v>0</v>
      </c>
      <c r="CW685">
        <v>1689119</v>
      </c>
      <c r="CY685">
        <v>0</v>
      </c>
      <c r="CZ685">
        <v>0</v>
      </c>
      <c r="DA685">
        <v>0</v>
      </c>
      <c r="DB685">
        <v>1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</row>
    <row r="686" spans="1:113" x14ac:dyDescent="0.3">
      <c r="A686" t="str">
        <f>"06/16/2022 19:15:00.269"</f>
        <v>06/16/2022 19:15:00.269</v>
      </c>
      <c r="C686" t="str">
        <f t="shared" si="33"/>
        <v>FFBF5BC0</v>
      </c>
      <c r="D686" t="s">
        <v>113</v>
      </c>
      <c r="E686">
        <v>8</v>
      </c>
      <c r="H686">
        <v>206</v>
      </c>
      <c r="I686" t="s">
        <v>114</v>
      </c>
      <c r="J686" t="s">
        <v>115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>"19:14:59.953"</f>
        <v>19:14:59.953</v>
      </c>
      <c r="T686" t="str">
        <f>"19:14:59.953"</f>
        <v>19:14:59.953</v>
      </c>
      <c r="U686" t="str">
        <f t="shared" si="31"/>
        <v>AB63B2</v>
      </c>
      <c r="V686">
        <v>0</v>
      </c>
      <c r="W686">
        <v>0</v>
      </c>
      <c r="X686">
        <v>6</v>
      </c>
      <c r="Z686">
        <v>0</v>
      </c>
      <c r="AA686">
        <v>9</v>
      </c>
      <c r="AB686">
        <v>3</v>
      </c>
      <c r="AC686">
        <v>0</v>
      </c>
      <c r="AD686">
        <v>10</v>
      </c>
      <c r="AE686">
        <v>0</v>
      </c>
      <c r="AF686">
        <v>0</v>
      </c>
      <c r="AG686">
        <v>2</v>
      </c>
      <c r="AH686">
        <v>0</v>
      </c>
      <c r="AI686" t="s">
        <v>656</v>
      </c>
      <c r="AJ686">
        <v>41.969811999999997</v>
      </c>
      <c r="AK686" t="s">
        <v>342</v>
      </c>
      <c r="AL686">
        <v>-87.894379999999998</v>
      </c>
      <c r="AS686">
        <v>1</v>
      </c>
      <c r="AT686" t="s">
        <v>118</v>
      </c>
      <c r="AU686" t="b">
        <v>1</v>
      </c>
      <c r="AV686">
        <v>0</v>
      </c>
      <c r="AW686">
        <v>5.625</v>
      </c>
      <c r="AX686">
        <v>1</v>
      </c>
      <c r="AZ686">
        <v>7205</v>
      </c>
      <c r="BA686">
        <v>1</v>
      </c>
      <c r="BB686" t="str">
        <f t="shared" si="32"/>
        <v xml:space="preserve">KAP400  </v>
      </c>
      <c r="BC686">
        <v>1</v>
      </c>
      <c r="BE686">
        <v>0</v>
      </c>
      <c r="BF686">
        <v>0</v>
      </c>
      <c r="BG686">
        <v>0</v>
      </c>
      <c r="BI686">
        <v>1</v>
      </c>
      <c r="BJ686">
        <v>1</v>
      </c>
      <c r="BK686">
        <v>1</v>
      </c>
      <c r="BL686">
        <v>0</v>
      </c>
      <c r="BO686">
        <v>0</v>
      </c>
      <c r="BP686">
        <v>0</v>
      </c>
      <c r="BW686" t="str">
        <f>"19:14:59.957"</f>
        <v>19:14:59.957</v>
      </c>
      <c r="BX686" t="s">
        <v>119</v>
      </c>
      <c r="BY686" t="s">
        <v>120</v>
      </c>
      <c r="CJ686">
        <v>0</v>
      </c>
      <c r="CK686">
        <v>0</v>
      </c>
      <c r="CL686">
        <v>0</v>
      </c>
      <c r="CM686">
        <v>2</v>
      </c>
      <c r="CN686">
        <v>0</v>
      </c>
      <c r="CO686">
        <v>7</v>
      </c>
      <c r="CP686" t="s">
        <v>121</v>
      </c>
      <c r="CQ686">
        <v>579</v>
      </c>
      <c r="CR686">
        <v>0</v>
      </c>
      <c r="CW686">
        <v>1690959</v>
      </c>
      <c r="CY686">
        <v>0</v>
      </c>
      <c r="CZ686">
        <v>0</v>
      </c>
      <c r="DA686">
        <v>0</v>
      </c>
      <c r="DB686">
        <v>1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</row>
    <row r="687" spans="1:113" x14ac:dyDescent="0.3">
      <c r="A687" t="str">
        <f>"06/16/2022 19:15:01.331"</f>
        <v>06/16/2022 19:15:01.331</v>
      </c>
      <c r="C687" t="str">
        <f t="shared" si="33"/>
        <v>FFBF5BC0</v>
      </c>
      <c r="D687" t="s">
        <v>113</v>
      </c>
      <c r="E687">
        <v>8</v>
      </c>
      <c r="H687">
        <v>206</v>
      </c>
      <c r="I687" t="s">
        <v>114</v>
      </c>
      <c r="J687" t="s">
        <v>115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>"19:15:01.117"</f>
        <v>19:15:01.117</v>
      </c>
      <c r="T687" t="str">
        <f>"19:15:01.117"</f>
        <v>19:15:01.117</v>
      </c>
      <c r="U687" t="str">
        <f t="shared" si="31"/>
        <v>AB63B2</v>
      </c>
      <c r="V687">
        <v>0</v>
      </c>
      <c r="W687">
        <v>0</v>
      </c>
      <c r="X687">
        <v>6</v>
      </c>
      <c r="Z687">
        <v>0</v>
      </c>
      <c r="AA687">
        <v>9</v>
      </c>
      <c r="AB687">
        <v>3</v>
      </c>
      <c r="AC687">
        <v>0</v>
      </c>
      <c r="AD687">
        <v>10</v>
      </c>
      <c r="AE687">
        <v>0</v>
      </c>
      <c r="AF687">
        <v>0</v>
      </c>
      <c r="AG687">
        <v>2</v>
      </c>
      <c r="AH687">
        <v>0</v>
      </c>
      <c r="AI687" t="s">
        <v>693</v>
      </c>
      <c r="AJ687">
        <v>41.969855000000003</v>
      </c>
      <c r="AK687" t="s">
        <v>342</v>
      </c>
      <c r="AL687">
        <v>-87.894379999999998</v>
      </c>
      <c r="AS687">
        <v>1</v>
      </c>
      <c r="AT687" t="s">
        <v>118</v>
      </c>
      <c r="AU687" t="b">
        <v>1</v>
      </c>
      <c r="AV687">
        <v>0</v>
      </c>
      <c r="AW687">
        <v>6.125</v>
      </c>
      <c r="AX687">
        <v>1</v>
      </c>
      <c r="AZ687">
        <v>7205</v>
      </c>
      <c r="BA687">
        <v>1</v>
      </c>
      <c r="BB687" t="str">
        <f t="shared" si="32"/>
        <v xml:space="preserve">KAP400  </v>
      </c>
      <c r="BC687">
        <v>1</v>
      </c>
      <c r="BE687">
        <v>0</v>
      </c>
      <c r="BF687">
        <v>0</v>
      </c>
      <c r="BG687">
        <v>0</v>
      </c>
      <c r="BI687">
        <v>1</v>
      </c>
      <c r="BJ687">
        <v>1</v>
      </c>
      <c r="BK687">
        <v>1</v>
      </c>
      <c r="BL687">
        <v>0</v>
      </c>
      <c r="BO687">
        <v>0</v>
      </c>
      <c r="BP687">
        <v>0</v>
      </c>
      <c r="BW687" t="str">
        <f>"19:15:01.124"</f>
        <v>19:15:01.124</v>
      </c>
      <c r="BX687" t="s">
        <v>119</v>
      </c>
      <c r="BY687" t="s">
        <v>120</v>
      </c>
      <c r="CJ687">
        <v>0</v>
      </c>
      <c r="CK687">
        <v>0</v>
      </c>
      <c r="CL687">
        <v>0</v>
      </c>
      <c r="CM687">
        <v>2</v>
      </c>
      <c r="CN687">
        <v>0</v>
      </c>
      <c r="CO687">
        <v>7</v>
      </c>
      <c r="CP687" t="s">
        <v>121</v>
      </c>
      <c r="CQ687">
        <v>580</v>
      </c>
      <c r="CR687">
        <v>0</v>
      </c>
      <c r="CW687">
        <v>578917</v>
      </c>
      <c r="CY687">
        <v>0</v>
      </c>
      <c r="CZ687">
        <v>0</v>
      </c>
      <c r="DA687">
        <v>0</v>
      </c>
      <c r="DB687">
        <v>1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</row>
    <row r="688" spans="1:113" x14ac:dyDescent="0.3">
      <c r="A688" t="str">
        <f>"06/16/2022 19:15:02.783"</f>
        <v>06/16/2022 19:15:02.783</v>
      </c>
      <c r="C688" t="str">
        <f t="shared" si="33"/>
        <v>FFBF5BC0</v>
      </c>
      <c r="D688" t="s">
        <v>113</v>
      </c>
      <c r="E688">
        <v>8</v>
      </c>
      <c r="H688">
        <v>206</v>
      </c>
      <c r="I688" t="s">
        <v>114</v>
      </c>
      <c r="J688" t="s">
        <v>115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>"19:15:02.539"</f>
        <v>19:15:02.539</v>
      </c>
      <c r="T688" t="str">
        <f>"19:15:02.539"</f>
        <v>19:15:02.539</v>
      </c>
      <c r="U688" t="str">
        <f t="shared" si="31"/>
        <v>AB63B2</v>
      </c>
      <c r="V688">
        <v>0</v>
      </c>
      <c r="W688">
        <v>0</v>
      </c>
      <c r="X688">
        <v>6</v>
      </c>
      <c r="Z688">
        <v>0</v>
      </c>
      <c r="AA688">
        <v>9</v>
      </c>
      <c r="AB688">
        <v>3</v>
      </c>
      <c r="AC688">
        <v>0</v>
      </c>
      <c r="AD688">
        <v>10</v>
      </c>
      <c r="AE688">
        <v>0</v>
      </c>
      <c r="AF688">
        <v>0</v>
      </c>
      <c r="AG688">
        <v>2</v>
      </c>
      <c r="AH688">
        <v>0</v>
      </c>
      <c r="AI688" t="s">
        <v>654</v>
      </c>
      <c r="AJ688">
        <v>41.969898000000001</v>
      </c>
      <c r="AK688" t="s">
        <v>342</v>
      </c>
      <c r="AL688">
        <v>-87.894379999999998</v>
      </c>
      <c r="AS688">
        <v>1</v>
      </c>
      <c r="AT688" t="s">
        <v>118</v>
      </c>
      <c r="AU688" t="b">
        <v>1</v>
      </c>
      <c r="AV688">
        <v>0</v>
      </c>
      <c r="AW688">
        <v>7.125</v>
      </c>
      <c r="AX688">
        <v>1</v>
      </c>
      <c r="AZ688">
        <v>7205</v>
      </c>
      <c r="BA688">
        <v>1</v>
      </c>
      <c r="BB688" t="str">
        <f t="shared" si="32"/>
        <v xml:space="preserve">KAP400  </v>
      </c>
      <c r="BC688">
        <v>1</v>
      </c>
      <c r="BE688">
        <v>0</v>
      </c>
      <c r="BF688">
        <v>0</v>
      </c>
      <c r="BG688">
        <v>0</v>
      </c>
      <c r="BI688">
        <v>1</v>
      </c>
      <c r="BJ688">
        <v>1</v>
      </c>
      <c r="BK688">
        <v>1</v>
      </c>
      <c r="BL688">
        <v>0</v>
      </c>
      <c r="BO688">
        <v>0</v>
      </c>
      <c r="BP688">
        <v>0</v>
      </c>
      <c r="BW688" t="str">
        <f>"19:15:02.539"</f>
        <v>19:15:02.539</v>
      </c>
      <c r="BX688" t="s">
        <v>119</v>
      </c>
      <c r="BY688" t="s">
        <v>120</v>
      </c>
      <c r="CJ688">
        <v>0</v>
      </c>
      <c r="CK688">
        <v>0</v>
      </c>
      <c r="CL688">
        <v>0</v>
      </c>
      <c r="CM688">
        <v>2</v>
      </c>
      <c r="CN688">
        <v>0</v>
      </c>
      <c r="CO688">
        <v>7</v>
      </c>
      <c r="CP688" t="s">
        <v>121</v>
      </c>
      <c r="CQ688">
        <v>579</v>
      </c>
      <c r="CR688">
        <v>0</v>
      </c>
      <c r="CW688">
        <v>1695790</v>
      </c>
      <c r="CY688">
        <v>0</v>
      </c>
      <c r="CZ688">
        <v>0</v>
      </c>
      <c r="DA688">
        <v>0</v>
      </c>
      <c r="DB688">
        <v>1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</row>
    <row r="689" spans="1:113" x14ac:dyDescent="0.3">
      <c r="A689" t="str">
        <f>"06/16/2022 19:15:03.815"</f>
        <v>06/16/2022 19:15:03.815</v>
      </c>
      <c r="C689" t="str">
        <f t="shared" si="33"/>
        <v>FFBF5BC0</v>
      </c>
      <c r="D689" t="s">
        <v>113</v>
      </c>
      <c r="E689">
        <v>8</v>
      </c>
      <c r="H689">
        <v>206</v>
      </c>
      <c r="I689" t="s">
        <v>114</v>
      </c>
      <c r="J689" t="s">
        <v>115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>"19:15:03.602"</f>
        <v>19:15:03.602</v>
      </c>
      <c r="T689" t="str">
        <f>"19:15:03.602"</f>
        <v>19:15:03.602</v>
      </c>
      <c r="U689" t="str">
        <f t="shared" si="31"/>
        <v>AB63B2</v>
      </c>
      <c r="V689">
        <v>0</v>
      </c>
      <c r="W689">
        <v>0</v>
      </c>
      <c r="X689">
        <v>6</v>
      </c>
      <c r="Z689">
        <v>0</v>
      </c>
      <c r="AA689">
        <v>9</v>
      </c>
      <c r="AB689">
        <v>3</v>
      </c>
      <c r="AC689">
        <v>0</v>
      </c>
      <c r="AD689">
        <v>10</v>
      </c>
      <c r="AE689">
        <v>0</v>
      </c>
      <c r="AF689">
        <v>0</v>
      </c>
      <c r="AG689">
        <v>2</v>
      </c>
      <c r="AH689">
        <v>0</v>
      </c>
      <c r="AI689" t="s">
        <v>653</v>
      </c>
      <c r="AJ689">
        <v>41.969918999999997</v>
      </c>
      <c r="AK689" t="s">
        <v>690</v>
      </c>
      <c r="AL689">
        <v>-87.894358999999994</v>
      </c>
      <c r="AS689">
        <v>1</v>
      </c>
      <c r="AT689" t="s">
        <v>118</v>
      </c>
      <c r="AU689" t="b">
        <v>1</v>
      </c>
      <c r="AV689">
        <v>0</v>
      </c>
      <c r="AW689">
        <v>7.625</v>
      </c>
      <c r="AX689">
        <v>1</v>
      </c>
      <c r="AZ689">
        <v>7205</v>
      </c>
      <c r="BA689">
        <v>1</v>
      </c>
      <c r="BB689" t="str">
        <f t="shared" si="32"/>
        <v xml:space="preserve">KAP400  </v>
      </c>
      <c r="BC689">
        <v>1</v>
      </c>
      <c r="BE689">
        <v>0</v>
      </c>
      <c r="BF689">
        <v>0</v>
      </c>
      <c r="BG689">
        <v>0</v>
      </c>
      <c r="BI689">
        <v>1</v>
      </c>
      <c r="BJ689">
        <v>1</v>
      </c>
      <c r="BK689">
        <v>1</v>
      </c>
      <c r="BL689">
        <v>0</v>
      </c>
      <c r="BO689">
        <v>0</v>
      </c>
      <c r="BP689">
        <v>0</v>
      </c>
      <c r="BW689" t="str">
        <f>"19:15:03.609"</f>
        <v>19:15:03.609</v>
      </c>
      <c r="BX689" t="s">
        <v>119</v>
      </c>
      <c r="BY689" t="s">
        <v>120</v>
      </c>
      <c r="CJ689">
        <v>0</v>
      </c>
      <c r="CK689">
        <v>0</v>
      </c>
      <c r="CL689">
        <v>0</v>
      </c>
      <c r="CM689">
        <v>2</v>
      </c>
      <c r="CN689">
        <v>0</v>
      </c>
      <c r="CO689">
        <v>7</v>
      </c>
      <c r="CP689" t="s">
        <v>121</v>
      </c>
      <c r="CQ689">
        <v>579</v>
      </c>
      <c r="CR689">
        <v>0</v>
      </c>
      <c r="CW689">
        <v>1697943</v>
      </c>
      <c r="CY689">
        <v>0</v>
      </c>
      <c r="CZ689">
        <v>0</v>
      </c>
      <c r="DA689">
        <v>0</v>
      </c>
      <c r="DB689">
        <v>1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</row>
    <row r="690" spans="1:113" x14ac:dyDescent="0.3">
      <c r="A690" t="str">
        <f>"06/16/2022 19:15:04.815"</f>
        <v>06/16/2022 19:15:04.815</v>
      </c>
      <c r="C690" t="str">
        <f t="shared" si="33"/>
        <v>FFBF5BC0</v>
      </c>
      <c r="D690" t="s">
        <v>113</v>
      </c>
      <c r="E690">
        <v>8</v>
      </c>
      <c r="H690">
        <v>206</v>
      </c>
      <c r="I690" t="s">
        <v>114</v>
      </c>
      <c r="J690" t="s">
        <v>115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>"19:15:04.625"</f>
        <v>19:15:04.625</v>
      </c>
      <c r="T690" t="str">
        <f>"19:15:04.625"</f>
        <v>19:15:04.625</v>
      </c>
      <c r="U690" t="str">
        <f t="shared" si="31"/>
        <v>AB63B2</v>
      </c>
      <c r="V690">
        <v>0</v>
      </c>
      <c r="W690">
        <v>0</v>
      </c>
      <c r="X690">
        <v>6</v>
      </c>
      <c r="Z690">
        <v>0</v>
      </c>
      <c r="AA690">
        <v>9</v>
      </c>
      <c r="AB690">
        <v>3</v>
      </c>
      <c r="AC690">
        <v>0</v>
      </c>
      <c r="AD690">
        <v>10</v>
      </c>
      <c r="AE690">
        <v>0</v>
      </c>
      <c r="AF690">
        <v>0</v>
      </c>
      <c r="AG690">
        <v>2</v>
      </c>
      <c r="AH690">
        <v>0</v>
      </c>
      <c r="AI690" t="s">
        <v>694</v>
      </c>
      <c r="AJ690">
        <v>41.969962000000002</v>
      </c>
      <c r="AK690" t="s">
        <v>690</v>
      </c>
      <c r="AL690">
        <v>-87.894358999999994</v>
      </c>
      <c r="AS690">
        <v>1</v>
      </c>
      <c r="AT690" t="s">
        <v>118</v>
      </c>
      <c r="AU690" t="b">
        <v>1</v>
      </c>
      <c r="AV690">
        <v>0</v>
      </c>
      <c r="AW690">
        <v>7.625</v>
      </c>
      <c r="AX690">
        <v>1</v>
      </c>
      <c r="AZ690">
        <v>7205</v>
      </c>
      <c r="BA690">
        <v>1</v>
      </c>
      <c r="BB690" t="str">
        <f t="shared" si="32"/>
        <v xml:space="preserve">KAP400  </v>
      </c>
      <c r="BC690">
        <v>1</v>
      </c>
      <c r="BE690">
        <v>0</v>
      </c>
      <c r="BF690">
        <v>0</v>
      </c>
      <c r="BG690">
        <v>0</v>
      </c>
      <c r="BI690">
        <v>1</v>
      </c>
      <c r="BJ690">
        <v>1</v>
      </c>
      <c r="BK690">
        <v>1</v>
      </c>
      <c r="BL690">
        <v>0</v>
      </c>
      <c r="BO690">
        <v>0</v>
      </c>
      <c r="BP690">
        <v>0</v>
      </c>
      <c r="BW690" t="str">
        <f>"19:15:04.632"</f>
        <v>19:15:04.632</v>
      </c>
      <c r="BX690" t="s">
        <v>119</v>
      </c>
      <c r="BY690" t="s">
        <v>120</v>
      </c>
      <c r="CJ690">
        <v>0</v>
      </c>
      <c r="CK690">
        <v>0</v>
      </c>
      <c r="CL690">
        <v>0</v>
      </c>
      <c r="CM690">
        <v>2</v>
      </c>
      <c r="CN690">
        <v>0</v>
      </c>
      <c r="CO690">
        <v>7</v>
      </c>
      <c r="CP690" t="s">
        <v>121</v>
      </c>
      <c r="CQ690">
        <v>579</v>
      </c>
      <c r="CR690">
        <v>0</v>
      </c>
      <c r="CW690">
        <v>1699999</v>
      </c>
      <c r="CY690">
        <v>0</v>
      </c>
      <c r="CZ690">
        <v>0</v>
      </c>
      <c r="DA690">
        <v>0</v>
      </c>
      <c r="DB690">
        <v>1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</row>
    <row r="691" spans="1:113" x14ac:dyDescent="0.3">
      <c r="A691" t="str">
        <f>"06/16/2022 19:15:05.987"</f>
        <v>06/16/2022 19:15:05.987</v>
      </c>
      <c r="C691" t="str">
        <f t="shared" si="33"/>
        <v>FFBF5BC0</v>
      </c>
      <c r="D691" t="s">
        <v>113</v>
      </c>
      <c r="E691">
        <v>8</v>
      </c>
      <c r="H691">
        <v>206</v>
      </c>
      <c r="I691" t="s">
        <v>114</v>
      </c>
      <c r="J691" t="s">
        <v>115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>"19:15:05.813"</f>
        <v>19:15:05.813</v>
      </c>
      <c r="T691" t="str">
        <f>"19:15:05.813"</f>
        <v>19:15:05.813</v>
      </c>
      <c r="U691" t="str">
        <f t="shared" si="31"/>
        <v>AB63B2</v>
      </c>
      <c r="V691">
        <v>0</v>
      </c>
      <c r="W691">
        <v>0</v>
      </c>
      <c r="X691">
        <v>6</v>
      </c>
      <c r="Z691">
        <v>0</v>
      </c>
      <c r="AA691">
        <v>9</v>
      </c>
      <c r="AB691">
        <v>3</v>
      </c>
      <c r="AC691">
        <v>0</v>
      </c>
      <c r="AD691">
        <v>10</v>
      </c>
      <c r="AE691">
        <v>0</v>
      </c>
      <c r="AF691">
        <v>0</v>
      </c>
      <c r="AG691">
        <v>2</v>
      </c>
      <c r="AH691">
        <v>0</v>
      </c>
      <c r="AI691" t="s">
        <v>648</v>
      </c>
      <c r="AJ691">
        <v>41.970005</v>
      </c>
      <c r="AK691" t="s">
        <v>690</v>
      </c>
      <c r="AL691">
        <v>-87.894358999999994</v>
      </c>
      <c r="AS691">
        <v>1</v>
      </c>
      <c r="AT691" t="s">
        <v>118</v>
      </c>
      <c r="AU691" t="b">
        <v>1</v>
      </c>
      <c r="AV691">
        <v>0</v>
      </c>
      <c r="AW691">
        <v>8.125</v>
      </c>
      <c r="AX691">
        <v>1</v>
      </c>
      <c r="AZ691">
        <v>7205</v>
      </c>
      <c r="BA691">
        <v>1</v>
      </c>
      <c r="BB691" t="str">
        <f t="shared" si="32"/>
        <v xml:space="preserve">KAP400  </v>
      </c>
      <c r="BC691">
        <v>1</v>
      </c>
      <c r="BE691">
        <v>0</v>
      </c>
      <c r="BF691">
        <v>0</v>
      </c>
      <c r="BG691">
        <v>0</v>
      </c>
      <c r="BI691">
        <v>1</v>
      </c>
      <c r="BJ691">
        <v>1</v>
      </c>
      <c r="BK691">
        <v>1</v>
      </c>
      <c r="BL691">
        <v>0</v>
      </c>
      <c r="BO691">
        <v>0</v>
      </c>
      <c r="BP691">
        <v>0</v>
      </c>
      <c r="BW691" t="str">
        <f>"19:15:05.814"</f>
        <v>19:15:05.814</v>
      </c>
      <c r="BX691" t="s">
        <v>119</v>
      </c>
      <c r="BY691" t="s">
        <v>120</v>
      </c>
      <c r="CJ691">
        <v>0</v>
      </c>
      <c r="CK691">
        <v>0</v>
      </c>
      <c r="CL691">
        <v>0</v>
      </c>
      <c r="CM691">
        <v>2</v>
      </c>
      <c r="CN691">
        <v>0</v>
      </c>
      <c r="CO691">
        <v>7</v>
      </c>
      <c r="CP691" t="s">
        <v>121</v>
      </c>
      <c r="CQ691">
        <v>580</v>
      </c>
      <c r="CR691">
        <v>0</v>
      </c>
      <c r="CW691">
        <v>587459</v>
      </c>
      <c r="CY691">
        <v>0</v>
      </c>
      <c r="CZ691">
        <v>0</v>
      </c>
      <c r="DA691">
        <v>0</v>
      </c>
      <c r="DB691">
        <v>1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</row>
    <row r="692" spans="1:113" x14ac:dyDescent="0.3">
      <c r="A692" t="str">
        <f>"06/16/2022 19:15:07.018"</f>
        <v>06/16/2022 19:15:07.018</v>
      </c>
      <c r="C692" t="str">
        <f t="shared" si="33"/>
        <v>FFBF5BC0</v>
      </c>
      <c r="D692" t="s">
        <v>113</v>
      </c>
      <c r="E692">
        <v>8</v>
      </c>
      <c r="H692">
        <v>206</v>
      </c>
      <c r="I692" t="s">
        <v>114</v>
      </c>
      <c r="J692" t="s">
        <v>115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>"19:15:06.820"</f>
        <v>19:15:06.820</v>
      </c>
      <c r="T692" t="str">
        <f>"19:15:06.820"</f>
        <v>19:15:06.820</v>
      </c>
      <c r="U692" t="str">
        <f t="shared" si="31"/>
        <v>AB63B2</v>
      </c>
      <c r="V692">
        <v>0</v>
      </c>
      <c r="W692">
        <v>0</v>
      </c>
      <c r="X692">
        <v>6</v>
      </c>
      <c r="Z692">
        <v>0</v>
      </c>
      <c r="AA692">
        <v>9</v>
      </c>
      <c r="AB692">
        <v>3</v>
      </c>
      <c r="AC692">
        <v>0</v>
      </c>
      <c r="AD692">
        <v>10</v>
      </c>
      <c r="AE692">
        <v>0</v>
      </c>
      <c r="AF692">
        <v>0</v>
      </c>
      <c r="AG692">
        <v>2</v>
      </c>
      <c r="AH692">
        <v>0</v>
      </c>
      <c r="AI692" t="s">
        <v>646</v>
      </c>
      <c r="AJ692">
        <v>41.970025999999997</v>
      </c>
      <c r="AK692" t="s">
        <v>690</v>
      </c>
      <c r="AL692">
        <v>-87.894358999999994</v>
      </c>
      <c r="AS692">
        <v>1</v>
      </c>
      <c r="AT692" t="s">
        <v>118</v>
      </c>
      <c r="AU692" t="b">
        <v>1</v>
      </c>
      <c r="AV692">
        <v>0</v>
      </c>
      <c r="AW692">
        <v>8.125</v>
      </c>
      <c r="AX692">
        <v>1</v>
      </c>
      <c r="AZ692">
        <v>7205</v>
      </c>
      <c r="BA692">
        <v>1</v>
      </c>
      <c r="BB692" t="str">
        <f t="shared" si="32"/>
        <v xml:space="preserve">KAP400  </v>
      </c>
      <c r="BC692">
        <v>1</v>
      </c>
      <c r="BE692">
        <v>0</v>
      </c>
      <c r="BF692">
        <v>0</v>
      </c>
      <c r="BG692">
        <v>0</v>
      </c>
      <c r="BI692">
        <v>1</v>
      </c>
      <c r="BJ692">
        <v>1</v>
      </c>
      <c r="BK692">
        <v>1</v>
      </c>
      <c r="BL692">
        <v>0</v>
      </c>
      <c r="BO692">
        <v>0</v>
      </c>
      <c r="BP692">
        <v>0</v>
      </c>
      <c r="BW692" t="str">
        <f>"19:15:06.824"</f>
        <v>19:15:06.824</v>
      </c>
      <c r="BX692" t="s">
        <v>119</v>
      </c>
      <c r="BY692" t="s">
        <v>120</v>
      </c>
      <c r="CJ692">
        <v>0</v>
      </c>
      <c r="CK692">
        <v>0</v>
      </c>
      <c r="CL692">
        <v>0</v>
      </c>
      <c r="CM692">
        <v>2</v>
      </c>
      <c r="CN692">
        <v>0</v>
      </c>
      <c r="CO692">
        <v>7</v>
      </c>
      <c r="CP692" t="s">
        <v>121</v>
      </c>
      <c r="CQ692">
        <v>579</v>
      </c>
      <c r="CR692">
        <v>0</v>
      </c>
      <c r="CW692">
        <v>1704126</v>
      </c>
      <c r="CY692">
        <v>0</v>
      </c>
      <c r="CZ692">
        <v>0</v>
      </c>
      <c r="DA692">
        <v>0</v>
      </c>
      <c r="DB692">
        <v>1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</row>
    <row r="693" spans="1:113" x14ac:dyDescent="0.3">
      <c r="A693" t="str">
        <f>"06/16/2022 19:15:08.205"</f>
        <v>06/16/2022 19:15:08.205</v>
      </c>
      <c r="C693" t="str">
        <f t="shared" si="33"/>
        <v>FFBF5BC0</v>
      </c>
      <c r="D693" t="s">
        <v>113</v>
      </c>
      <c r="E693">
        <v>8</v>
      </c>
      <c r="H693">
        <v>206</v>
      </c>
      <c r="I693" t="s">
        <v>114</v>
      </c>
      <c r="J693" t="s">
        <v>115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>"19:15:07.961"</f>
        <v>19:15:07.961</v>
      </c>
      <c r="T693" t="str">
        <f>"19:15:07.961"</f>
        <v>19:15:07.961</v>
      </c>
      <c r="U693" t="str">
        <f t="shared" si="31"/>
        <v>AB63B2</v>
      </c>
      <c r="V693">
        <v>0</v>
      </c>
      <c r="W693">
        <v>0</v>
      </c>
      <c r="X693">
        <v>6</v>
      </c>
      <c r="Z693">
        <v>0</v>
      </c>
      <c r="AA693">
        <v>9</v>
      </c>
      <c r="AB693">
        <v>3</v>
      </c>
      <c r="AC693">
        <v>0</v>
      </c>
      <c r="AD693">
        <v>10</v>
      </c>
      <c r="AE693">
        <v>0</v>
      </c>
      <c r="AF693">
        <v>0</v>
      </c>
      <c r="AG693">
        <v>2</v>
      </c>
      <c r="AH693">
        <v>0</v>
      </c>
      <c r="AI693" t="s">
        <v>641</v>
      </c>
      <c r="AJ693">
        <v>41.970069000000002</v>
      </c>
      <c r="AK693" t="s">
        <v>342</v>
      </c>
      <c r="AL693">
        <v>-87.894379999999998</v>
      </c>
      <c r="AS693">
        <v>1</v>
      </c>
      <c r="AT693" t="s">
        <v>118</v>
      </c>
      <c r="AU693" t="b">
        <v>1</v>
      </c>
      <c r="AV693">
        <v>0</v>
      </c>
      <c r="AW693">
        <v>8.625</v>
      </c>
      <c r="AX693">
        <v>1</v>
      </c>
      <c r="AZ693">
        <v>7205</v>
      </c>
      <c r="BA693">
        <v>1</v>
      </c>
      <c r="BB693" t="str">
        <f t="shared" si="32"/>
        <v xml:space="preserve">KAP400  </v>
      </c>
      <c r="BC693">
        <v>1</v>
      </c>
      <c r="BE693">
        <v>0</v>
      </c>
      <c r="BF693">
        <v>0</v>
      </c>
      <c r="BG693">
        <v>0</v>
      </c>
      <c r="BI693">
        <v>1</v>
      </c>
      <c r="BJ693">
        <v>1</v>
      </c>
      <c r="BK693">
        <v>1</v>
      </c>
      <c r="BL693">
        <v>0</v>
      </c>
      <c r="BO693">
        <v>0</v>
      </c>
      <c r="BP693">
        <v>0</v>
      </c>
      <c r="BW693" t="str">
        <f>"19:15:07.964"</f>
        <v>19:15:07.964</v>
      </c>
      <c r="BX693" t="s">
        <v>119</v>
      </c>
      <c r="BY693" t="s">
        <v>120</v>
      </c>
      <c r="CJ693">
        <v>0</v>
      </c>
      <c r="CK693">
        <v>0</v>
      </c>
      <c r="CL693">
        <v>0</v>
      </c>
      <c r="CM693">
        <v>2</v>
      </c>
      <c r="CN693">
        <v>0</v>
      </c>
      <c r="CO693">
        <v>7</v>
      </c>
      <c r="CP693" t="s">
        <v>121</v>
      </c>
      <c r="CQ693">
        <v>580</v>
      </c>
      <c r="CR693">
        <v>0</v>
      </c>
      <c r="CW693">
        <v>591500</v>
      </c>
      <c r="CY693">
        <v>0</v>
      </c>
      <c r="CZ693">
        <v>0</v>
      </c>
      <c r="DA693">
        <v>0</v>
      </c>
      <c r="DB693">
        <v>1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</row>
    <row r="694" spans="1:113" x14ac:dyDescent="0.3">
      <c r="A694" t="str">
        <f>"06/16/2022 19:15:09.362"</f>
        <v>06/16/2022 19:15:09.362</v>
      </c>
      <c r="C694" t="str">
        <f t="shared" si="33"/>
        <v>FFBF5BC0</v>
      </c>
      <c r="D694" t="s">
        <v>113</v>
      </c>
      <c r="E694">
        <v>8</v>
      </c>
      <c r="H694">
        <v>206</v>
      </c>
      <c r="I694" t="s">
        <v>114</v>
      </c>
      <c r="J694" t="s">
        <v>115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>"19:15:09.094"</f>
        <v>19:15:09.094</v>
      </c>
      <c r="T694" t="str">
        <f>"19:15:09.094"</f>
        <v>19:15:09.094</v>
      </c>
      <c r="U694" t="str">
        <f t="shared" si="31"/>
        <v>AB63B2</v>
      </c>
      <c r="V694">
        <v>0</v>
      </c>
      <c r="W694">
        <v>0</v>
      </c>
      <c r="X694">
        <v>6</v>
      </c>
      <c r="Z694">
        <v>0</v>
      </c>
      <c r="AA694">
        <v>9</v>
      </c>
      <c r="AB694">
        <v>3</v>
      </c>
      <c r="AC694">
        <v>0</v>
      </c>
      <c r="AD694">
        <v>10</v>
      </c>
      <c r="AE694">
        <v>0</v>
      </c>
      <c r="AF694">
        <v>0</v>
      </c>
      <c r="AG694">
        <v>2</v>
      </c>
      <c r="AH694">
        <v>0</v>
      </c>
      <c r="AI694" t="s">
        <v>637</v>
      </c>
      <c r="AJ694">
        <v>41.970112</v>
      </c>
      <c r="AK694" t="s">
        <v>342</v>
      </c>
      <c r="AL694">
        <v>-87.894379999999998</v>
      </c>
      <c r="AS694">
        <v>1</v>
      </c>
      <c r="AT694" t="s">
        <v>118</v>
      </c>
      <c r="AU694" t="b">
        <v>1</v>
      </c>
      <c r="AV694">
        <v>0</v>
      </c>
      <c r="AW694">
        <v>8.625</v>
      </c>
      <c r="AX694">
        <v>1</v>
      </c>
      <c r="AZ694">
        <v>7205</v>
      </c>
      <c r="BA694">
        <v>1</v>
      </c>
      <c r="BB694" t="str">
        <f t="shared" si="32"/>
        <v xml:space="preserve">KAP400  </v>
      </c>
      <c r="BC694">
        <v>1</v>
      </c>
      <c r="BE694">
        <v>0</v>
      </c>
      <c r="BF694">
        <v>0</v>
      </c>
      <c r="BG694">
        <v>0</v>
      </c>
      <c r="BI694">
        <v>1</v>
      </c>
      <c r="BJ694">
        <v>1</v>
      </c>
      <c r="BK694">
        <v>1</v>
      </c>
      <c r="BL694">
        <v>0</v>
      </c>
      <c r="BO694">
        <v>0</v>
      </c>
      <c r="BP694">
        <v>0</v>
      </c>
      <c r="BW694" t="str">
        <f>"19:15:09.100"</f>
        <v>19:15:09.100</v>
      </c>
      <c r="BX694" t="s">
        <v>119</v>
      </c>
      <c r="BY694" t="s">
        <v>120</v>
      </c>
      <c r="CJ694">
        <v>0</v>
      </c>
      <c r="CK694">
        <v>0</v>
      </c>
      <c r="CL694">
        <v>0</v>
      </c>
      <c r="CM694">
        <v>2</v>
      </c>
      <c r="CN694">
        <v>0</v>
      </c>
      <c r="CO694">
        <v>7</v>
      </c>
      <c r="CP694" t="s">
        <v>121</v>
      </c>
      <c r="CQ694">
        <v>580</v>
      </c>
      <c r="CR694">
        <v>0</v>
      </c>
      <c r="CW694">
        <v>593668</v>
      </c>
      <c r="CY694">
        <v>0</v>
      </c>
      <c r="CZ694">
        <v>0</v>
      </c>
      <c r="DA694">
        <v>0</v>
      </c>
      <c r="DB694">
        <v>1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</row>
    <row r="695" spans="1:113" x14ac:dyDescent="0.3">
      <c r="A695" t="str">
        <f>"06/16/2022 19:15:10.206"</f>
        <v>06/16/2022 19:15:10.206</v>
      </c>
      <c r="C695" t="str">
        <f t="shared" si="33"/>
        <v>FFBF5BC0</v>
      </c>
      <c r="D695" t="s">
        <v>113</v>
      </c>
      <c r="E695">
        <v>8</v>
      </c>
      <c r="H695">
        <v>206</v>
      </c>
      <c r="I695" t="s">
        <v>114</v>
      </c>
      <c r="J695" t="s">
        <v>115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>"19:15:09.984"</f>
        <v>19:15:09.984</v>
      </c>
      <c r="T695" t="str">
        <f>"19:15:09.984"</f>
        <v>19:15:09.984</v>
      </c>
      <c r="U695" t="str">
        <f t="shared" si="31"/>
        <v>AB63B2</v>
      </c>
      <c r="V695">
        <v>0</v>
      </c>
      <c r="W695">
        <v>0</v>
      </c>
      <c r="X695">
        <v>6</v>
      </c>
      <c r="Z695">
        <v>0</v>
      </c>
      <c r="AA695">
        <v>9</v>
      </c>
      <c r="AB695">
        <v>3</v>
      </c>
      <c r="AC695">
        <v>0</v>
      </c>
      <c r="AD695">
        <v>10</v>
      </c>
      <c r="AE695">
        <v>0</v>
      </c>
      <c r="AF695">
        <v>0</v>
      </c>
      <c r="AG695">
        <v>2</v>
      </c>
      <c r="AH695">
        <v>0</v>
      </c>
      <c r="AI695" t="s">
        <v>695</v>
      </c>
      <c r="AJ695">
        <v>41.970154999999998</v>
      </c>
      <c r="AK695" t="s">
        <v>690</v>
      </c>
      <c r="AL695">
        <v>-87.894358999999994</v>
      </c>
      <c r="AS695">
        <v>1</v>
      </c>
      <c r="AT695" t="s">
        <v>118</v>
      </c>
      <c r="AU695" t="b">
        <v>1</v>
      </c>
      <c r="AV695">
        <v>0</v>
      </c>
      <c r="AW695">
        <v>8.125</v>
      </c>
      <c r="AX695">
        <v>1</v>
      </c>
      <c r="AZ695">
        <v>7205</v>
      </c>
      <c r="BA695">
        <v>1</v>
      </c>
      <c r="BB695" t="str">
        <f t="shared" si="32"/>
        <v xml:space="preserve">KAP400  </v>
      </c>
      <c r="BC695">
        <v>1</v>
      </c>
      <c r="BE695">
        <v>0</v>
      </c>
      <c r="BF695">
        <v>0</v>
      </c>
      <c r="BG695">
        <v>0</v>
      </c>
      <c r="BI695">
        <v>1</v>
      </c>
      <c r="BJ695">
        <v>1</v>
      </c>
      <c r="BK695">
        <v>1</v>
      </c>
      <c r="BL695">
        <v>0</v>
      </c>
      <c r="BO695">
        <v>0</v>
      </c>
      <c r="BP695">
        <v>0</v>
      </c>
      <c r="BW695" t="str">
        <f>"19:15:09.986"</f>
        <v>19:15:09.986</v>
      </c>
      <c r="BX695" t="s">
        <v>119</v>
      </c>
      <c r="BY695" t="s">
        <v>120</v>
      </c>
      <c r="CJ695">
        <v>0</v>
      </c>
      <c r="CK695">
        <v>0</v>
      </c>
      <c r="CL695">
        <v>0</v>
      </c>
      <c r="CM695">
        <v>2</v>
      </c>
      <c r="CN695">
        <v>0</v>
      </c>
      <c r="CO695">
        <v>7</v>
      </c>
      <c r="CP695" t="s">
        <v>121</v>
      </c>
      <c r="CQ695">
        <v>580</v>
      </c>
      <c r="CR695">
        <v>0</v>
      </c>
      <c r="CW695">
        <v>595221</v>
      </c>
      <c r="CY695">
        <v>0</v>
      </c>
      <c r="CZ695">
        <v>0</v>
      </c>
      <c r="DA695">
        <v>0</v>
      </c>
      <c r="DB695">
        <v>1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</row>
    <row r="696" spans="1:113" x14ac:dyDescent="0.3">
      <c r="A696" t="str">
        <f>"06/16/2022 19:15:11.237"</f>
        <v>06/16/2022 19:15:11.237</v>
      </c>
      <c r="C696" t="str">
        <f t="shared" si="33"/>
        <v>FFBF5BC0</v>
      </c>
      <c r="D696" t="s">
        <v>113</v>
      </c>
      <c r="E696">
        <v>8</v>
      </c>
      <c r="H696">
        <v>206</v>
      </c>
      <c r="I696" t="s">
        <v>114</v>
      </c>
      <c r="J696" t="s">
        <v>115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>"19:15:10.961"</f>
        <v>19:15:10.961</v>
      </c>
      <c r="T696" t="str">
        <f>"19:15:10.961"</f>
        <v>19:15:10.961</v>
      </c>
      <c r="U696" t="str">
        <f t="shared" si="31"/>
        <v>AB63B2</v>
      </c>
      <c r="V696">
        <v>0</v>
      </c>
      <c r="W696">
        <v>0</v>
      </c>
      <c r="X696">
        <v>6</v>
      </c>
      <c r="Z696">
        <v>0</v>
      </c>
      <c r="AA696">
        <v>9</v>
      </c>
      <c r="AB696">
        <v>3</v>
      </c>
      <c r="AC696">
        <v>0</v>
      </c>
      <c r="AD696">
        <v>10</v>
      </c>
      <c r="AE696">
        <v>0</v>
      </c>
      <c r="AF696">
        <v>0</v>
      </c>
      <c r="AG696">
        <v>2</v>
      </c>
      <c r="AH696">
        <v>0</v>
      </c>
      <c r="AI696" t="s">
        <v>630</v>
      </c>
      <c r="AJ696">
        <v>41.970198000000003</v>
      </c>
      <c r="AK696" t="s">
        <v>342</v>
      </c>
      <c r="AL696">
        <v>-87.894379999999998</v>
      </c>
      <c r="AS696">
        <v>1</v>
      </c>
      <c r="AT696" t="s">
        <v>118</v>
      </c>
      <c r="AU696" t="b">
        <v>1</v>
      </c>
      <c r="AV696">
        <v>357.19</v>
      </c>
      <c r="AW696">
        <v>8.125</v>
      </c>
      <c r="AX696">
        <v>1</v>
      </c>
      <c r="AZ696">
        <v>7205</v>
      </c>
      <c r="BA696">
        <v>1</v>
      </c>
      <c r="BB696" t="str">
        <f t="shared" si="32"/>
        <v xml:space="preserve">KAP400  </v>
      </c>
      <c r="BC696">
        <v>1</v>
      </c>
      <c r="BE696">
        <v>0</v>
      </c>
      <c r="BF696">
        <v>0</v>
      </c>
      <c r="BG696">
        <v>0</v>
      </c>
      <c r="BI696">
        <v>1</v>
      </c>
      <c r="BJ696">
        <v>1</v>
      </c>
      <c r="BK696">
        <v>1</v>
      </c>
      <c r="BL696">
        <v>0</v>
      </c>
      <c r="BO696">
        <v>0</v>
      </c>
      <c r="BP696">
        <v>0</v>
      </c>
      <c r="BW696" t="str">
        <f>"19:15:10.964"</f>
        <v>19:15:10.964</v>
      </c>
      <c r="BX696" t="s">
        <v>119</v>
      </c>
      <c r="BY696" t="s">
        <v>120</v>
      </c>
      <c r="CJ696">
        <v>0</v>
      </c>
      <c r="CK696">
        <v>0</v>
      </c>
      <c r="CL696">
        <v>0</v>
      </c>
      <c r="CM696">
        <v>2</v>
      </c>
      <c r="CN696">
        <v>0</v>
      </c>
      <c r="CO696">
        <v>7</v>
      </c>
      <c r="CP696" t="s">
        <v>121</v>
      </c>
      <c r="CQ696">
        <v>580</v>
      </c>
      <c r="CR696">
        <v>0</v>
      </c>
      <c r="CW696">
        <v>596942</v>
      </c>
      <c r="CY696">
        <v>0</v>
      </c>
      <c r="CZ696">
        <v>0</v>
      </c>
      <c r="DA696">
        <v>0</v>
      </c>
      <c r="DB696">
        <v>1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</row>
    <row r="697" spans="1:113" x14ac:dyDescent="0.3">
      <c r="A697" t="str">
        <f>"06/16/2022 19:15:12.096"</f>
        <v>06/16/2022 19:15:12.096</v>
      </c>
      <c r="C697" t="str">
        <f t="shared" si="33"/>
        <v>FFBF5BC0</v>
      </c>
      <c r="D697" t="s">
        <v>113</v>
      </c>
      <c r="E697">
        <v>8</v>
      </c>
      <c r="H697">
        <v>206</v>
      </c>
      <c r="I697" t="s">
        <v>114</v>
      </c>
      <c r="J697" t="s">
        <v>115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>"19:15:11.844"</f>
        <v>19:15:11.844</v>
      </c>
      <c r="T697" t="str">
        <f>"19:15:11.844"</f>
        <v>19:15:11.844</v>
      </c>
      <c r="U697" t="str">
        <f t="shared" si="31"/>
        <v>AB63B2</v>
      </c>
      <c r="V697">
        <v>0</v>
      </c>
      <c r="W697">
        <v>0</v>
      </c>
      <c r="X697">
        <v>6</v>
      </c>
      <c r="Z697">
        <v>0</v>
      </c>
      <c r="AA697">
        <v>9</v>
      </c>
      <c r="AB697">
        <v>3</v>
      </c>
      <c r="AC697">
        <v>0</v>
      </c>
      <c r="AD697">
        <v>10</v>
      </c>
      <c r="AE697">
        <v>0</v>
      </c>
      <c r="AF697">
        <v>0</v>
      </c>
      <c r="AG697">
        <v>2</v>
      </c>
      <c r="AH697">
        <v>0</v>
      </c>
      <c r="AI697" t="s">
        <v>627</v>
      </c>
      <c r="AJ697">
        <v>41.970219999999998</v>
      </c>
      <c r="AK697" t="s">
        <v>690</v>
      </c>
      <c r="AL697">
        <v>-87.894358999999994</v>
      </c>
      <c r="AS697">
        <v>1</v>
      </c>
      <c r="AT697" t="s">
        <v>118</v>
      </c>
      <c r="AU697" t="b">
        <v>1</v>
      </c>
      <c r="AV697">
        <v>0</v>
      </c>
      <c r="AW697">
        <v>7.625</v>
      </c>
      <c r="AX697">
        <v>1</v>
      </c>
      <c r="AZ697">
        <v>7205</v>
      </c>
      <c r="BA697">
        <v>1</v>
      </c>
      <c r="BB697" t="str">
        <f t="shared" si="32"/>
        <v xml:space="preserve">KAP400  </v>
      </c>
      <c r="BC697">
        <v>1</v>
      </c>
      <c r="BE697">
        <v>0</v>
      </c>
      <c r="BF697">
        <v>0</v>
      </c>
      <c r="BG697">
        <v>0</v>
      </c>
      <c r="BI697">
        <v>1</v>
      </c>
      <c r="BJ697">
        <v>1</v>
      </c>
      <c r="BK697">
        <v>1</v>
      </c>
      <c r="BL697">
        <v>0</v>
      </c>
      <c r="BO697">
        <v>0</v>
      </c>
      <c r="BP697">
        <v>0</v>
      </c>
      <c r="BW697" t="str">
        <f>"19:15:11.844"</f>
        <v>19:15:11.844</v>
      </c>
      <c r="BX697" t="s">
        <v>119</v>
      </c>
      <c r="BY697" t="s">
        <v>120</v>
      </c>
      <c r="CJ697">
        <v>0</v>
      </c>
      <c r="CK697">
        <v>0</v>
      </c>
      <c r="CL697">
        <v>0</v>
      </c>
      <c r="CM697">
        <v>2</v>
      </c>
      <c r="CN697">
        <v>0</v>
      </c>
      <c r="CO697">
        <v>7</v>
      </c>
      <c r="CP697" t="s">
        <v>121</v>
      </c>
      <c r="CQ697">
        <v>580</v>
      </c>
      <c r="CR697">
        <v>0</v>
      </c>
      <c r="CW697">
        <v>598463</v>
      </c>
      <c r="CY697">
        <v>0</v>
      </c>
      <c r="CZ697">
        <v>0</v>
      </c>
      <c r="DA697">
        <v>0</v>
      </c>
      <c r="DB697">
        <v>1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</row>
    <row r="698" spans="1:113" x14ac:dyDescent="0.3">
      <c r="A698" t="str">
        <f>"06/16/2022 19:15:13.187"</f>
        <v>06/16/2022 19:15:13.187</v>
      </c>
      <c r="C698" t="str">
        <f t="shared" si="33"/>
        <v>FFBF5BC0</v>
      </c>
      <c r="D698" t="s">
        <v>113</v>
      </c>
      <c r="E698">
        <v>8</v>
      </c>
      <c r="H698">
        <v>206</v>
      </c>
      <c r="I698" t="s">
        <v>114</v>
      </c>
      <c r="J698" t="s">
        <v>115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>"19:15:12.859"</f>
        <v>19:15:12.859</v>
      </c>
      <c r="T698" t="str">
        <f>"19:15:12.859"</f>
        <v>19:15:12.859</v>
      </c>
      <c r="U698" t="str">
        <f t="shared" si="31"/>
        <v>AB63B2</v>
      </c>
      <c r="V698">
        <v>0</v>
      </c>
      <c r="W698">
        <v>0</v>
      </c>
      <c r="X698">
        <v>6</v>
      </c>
      <c r="Z698">
        <v>0</v>
      </c>
      <c r="AA698">
        <v>9</v>
      </c>
      <c r="AB698">
        <v>3</v>
      </c>
      <c r="AC698">
        <v>0</v>
      </c>
      <c r="AD698">
        <v>10</v>
      </c>
      <c r="AE698">
        <v>0</v>
      </c>
      <c r="AF698">
        <v>0</v>
      </c>
      <c r="AG698">
        <v>2</v>
      </c>
      <c r="AH698">
        <v>0</v>
      </c>
      <c r="AI698" t="s">
        <v>625</v>
      </c>
      <c r="AJ698">
        <v>41.970263000000003</v>
      </c>
      <c r="AK698" t="s">
        <v>690</v>
      </c>
      <c r="AL698">
        <v>-87.894358999999994</v>
      </c>
      <c r="AS698">
        <v>1</v>
      </c>
      <c r="AT698" t="s">
        <v>118</v>
      </c>
      <c r="AU698" t="b">
        <v>1</v>
      </c>
      <c r="AV698">
        <v>0</v>
      </c>
      <c r="AW698">
        <v>7.625</v>
      </c>
      <c r="AX698">
        <v>1</v>
      </c>
      <c r="AZ698">
        <v>7205</v>
      </c>
      <c r="BA698">
        <v>1</v>
      </c>
      <c r="BB698" t="str">
        <f t="shared" si="32"/>
        <v xml:space="preserve">KAP400  </v>
      </c>
      <c r="BC698">
        <v>1</v>
      </c>
      <c r="BE698">
        <v>0</v>
      </c>
      <c r="BF698">
        <v>0</v>
      </c>
      <c r="BG698">
        <v>0</v>
      </c>
      <c r="BI698">
        <v>1</v>
      </c>
      <c r="BJ698">
        <v>1</v>
      </c>
      <c r="BK698">
        <v>1</v>
      </c>
      <c r="BL698">
        <v>0</v>
      </c>
      <c r="BO698">
        <v>0</v>
      </c>
      <c r="BP698">
        <v>0</v>
      </c>
      <c r="BW698" t="str">
        <f>"19:15:12.865"</f>
        <v>19:15:12.865</v>
      </c>
      <c r="BX698" t="s">
        <v>119</v>
      </c>
      <c r="BY698" t="s">
        <v>120</v>
      </c>
      <c r="CJ698">
        <v>0</v>
      </c>
      <c r="CK698">
        <v>0</v>
      </c>
      <c r="CL698">
        <v>0</v>
      </c>
      <c r="CM698">
        <v>2</v>
      </c>
      <c r="CN698">
        <v>0</v>
      </c>
      <c r="CO698">
        <v>7</v>
      </c>
      <c r="CP698" t="s">
        <v>121</v>
      </c>
      <c r="CQ698">
        <v>580</v>
      </c>
      <c r="CR698">
        <v>0</v>
      </c>
      <c r="CW698">
        <v>600403</v>
      </c>
      <c r="CY698">
        <v>0</v>
      </c>
      <c r="CZ698">
        <v>0</v>
      </c>
      <c r="DA698">
        <v>0</v>
      </c>
      <c r="DB698">
        <v>1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</row>
    <row r="699" spans="1:113" x14ac:dyDescent="0.3">
      <c r="A699" t="str">
        <f>"06/16/2022 19:15:14.625"</f>
        <v>06/16/2022 19:15:14.625</v>
      </c>
      <c r="C699" t="str">
        <f t="shared" si="33"/>
        <v>FFBF5BC0</v>
      </c>
      <c r="D699" t="s">
        <v>113</v>
      </c>
      <c r="E699">
        <v>8</v>
      </c>
      <c r="H699">
        <v>206</v>
      </c>
      <c r="I699" t="s">
        <v>114</v>
      </c>
      <c r="J699" t="s">
        <v>115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>"19:15:14.398"</f>
        <v>19:15:14.398</v>
      </c>
      <c r="T699" t="str">
        <f>"19:15:14.398"</f>
        <v>19:15:14.398</v>
      </c>
      <c r="U699" t="str">
        <f t="shared" si="31"/>
        <v>AB63B2</v>
      </c>
      <c r="V699">
        <v>0</v>
      </c>
      <c r="W699">
        <v>0</v>
      </c>
      <c r="X699">
        <v>6</v>
      </c>
      <c r="Z699">
        <v>0</v>
      </c>
      <c r="AA699">
        <v>9</v>
      </c>
      <c r="AB699">
        <v>3</v>
      </c>
      <c r="AC699">
        <v>0</v>
      </c>
      <c r="AD699">
        <v>10</v>
      </c>
      <c r="AE699">
        <v>0</v>
      </c>
      <c r="AF699">
        <v>0</v>
      </c>
      <c r="AG699">
        <v>2</v>
      </c>
      <c r="AH699">
        <v>0</v>
      </c>
      <c r="AI699" t="s">
        <v>622</v>
      </c>
      <c r="AJ699">
        <v>41.970305000000003</v>
      </c>
      <c r="AK699" t="s">
        <v>690</v>
      </c>
      <c r="AL699">
        <v>-87.894358999999994</v>
      </c>
      <c r="AS699">
        <v>1</v>
      </c>
      <c r="AT699" t="s">
        <v>118</v>
      </c>
      <c r="AU699" t="b">
        <v>1</v>
      </c>
      <c r="AV699">
        <v>0</v>
      </c>
      <c r="AW699">
        <v>7.125</v>
      </c>
      <c r="AX699">
        <v>1</v>
      </c>
      <c r="AZ699">
        <v>7205</v>
      </c>
      <c r="BA699">
        <v>1</v>
      </c>
      <c r="BB699" t="str">
        <f t="shared" si="32"/>
        <v xml:space="preserve">KAP400  </v>
      </c>
      <c r="BC699">
        <v>1</v>
      </c>
      <c r="BE699">
        <v>0</v>
      </c>
      <c r="BF699">
        <v>0</v>
      </c>
      <c r="BG699">
        <v>0</v>
      </c>
      <c r="BI699">
        <v>1</v>
      </c>
      <c r="BJ699">
        <v>1</v>
      </c>
      <c r="BK699">
        <v>1</v>
      </c>
      <c r="BL699">
        <v>0</v>
      </c>
      <c r="BO699">
        <v>0</v>
      </c>
      <c r="BP699">
        <v>0</v>
      </c>
      <c r="BW699" t="str">
        <f>"19:15:14.405"</f>
        <v>19:15:14.405</v>
      </c>
      <c r="BX699" t="s">
        <v>119</v>
      </c>
      <c r="BY699" t="s">
        <v>120</v>
      </c>
      <c r="CJ699">
        <v>0</v>
      </c>
      <c r="CK699">
        <v>0</v>
      </c>
      <c r="CL699">
        <v>0</v>
      </c>
      <c r="CM699">
        <v>2</v>
      </c>
      <c r="CN699">
        <v>0</v>
      </c>
      <c r="CO699">
        <v>7</v>
      </c>
      <c r="CP699" t="s">
        <v>121</v>
      </c>
      <c r="CQ699">
        <v>579</v>
      </c>
      <c r="CR699">
        <v>0</v>
      </c>
      <c r="CW699">
        <v>1719466</v>
      </c>
      <c r="CY699">
        <v>0</v>
      </c>
      <c r="CZ699">
        <v>0</v>
      </c>
      <c r="DA699">
        <v>0</v>
      </c>
      <c r="DB699">
        <v>1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</row>
    <row r="700" spans="1:113" x14ac:dyDescent="0.3">
      <c r="A700" t="str">
        <f>"06/16/2022 19:15:15.641"</f>
        <v>06/16/2022 19:15:15.641</v>
      </c>
      <c r="C700" t="str">
        <f t="shared" si="33"/>
        <v>FFBF5BC0</v>
      </c>
      <c r="D700" t="s">
        <v>113</v>
      </c>
      <c r="E700">
        <v>8</v>
      </c>
      <c r="H700">
        <v>206</v>
      </c>
      <c r="I700" t="s">
        <v>114</v>
      </c>
      <c r="J700" t="s">
        <v>115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>"19:15:15.383"</f>
        <v>19:15:15.383</v>
      </c>
      <c r="T700" t="str">
        <f>"19:15:15.383"</f>
        <v>19:15:15.383</v>
      </c>
      <c r="U700" t="str">
        <f t="shared" si="31"/>
        <v>AB63B2</v>
      </c>
      <c r="V700">
        <v>0</v>
      </c>
      <c r="W700">
        <v>0</v>
      </c>
      <c r="X700">
        <v>6</v>
      </c>
      <c r="Z700">
        <v>0</v>
      </c>
      <c r="AA700">
        <v>9</v>
      </c>
      <c r="AB700">
        <v>3</v>
      </c>
      <c r="AC700">
        <v>0</v>
      </c>
      <c r="AD700">
        <v>10</v>
      </c>
      <c r="AE700">
        <v>0</v>
      </c>
      <c r="AF700">
        <v>0</v>
      </c>
      <c r="AG700">
        <v>2</v>
      </c>
      <c r="AH700">
        <v>0</v>
      </c>
      <c r="AI700" t="s">
        <v>620</v>
      </c>
      <c r="AJ700">
        <v>41.970326999999997</v>
      </c>
      <c r="AK700" t="s">
        <v>690</v>
      </c>
      <c r="AL700">
        <v>-87.894358999999994</v>
      </c>
      <c r="AS700">
        <v>1</v>
      </c>
      <c r="AT700" t="s">
        <v>118</v>
      </c>
      <c r="AU700" t="b">
        <v>1</v>
      </c>
      <c r="AV700">
        <v>0</v>
      </c>
      <c r="AW700">
        <v>6.625</v>
      </c>
      <c r="AX700">
        <v>1</v>
      </c>
      <c r="AZ700">
        <v>7205</v>
      </c>
      <c r="BA700">
        <v>1</v>
      </c>
      <c r="BB700" t="str">
        <f t="shared" si="32"/>
        <v xml:space="preserve">KAP400  </v>
      </c>
      <c r="BC700">
        <v>1</v>
      </c>
      <c r="BE700">
        <v>0</v>
      </c>
      <c r="BF700">
        <v>0</v>
      </c>
      <c r="BG700">
        <v>0</v>
      </c>
      <c r="BI700">
        <v>1</v>
      </c>
      <c r="BJ700">
        <v>1</v>
      </c>
      <c r="BK700">
        <v>1</v>
      </c>
      <c r="BL700">
        <v>0</v>
      </c>
      <c r="BO700">
        <v>0</v>
      </c>
      <c r="BP700">
        <v>0</v>
      </c>
      <c r="BW700" t="str">
        <f>"19:15:15.388"</f>
        <v>19:15:15.388</v>
      </c>
      <c r="BX700" t="s">
        <v>119</v>
      </c>
      <c r="BY700" t="s">
        <v>120</v>
      </c>
      <c r="CJ700">
        <v>0</v>
      </c>
      <c r="CK700">
        <v>0</v>
      </c>
      <c r="CL700">
        <v>0</v>
      </c>
      <c r="CM700">
        <v>2</v>
      </c>
      <c r="CN700">
        <v>0</v>
      </c>
      <c r="CO700">
        <v>7</v>
      </c>
      <c r="CP700" t="s">
        <v>121</v>
      </c>
      <c r="CQ700">
        <v>580</v>
      </c>
      <c r="CR700">
        <v>0</v>
      </c>
      <c r="CW700">
        <v>604893</v>
      </c>
      <c r="CY700">
        <v>0</v>
      </c>
      <c r="CZ700">
        <v>0</v>
      </c>
      <c r="DA700">
        <v>0</v>
      </c>
      <c r="DB700">
        <v>1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</row>
    <row r="701" spans="1:113" x14ac:dyDescent="0.3">
      <c r="A701" t="str">
        <f>"06/16/2022 19:15:16.862"</f>
        <v>06/16/2022 19:15:16.862</v>
      </c>
      <c r="C701" t="str">
        <f t="shared" si="33"/>
        <v>FFBF5BC0</v>
      </c>
      <c r="D701" t="s">
        <v>113</v>
      </c>
      <c r="E701">
        <v>8</v>
      </c>
      <c r="H701">
        <v>206</v>
      </c>
      <c r="I701" t="s">
        <v>114</v>
      </c>
      <c r="J701" t="s">
        <v>115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>"19:15:16.516"</f>
        <v>19:15:16.516</v>
      </c>
      <c r="T701" t="str">
        <f>"19:15:16.516"</f>
        <v>19:15:16.516</v>
      </c>
      <c r="U701" t="str">
        <f t="shared" si="31"/>
        <v>AB63B2</v>
      </c>
      <c r="V701">
        <v>0</v>
      </c>
      <c r="W701">
        <v>0</v>
      </c>
      <c r="X701">
        <v>6</v>
      </c>
      <c r="Z701">
        <v>0</v>
      </c>
      <c r="AA701">
        <v>9</v>
      </c>
      <c r="AB701">
        <v>3</v>
      </c>
      <c r="AC701">
        <v>0</v>
      </c>
      <c r="AD701">
        <v>10</v>
      </c>
      <c r="AE701">
        <v>0</v>
      </c>
      <c r="AF701">
        <v>0</v>
      </c>
      <c r="AG701">
        <v>2</v>
      </c>
      <c r="AH701">
        <v>0</v>
      </c>
      <c r="AI701" t="s">
        <v>616</v>
      </c>
      <c r="AJ701">
        <v>41.970370000000003</v>
      </c>
      <c r="AK701" t="s">
        <v>342</v>
      </c>
      <c r="AL701">
        <v>-87.894379999999998</v>
      </c>
      <c r="AS701">
        <v>1</v>
      </c>
      <c r="AT701" t="s">
        <v>118</v>
      </c>
      <c r="AU701" t="b">
        <v>1</v>
      </c>
      <c r="AV701">
        <v>0</v>
      </c>
      <c r="AW701">
        <v>6.125</v>
      </c>
      <c r="AX701">
        <v>1</v>
      </c>
      <c r="AZ701">
        <v>7205</v>
      </c>
      <c r="BA701">
        <v>1</v>
      </c>
      <c r="BB701" t="str">
        <f t="shared" si="32"/>
        <v xml:space="preserve">KAP400  </v>
      </c>
      <c r="BC701">
        <v>1</v>
      </c>
      <c r="BE701">
        <v>0</v>
      </c>
      <c r="BF701">
        <v>0</v>
      </c>
      <c r="BG701">
        <v>0</v>
      </c>
      <c r="BI701">
        <v>1</v>
      </c>
      <c r="BJ701">
        <v>1</v>
      </c>
      <c r="BK701">
        <v>1</v>
      </c>
      <c r="BL701">
        <v>0</v>
      </c>
      <c r="BO701">
        <v>0</v>
      </c>
      <c r="BP701">
        <v>0</v>
      </c>
      <c r="BW701" t="str">
        <f>"19:15:16.517"</f>
        <v>19:15:16.517</v>
      </c>
      <c r="BX701" t="s">
        <v>119</v>
      </c>
      <c r="BY701" t="s">
        <v>120</v>
      </c>
      <c r="CJ701">
        <v>0</v>
      </c>
      <c r="CK701">
        <v>0</v>
      </c>
      <c r="CL701">
        <v>0</v>
      </c>
      <c r="CM701">
        <v>2</v>
      </c>
      <c r="CN701">
        <v>0</v>
      </c>
      <c r="CO701">
        <v>7</v>
      </c>
      <c r="CP701" t="s">
        <v>121</v>
      </c>
      <c r="CQ701">
        <v>580</v>
      </c>
      <c r="CR701">
        <v>0</v>
      </c>
      <c r="CW701">
        <v>606891</v>
      </c>
      <c r="CY701">
        <v>0</v>
      </c>
      <c r="CZ701">
        <v>0</v>
      </c>
      <c r="DA701">
        <v>0</v>
      </c>
      <c r="DB701">
        <v>1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</row>
    <row r="702" spans="1:113" x14ac:dyDescent="0.3">
      <c r="A702" t="str">
        <f>"06/16/2022 19:15:17.597"</f>
        <v>06/16/2022 19:15:17.597</v>
      </c>
      <c r="C702" t="str">
        <f t="shared" si="33"/>
        <v>FFBF5BC0</v>
      </c>
      <c r="D702" t="s">
        <v>113</v>
      </c>
      <c r="E702">
        <v>8</v>
      </c>
      <c r="H702">
        <v>206</v>
      </c>
      <c r="I702" t="s">
        <v>114</v>
      </c>
      <c r="J702" t="s">
        <v>115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>"19:15:17.359"</f>
        <v>19:15:17.359</v>
      </c>
      <c r="T702" t="str">
        <f>"19:15:17.359"</f>
        <v>19:15:17.359</v>
      </c>
      <c r="U702" t="str">
        <f t="shared" si="31"/>
        <v>AB63B2</v>
      </c>
      <c r="V702">
        <v>0</v>
      </c>
      <c r="W702">
        <v>0</v>
      </c>
      <c r="X702">
        <v>6</v>
      </c>
      <c r="Z702">
        <v>0</v>
      </c>
      <c r="AA702">
        <v>9</v>
      </c>
      <c r="AB702">
        <v>3</v>
      </c>
      <c r="AC702">
        <v>0</v>
      </c>
      <c r="AD702">
        <v>10</v>
      </c>
      <c r="AE702">
        <v>0</v>
      </c>
      <c r="AF702">
        <v>0</v>
      </c>
      <c r="AG702">
        <v>2</v>
      </c>
      <c r="AH702">
        <v>0</v>
      </c>
      <c r="AI702" t="s">
        <v>696</v>
      </c>
      <c r="AJ702">
        <v>41.970390999999999</v>
      </c>
      <c r="AK702" t="s">
        <v>342</v>
      </c>
      <c r="AL702">
        <v>-87.894379999999998</v>
      </c>
      <c r="AS702">
        <v>1</v>
      </c>
      <c r="AT702" t="s">
        <v>118</v>
      </c>
      <c r="AU702" t="b">
        <v>1</v>
      </c>
      <c r="AV702">
        <v>2.81</v>
      </c>
      <c r="AW702">
        <v>6.125</v>
      </c>
      <c r="AX702">
        <v>1</v>
      </c>
      <c r="AZ702">
        <v>7205</v>
      </c>
      <c r="BA702">
        <v>1</v>
      </c>
      <c r="BB702" t="str">
        <f t="shared" si="32"/>
        <v xml:space="preserve">KAP400  </v>
      </c>
      <c r="BC702">
        <v>1</v>
      </c>
      <c r="BE702">
        <v>0</v>
      </c>
      <c r="BF702">
        <v>0</v>
      </c>
      <c r="BG702">
        <v>0</v>
      </c>
      <c r="BI702">
        <v>1</v>
      </c>
      <c r="BJ702">
        <v>1</v>
      </c>
      <c r="BK702">
        <v>1</v>
      </c>
      <c r="BL702">
        <v>0</v>
      </c>
      <c r="BO702">
        <v>0</v>
      </c>
      <c r="BP702">
        <v>0</v>
      </c>
      <c r="BW702" t="str">
        <f>"19:15:17.364"</f>
        <v>19:15:17.364</v>
      </c>
      <c r="BX702" t="s">
        <v>119</v>
      </c>
      <c r="BY702" t="s">
        <v>120</v>
      </c>
      <c r="CJ702">
        <v>0</v>
      </c>
      <c r="CK702">
        <v>0</v>
      </c>
      <c r="CL702">
        <v>0</v>
      </c>
      <c r="CM702">
        <v>2</v>
      </c>
      <c r="CN702">
        <v>0</v>
      </c>
      <c r="CO702">
        <v>7</v>
      </c>
      <c r="CP702" t="s">
        <v>121</v>
      </c>
      <c r="CQ702">
        <v>580</v>
      </c>
      <c r="CR702">
        <v>0</v>
      </c>
      <c r="CW702">
        <v>608459</v>
      </c>
      <c r="CY702">
        <v>0</v>
      </c>
      <c r="CZ702">
        <v>0</v>
      </c>
      <c r="DA702">
        <v>0</v>
      </c>
      <c r="DB702">
        <v>1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</row>
    <row r="703" spans="1:113" x14ac:dyDescent="0.3">
      <c r="A703" t="str">
        <f>"06/16/2022 19:15:18.612"</f>
        <v>06/16/2022 19:15:18.612</v>
      </c>
      <c r="C703" t="str">
        <f t="shared" si="33"/>
        <v>FFBF5BC0</v>
      </c>
      <c r="D703" t="s">
        <v>113</v>
      </c>
      <c r="E703">
        <v>8</v>
      </c>
      <c r="H703">
        <v>206</v>
      </c>
      <c r="I703" t="s">
        <v>114</v>
      </c>
      <c r="J703" t="s">
        <v>115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>"19:15:18.453"</f>
        <v>19:15:18.453</v>
      </c>
      <c r="T703" t="str">
        <f>"19:15:18.453"</f>
        <v>19:15:18.453</v>
      </c>
      <c r="U703" t="str">
        <f t="shared" si="31"/>
        <v>AB63B2</v>
      </c>
      <c r="V703">
        <v>0</v>
      </c>
      <c r="W703">
        <v>0</v>
      </c>
      <c r="X703">
        <v>6</v>
      </c>
      <c r="Z703">
        <v>0</v>
      </c>
      <c r="AA703">
        <v>9</v>
      </c>
      <c r="AB703">
        <v>3</v>
      </c>
      <c r="AC703">
        <v>0</v>
      </c>
      <c r="AD703">
        <v>10</v>
      </c>
      <c r="AE703">
        <v>0</v>
      </c>
      <c r="AF703">
        <v>0</v>
      </c>
      <c r="AG703">
        <v>2</v>
      </c>
      <c r="AH703">
        <v>0</v>
      </c>
      <c r="AI703" t="s">
        <v>613</v>
      </c>
      <c r="AJ703">
        <v>41.970413000000001</v>
      </c>
      <c r="AK703" t="s">
        <v>690</v>
      </c>
      <c r="AL703">
        <v>-87.894358999999994</v>
      </c>
      <c r="AS703">
        <v>1</v>
      </c>
      <c r="AT703" t="s">
        <v>118</v>
      </c>
      <c r="AU703" t="b">
        <v>1</v>
      </c>
      <c r="AV703">
        <v>2.81</v>
      </c>
      <c r="AW703">
        <v>6.125</v>
      </c>
      <c r="AX703">
        <v>1</v>
      </c>
      <c r="AZ703">
        <v>7205</v>
      </c>
      <c r="BA703">
        <v>1</v>
      </c>
      <c r="BB703" t="str">
        <f t="shared" si="32"/>
        <v xml:space="preserve">KAP400  </v>
      </c>
      <c r="BC703">
        <v>1</v>
      </c>
      <c r="BE703">
        <v>0</v>
      </c>
      <c r="BF703">
        <v>0</v>
      </c>
      <c r="BG703">
        <v>0</v>
      </c>
      <c r="BI703">
        <v>1</v>
      </c>
      <c r="BJ703">
        <v>1</v>
      </c>
      <c r="BK703">
        <v>1</v>
      </c>
      <c r="BL703">
        <v>0</v>
      </c>
      <c r="BO703">
        <v>0</v>
      </c>
      <c r="BP703">
        <v>0</v>
      </c>
      <c r="BW703" t="str">
        <f>"19:15:18.460"</f>
        <v>19:15:18.460</v>
      </c>
      <c r="BX703" t="s">
        <v>119</v>
      </c>
      <c r="BY703" t="s">
        <v>120</v>
      </c>
      <c r="CJ703">
        <v>0</v>
      </c>
      <c r="CK703">
        <v>0</v>
      </c>
      <c r="CL703">
        <v>0</v>
      </c>
      <c r="CM703">
        <v>2</v>
      </c>
      <c r="CN703">
        <v>0</v>
      </c>
      <c r="CO703">
        <v>7</v>
      </c>
      <c r="CP703" t="s">
        <v>121</v>
      </c>
      <c r="CQ703">
        <v>580</v>
      </c>
      <c r="CR703">
        <v>0</v>
      </c>
      <c r="CW703">
        <v>610428</v>
      </c>
      <c r="CY703">
        <v>0</v>
      </c>
      <c r="CZ703">
        <v>0</v>
      </c>
      <c r="DA703">
        <v>0</v>
      </c>
      <c r="DB703">
        <v>1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</row>
    <row r="704" spans="1:113" x14ac:dyDescent="0.3">
      <c r="A704" t="str">
        <f>"06/16/2022 19:15:19.816"</f>
        <v>06/16/2022 19:15:19.816</v>
      </c>
      <c r="C704" t="str">
        <f t="shared" si="33"/>
        <v>FFBF5BC0</v>
      </c>
      <c r="D704" t="s">
        <v>113</v>
      </c>
      <c r="E704">
        <v>8</v>
      </c>
      <c r="H704">
        <v>206</v>
      </c>
      <c r="I704" t="s">
        <v>114</v>
      </c>
      <c r="J704" t="s">
        <v>115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>"19:15:19.531"</f>
        <v>19:15:19.531</v>
      </c>
      <c r="T704" t="str">
        <f>"19:15:19.531"</f>
        <v>19:15:19.531</v>
      </c>
      <c r="U704" t="str">
        <f t="shared" si="31"/>
        <v>AB63B2</v>
      </c>
      <c r="V704">
        <v>0</v>
      </c>
      <c r="W704">
        <v>0</v>
      </c>
      <c r="X704">
        <v>6</v>
      </c>
      <c r="Z704">
        <v>0</v>
      </c>
      <c r="AA704">
        <v>9</v>
      </c>
      <c r="AB704">
        <v>3</v>
      </c>
      <c r="AC704">
        <v>0</v>
      </c>
      <c r="AD704">
        <v>10</v>
      </c>
      <c r="AE704">
        <v>0</v>
      </c>
      <c r="AF704">
        <v>0</v>
      </c>
      <c r="AG704">
        <v>2</v>
      </c>
      <c r="AH704">
        <v>0</v>
      </c>
      <c r="AI704" t="s">
        <v>577</v>
      </c>
      <c r="AJ704">
        <v>41.970433999999997</v>
      </c>
      <c r="AK704" t="s">
        <v>342</v>
      </c>
      <c r="AL704">
        <v>-87.894379999999998</v>
      </c>
      <c r="AS704">
        <v>1</v>
      </c>
      <c r="AT704" t="s">
        <v>118</v>
      </c>
      <c r="AU704" t="b">
        <v>1</v>
      </c>
      <c r="AV704">
        <v>0</v>
      </c>
      <c r="AW704">
        <v>6.125</v>
      </c>
      <c r="AX704">
        <v>1</v>
      </c>
      <c r="AZ704">
        <v>7205</v>
      </c>
      <c r="BA704">
        <v>1</v>
      </c>
      <c r="BB704" t="str">
        <f t="shared" si="32"/>
        <v xml:space="preserve">KAP400  </v>
      </c>
      <c r="BC704">
        <v>1</v>
      </c>
      <c r="BE704">
        <v>0</v>
      </c>
      <c r="BF704">
        <v>0</v>
      </c>
      <c r="BG704">
        <v>0</v>
      </c>
      <c r="BI704">
        <v>1</v>
      </c>
      <c r="BJ704">
        <v>1</v>
      </c>
      <c r="BK704">
        <v>1</v>
      </c>
      <c r="BL704">
        <v>0</v>
      </c>
      <c r="BO704">
        <v>0</v>
      </c>
      <c r="BP704">
        <v>0</v>
      </c>
      <c r="BW704" t="str">
        <f>"19:15:19.535"</f>
        <v>19:15:19.535</v>
      </c>
      <c r="BX704" t="s">
        <v>119</v>
      </c>
      <c r="BY704" t="s">
        <v>120</v>
      </c>
      <c r="CJ704">
        <v>0</v>
      </c>
      <c r="CK704">
        <v>0</v>
      </c>
      <c r="CL704">
        <v>0</v>
      </c>
      <c r="CM704">
        <v>2</v>
      </c>
      <c r="CN704">
        <v>0</v>
      </c>
      <c r="CO704">
        <v>7</v>
      </c>
      <c r="CP704" t="s">
        <v>121</v>
      </c>
      <c r="CQ704">
        <v>580</v>
      </c>
      <c r="CR704">
        <v>0</v>
      </c>
      <c r="CW704">
        <v>612300</v>
      </c>
      <c r="CY704">
        <v>0</v>
      </c>
      <c r="CZ704">
        <v>0</v>
      </c>
      <c r="DA704">
        <v>0</v>
      </c>
      <c r="DB704">
        <v>1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</row>
    <row r="705" spans="1:113" x14ac:dyDescent="0.3">
      <c r="A705" t="str">
        <f>"06/16/2022 19:15:20.816"</f>
        <v>06/16/2022 19:15:20.816</v>
      </c>
      <c r="C705" t="str">
        <f t="shared" si="33"/>
        <v>FFBF5BC0</v>
      </c>
      <c r="D705" t="s">
        <v>113</v>
      </c>
      <c r="E705">
        <v>8</v>
      </c>
      <c r="H705">
        <v>206</v>
      </c>
      <c r="I705" t="s">
        <v>114</v>
      </c>
      <c r="J705" t="s">
        <v>115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>"19:15:20.578"</f>
        <v>19:15:20.578</v>
      </c>
      <c r="T705" t="str">
        <f>"19:15:20.578"</f>
        <v>19:15:20.578</v>
      </c>
      <c r="U705" t="str">
        <f t="shared" si="31"/>
        <v>AB63B2</v>
      </c>
      <c r="V705">
        <v>0</v>
      </c>
      <c r="W705">
        <v>0</v>
      </c>
      <c r="X705">
        <v>6</v>
      </c>
      <c r="Z705">
        <v>0</v>
      </c>
      <c r="AA705">
        <v>9</v>
      </c>
      <c r="AB705">
        <v>3</v>
      </c>
      <c r="AC705">
        <v>0</v>
      </c>
      <c r="AD705">
        <v>10</v>
      </c>
      <c r="AE705">
        <v>0</v>
      </c>
      <c r="AF705">
        <v>0</v>
      </c>
      <c r="AG705">
        <v>2</v>
      </c>
      <c r="AH705">
        <v>0</v>
      </c>
      <c r="AI705" t="s">
        <v>697</v>
      </c>
      <c r="AJ705">
        <v>41.970477000000002</v>
      </c>
      <c r="AK705" t="s">
        <v>690</v>
      </c>
      <c r="AL705">
        <v>-87.894358999999994</v>
      </c>
      <c r="AS705">
        <v>1</v>
      </c>
      <c r="AT705" t="s">
        <v>118</v>
      </c>
      <c r="AU705" t="b">
        <v>1</v>
      </c>
      <c r="AV705">
        <v>0</v>
      </c>
      <c r="AW705">
        <v>6.625</v>
      </c>
      <c r="AX705">
        <v>1</v>
      </c>
      <c r="AZ705">
        <v>7205</v>
      </c>
      <c r="BA705">
        <v>1</v>
      </c>
      <c r="BB705" t="str">
        <f t="shared" si="32"/>
        <v xml:space="preserve">KAP400  </v>
      </c>
      <c r="BC705">
        <v>1</v>
      </c>
      <c r="BE705">
        <v>0</v>
      </c>
      <c r="BF705">
        <v>0</v>
      </c>
      <c r="BG705">
        <v>0</v>
      </c>
      <c r="BI705">
        <v>1</v>
      </c>
      <c r="BJ705">
        <v>1</v>
      </c>
      <c r="BK705">
        <v>1</v>
      </c>
      <c r="BL705">
        <v>0</v>
      </c>
      <c r="BO705">
        <v>0</v>
      </c>
      <c r="BP705">
        <v>0</v>
      </c>
      <c r="BW705" t="str">
        <f>"19:15:20.578"</f>
        <v>19:15:20.578</v>
      </c>
      <c r="BX705" t="s">
        <v>119</v>
      </c>
      <c r="BY705" t="s">
        <v>120</v>
      </c>
      <c r="CJ705">
        <v>0</v>
      </c>
      <c r="CK705">
        <v>0</v>
      </c>
      <c r="CL705">
        <v>0</v>
      </c>
      <c r="CM705">
        <v>2</v>
      </c>
      <c r="CN705">
        <v>0</v>
      </c>
      <c r="CO705">
        <v>7</v>
      </c>
      <c r="CP705" t="s">
        <v>121</v>
      </c>
      <c r="CQ705">
        <v>579</v>
      </c>
      <c r="CR705">
        <v>0</v>
      </c>
      <c r="CW705">
        <v>1731677</v>
      </c>
      <c r="CY705">
        <v>0</v>
      </c>
      <c r="CZ705">
        <v>0</v>
      </c>
      <c r="DA705">
        <v>0</v>
      </c>
      <c r="DB705">
        <v>1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</row>
    <row r="706" spans="1:113" x14ac:dyDescent="0.3">
      <c r="A706" t="str">
        <f>"06/16/2022 19:15:21.893"</f>
        <v>06/16/2022 19:15:21.893</v>
      </c>
      <c r="C706" t="str">
        <f t="shared" si="33"/>
        <v>FFBF5BC0</v>
      </c>
      <c r="D706" t="s">
        <v>113</v>
      </c>
      <c r="E706">
        <v>8</v>
      </c>
      <c r="H706">
        <v>206</v>
      </c>
      <c r="I706" t="s">
        <v>114</v>
      </c>
      <c r="J706" t="s">
        <v>115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>"19:15:21.664"</f>
        <v>19:15:21.664</v>
      </c>
      <c r="T706" t="str">
        <f>"19:15:21.664"</f>
        <v>19:15:21.664</v>
      </c>
      <c r="U706" t="str">
        <f t="shared" ref="U706:U769" si="34">"AB63B2"</f>
        <v>AB63B2</v>
      </c>
      <c r="V706">
        <v>0</v>
      </c>
      <c r="W706">
        <v>0</v>
      </c>
      <c r="X706">
        <v>6</v>
      </c>
      <c r="Z706">
        <v>0</v>
      </c>
      <c r="AA706">
        <v>9</v>
      </c>
      <c r="AB706">
        <v>3</v>
      </c>
      <c r="AC706">
        <v>0</v>
      </c>
      <c r="AD706">
        <v>10</v>
      </c>
      <c r="AE706">
        <v>0</v>
      </c>
      <c r="AF706">
        <v>0</v>
      </c>
      <c r="AG706">
        <v>2</v>
      </c>
      <c r="AH706">
        <v>0</v>
      </c>
      <c r="AI706" t="s">
        <v>576</v>
      </c>
      <c r="AJ706">
        <v>41.970498999999997</v>
      </c>
      <c r="AK706" t="s">
        <v>342</v>
      </c>
      <c r="AL706">
        <v>-87.894379999999998</v>
      </c>
      <c r="AS706">
        <v>1</v>
      </c>
      <c r="AT706" t="s">
        <v>118</v>
      </c>
      <c r="AU706" t="b">
        <v>1</v>
      </c>
      <c r="AV706">
        <v>0</v>
      </c>
      <c r="AW706">
        <v>6.125</v>
      </c>
      <c r="AX706">
        <v>1</v>
      </c>
      <c r="AZ706">
        <v>7205</v>
      </c>
      <c r="BA706">
        <v>1</v>
      </c>
      <c r="BB706" t="str">
        <f t="shared" ref="BB706:BB769" si="35">"KAP400  "</f>
        <v xml:space="preserve">KAP400  </v>
      </c>
      <c r="BC706">
        <v>1</v>
      </c>
      <c r="BE706">
        <v>0</v>
      </c>
      <c r="BF706">
        <v>0</v>
      </c>
      <c r="BG706">
        <v>0</v>
      </c>
      <c r="BI706">
        <v>1</v>
      </c>
      <c r="BJ706">
        <v>1</v>
      </c>
      <c r="BK706">
        <v>1</v>
      </c>
      <c r="BL706">
        <v>0</v>
      </c>
      <c r="BO706">
        <v>0</v>
      </c>
      <c r="BP706">
        <v>0</v>
      </c>
      <c r="BW706" t="str">
        <f>"19:15:21.671"</f>
        <v>19:15:21.671</v>
      </c>
      <c r="BX706" t="s">
        <v>119</v>
      </c>
      <c r="BY706" t="s">
        <v>120</v>
      </c>
      <c r="CJ706">
        <v>0</v>
      </c>
      <c r="CK706">
        <v>0</v>
      </c>
      <c r="CL706">
        <v>0</v>
      </c>
      <c r="CM706">
        <v>2</v>
      </c>
      <c r="CN706">
        <v>0</v>
      </c>
      <c r="CO706">
        <v>7</v>
      </c>
      <c r="CP706" t="s">
        <v>121</v>
      </c>
      <c r="CQ706">
        <v>579</v>
      </c>
      <c r="CR706">
        <v>0</v>
      </c>
      <c r="CW706">
        <v>1733900</v>
      </c>
      <c r="CY706">
        <v>0</v>
      </c>
      <c r="CZ706">
        <v>0</v>
      </c>
      <c r="DA706">
        <v>0</v>
      </c>
      <c r="DB706">
        <v>1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</row>
    <row r="707" spans="1:113" x14ac:dyDescent="0.3">
      <c r="A707" t="str">
        <f>"06/16/2022 19:15:22.987"</f>
        <v>06/16/2022 19:15:22.987</v>
      </c>
      <c r="C707" t="str">
        <f t="shared" si="33"/>
        <v>FFBF5BC0</v>
      </c>
      <c r="D707" t="s">
        <v>113</v>
      </c>
      <c r="E707">
        <v>8</v>
      </c>
      <c r="H707">
        <v>206</v>
      </c>
      <c r="I707" t="s">
        <v>114</v>
      </c>
      <c r="J707" t="s">
        <v>115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>"19:15:22.703"</f>
        <v>19:15:22.703</v>
      </c>
      <c r="T707" t="str">
        <f>"19:15:22.703"</f>
        <v>19:15:22.703</v>
      </c>
      <c r="U707" t="str">
        <f t="shared" si="34"/>
        <v>AB63B2</v>
      </c>
      <c r="V707">
        <v>0</v>
      </c>
      <c r="W707">
        <v>0</v>
      </c>
      <c r="X707">
        <v>6</v>
      </c>
      <c r="Z707">
        <v>0</v>
      </c>
      <c r="AA707">
        <v>9</v>
      </c>
      <c r="AB707">
        <v>3</v>
      </c>
      <c r="AC707">
        <v>0</v>
      </c>
      <c r="AD707">
        <v>10</v>
      </c>
      <c r="AE707">
        <v>0</v>
      </c>
      <c r="AF707">
        <v>0</v>
      </c>
      <c r="AG707">
        <v>2</v>
      </c>
      <c r="AH707">
        <v>0</v>
      </c>
      <c r="AI707" t="s">
        <v>698</v>
      </c>
      <c r="AJ707">
        <v>41.970540999999997</v>
      </c>
      <c r="AK707" t="s">
        <v>690</v>
      </c>
      <c r="AL707">
        <v>-87.894358999999994</v>
      </c>
      <c r="AS707">
        <v>1</v>
      </c>
      <c r="AT707" t="s">
        <v>118</v>
      </c>
      <c r="AU707" t="b">
        <v>1</v>
      </c>
      <c r="AV707">
        <v>357.19</v>
      </c>
      <c r="AW707">
        <v>5.625</v>
      </c>
      <c r="AX707">
        <v>1</v>
      </c>
      <c r="AZ707">
        <v>7205</v>
      </c>
      <c r="BA707">
        <v>1</v>
      </c>
      <c r="BB707" t="str">
        <f t="shared" si="35"/>
        <v xml:space="preserve">KAP400  </v>
      </c>
      <c r="BC707">
        <v>1</v>
      </c>
      <c r="BE707">
        <v>0</v>
      </c>
      <c r="BF707">
        <v>0</v>
      </c>
      <c r="BG707">
        <v>0</v>
      </c>
      <c r="BI707">
        <v>1</v>
      </c>
      <c r="BJ707">
        <v>1</v>
      </c>
      <c r="BK707">
        <v>1</v>
      </c>
      <c r="BL707">
        <v>0</v>
      </c>
      <c r="BO707">
        <v>0</v>
      </c>
      <c r="BP707">
        <v>0</v>
      </c>
      <c r="BW707" t="str">
        <f>"19:15:22.705"</f>
        <v>19:15:22.705</v>
      </c>
      <c r="BX707" t="s">
        <v>119</v>
      </c>
      <c r="BY707" t="s">
        <v>120</v>
      </c>
      <c r="CJ707">
        <v>0</v>
      </c>
      <c r="CK707">
        <v>0</v>
      </c>
      <c r="CL707">
        <v>0</v>
      </c>
      <c r="CM707">
        <v>2</v>
      </c>
      <c r="CN707">
        <v>0</v>
      </c>
      <c r="CO707">
        <v>7</v>
      </c>
      <c r="CP707" t="s">
        <v>121</v>
      </c>
      <c r="CQ707">
        <v>579</v>
      </c>
      <c r="CR707">
        <v>0</v>
      </c>
      <c r="CW707">
        <v>1735987</v>
      </c>
      <c r="CY707">
        <v>0</v>
      </c>
      <c r="CZ707">
        <v>0</v>
      </c>
      <c r="DA707">
        <v>0</v>
      </c>
      <c r="DB707">
        <v>1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</row>
    <row r="708" spans="1:113" x14ac:dyDescent="0.3">
      <c r="A708" t="str">
        <f>"06/16/2022 19:15:23.862"</f>
        <v>06/16/2022 19:15:23.862</v>
      </c>
      <c r="C708" t="str">
        <f t="shared" si="33"/>
        <v>FFBF5BC0</v>
      </c>
      <c r="D708" t="s">
        <v>113</v>
      </c>
      <c r="E708">
        <v>8</v>
      </c>
      <c r="H708">
        <v>206</v>
      </c>
      <c r="I708" t="s">
        <v>114</v>
      </c>
      <c r="J708" t="s">
        <v>115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>"19:15:23.594"</f>
        <v>19:15:23.594</v>
      </c>
      <c r="T708" t="str">
        <f>"19:15:23.594"</f>
        <v>19:15:23.594</v>
      </c>
      <c r="U708" t="str">
        <f t="shared" si="34"/>
        <v>AB63B2</v>
      </c>
      <c r="V708">
        <v>0</v>
      </c>
      <c r="W708">
        <v>0</v>
      </c>
      <c r="X708">
        <v>6</v>
      </c>
      <c r="Z708">
        <v>0</v>
      </c>
      <c r="AA708">
        <v>9</v>
      </c>
      <c r="AB708">
        <v>3</v>
      </c>
      <c r="AC708">
        <v>0</v>
      </c>
      <c r="AD708">
        <v>10</v>
      </c>
      <c r="AE708">
        <v>0</v>
      </c>
      <c r="AF708">
        <v>0</v>
      </c>
      <c r="AG708">
        <v>2</v>
      </c>
      <c r="AH708">
        <v>0</v>
      </c>
      <c r="AI708" t="s">
        <v>574</v>
      </c>
      <c r="AJ708">
        <v>41.970562999999999</v>
      </c>
      <c r="AK708" t="s">
        <v>690</v>
      </c>
      <c r="AL708">
        <v>-87.894358999999994</v>
      </c>
      <c r="AS708">
        <v>1</v>
      </c>
      <c r="AT708" t="s">
        <v>118</v>
      </c>
      <c r="AU708" t="b">
        <v>1</v>
      </c>
      <c r="AV708">
        <v>357.19</v>
      </c>
      <c r="AW708">
        <v>5.625</v>
      </c>
      <c r="AX708">
        <v>1</v>
      </c>
      <c r="AZ708">
        <v>7205</v>
      </c>
      <c r="BA708">
        <v>1</v>
      </c>
      <c r="BB708" t="str">
        <f t="shared" si="35"/>
        <v xml:space="preserve">KAP400  </v>
      </c>
      <c r="BC708">
        <v>1</v>
      </c>
      <c r="BE708">
        <v>0</v>
      </c>
      <c r="BF708">
        <v>0</v>
      </c>
      <c r="BG708">
        <v>0</v>
      </c>
      <c r="BI708">
        <v>1</v>
      </c>
      <c r="BJ708">
        <v>1</v>
      </c>
      <c r="BK708">
        <v>1</v>
      </c>
      <c r="BL708">
        <v>0</v>
      </c>
      <c r="BO708">
        <v>0</v>
      </c>
      <c r="BP708">
        <v>0</v>
      </c>
      <c r="BW708" t="str">
        <f>"19:15:23.598"</f>
        <v>19:15:23.598</v>
      </c>
      <c r="BX708" t="s">
        <v>119</v>
      </c>
      <c r="BY708" t="s">
        <v>120</v>
      </c>
      <c r="CJ708">
        <v>0</v>
      </c>
      <c r="CK708">
        <v>0</v>
      </c>
      <c r="CL708">
        <v>0</v>
      </c>
      <c r="CM708">
        <v>2</v>
      </c>
      <c r="CN708">
        <v>0</v>
      </c>
      <c r="CO708">
        <v>0</v>
      </c>
      <c r="CP708" t="s">
        <v>121</v>
      </c>
      <c r="CQ708">
        <v>579</v>
      </c>
      <c r="CR708">
        <v>0</v>
      </c>
      <c r="CW708">
        <v>1737765</v>
      </c>
      <c r="CY708">
        <v>0</v>
      </c>
      <c r="CZ708">
        <v>0</v>
      </c>
      <c r="DA708">
        <v>0</v>
      </c>
      <c r="DB708">
        <v>1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</row>
    <row r="709" spans="1:113" x14ac:dyDescent="0.3">
      <c r="A709" t="str">
        <f>"06/16/2022 19:15:24.846"</f>
        <v>06/16/2022 19:15:24.846</v>
      </c>
      <c r="C709" t="str">
        <f t="shared" si="33"/>
        <v>FFBF5BC0</v>
      </c>
      <c r="D709" t="s">
        <v>113</v>
      </c>
      <c r="E709">
        <v>8</v>
      </c>
      <c r="H709">
        <v>206</v>
      </c>
      <c r="I709" t="s">
        <v>114</v>
      </c>
      <c r="J709" t="s">
        <v>115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>"19:15:24.602"</f>
        <v>19:15:24.602</v>
      </c>
      <c r="T709" t="str">
        <f>"19:15:24.602"</f>
        <v>19:15:24.602</v>
      </c>
      <c r="U709" t="str">
        <f t="shared" si="34"/>
        <v>AB63B2</v>
      </c>
      <c r="V709">
        <v>0</v>
      </c>
      <c r="W709">
        <v>0</v>
      </c>
      <c r="X709">
        <v>6</v>
      </c>
      <c r="Z709">
        <v>0</v>
      </c>
      <c r="AA709">
        <v>9</v>
      </c>
      <c r="AB709">
        <v>3</v>
      </c>
      <c r="AC709">
        <v>0</v>
      </c>
      <c r="AD709">
        <v>10</v>
      </c>
      <c r="AE709">
        <v>0</v>
      </c>
      <c r="AF709">
        <v>0</v>
      </c>
      <c r="AG709">
        <v>2</v>
      </c>
      <c r="AH709">
        <v>0</v>
      </c>
      <c r="AI709" t="s">
        <v>573</v>
      </c>
      <c r="AJ709">
        <v>41.970584000000002</v>
      </c>
      <c r="AK709" t="s">
        <v>690</v>
      </c>
      <c r="AL709">
        <v>-87.894358999999994</v>
      </c>
      <c r="AS709">
        <v>1</v>
      </c>
      <c r="AT709" t="s">
        <v>118</v>
      </c>
      <c r="AU709" t="b">
        <v>1</v>
      </c>
      <c r="AV709">
        <v>357.19</v>
      </c>
      <c r="AW709">
        <v>5.625</v>
      </c>
      <c r="AX709">
        <v>1</v>
      </c>
      <c r="AZ709">
        <v>7205</v>
      </c>
      <c r="BA709">
        <v>1</v>
      </c>
      <c r="BB709" t="str">
        <f t="shared" si="35"/>
        <v xml:space="preserve">KAP400  </v>
      </c>
      <c r="BC709">
        <v>1</v>
      </c>
      <c r="BE709">
        <v>0</v>
      </c>
      <c r="BF709">
        <v>0</v>
      </c>
      <c r="BG709">
        <v>0</v>
      </c>
      <c r="BI709">
        <v>1</v>
      </c>
      <c r="BJ709">
        <v>1</v>
      </c>
      <c r="BK709">
        <v>1</v>
      </c>
      <c r="BL709">
        <v>0</v>
      </c>
      <c r="BO709">
        <v>0</v>
      </c>
      <c r="BP709">
        <v>0</v>
      </c>
      <c r="BW709" t="str">
        <f>"19:15:24.604"</f>
        <v>19:15:24.604</v>
      </c>
      <c r="BX709" t="s">
        <v>119</v>
      </c>
      <c r="BY709" t="s">
        <v>120</v>
      </c>
      <c r="CJ709">
        <v>0</v>
      </c>
      <c r="CK709">
        <v>0</v>
      </c>
      <c r="CL709">
        <v>0</v>
      </c>
      <c r="CM709">
        <v>2</v>
      </c>
      <c r="CN709">
        <v>0</v>
      </c>
      <c r="CO709">
        <v>7</v>
      </c>
      <c r="CP709" t="s">
        <v>121</v>
      </c>
      <c r="CQ709">
        <v>580</v>
      </c>
      <c r="CR709">
        <v>0</v>
      </c>
      <c r="CW709">
        <v>621556</v>
      </c>
      <c r="CY709">
        <v>0</v>
      </c>
      <c r="CZ709">
        <v>0</v>
      </c>
      <c r="DA709">
        <v>0</v>
      </c>
      <c r="DB709">
        <v>1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</row>
    <row r="710" spans="1:113" x14ac:dyDescent="0.3">
      <c r="A710" t="str">
        <f>"06/16/2022 19:15:25.768"</f>
        <v>06/16/2022 19:15:25.768</v>
      </c>
      <c r="C710" t="str">
        <f t="shared" si="33"/>
        <v>FFBF5BC0</v>
      </c>
      <c r="D710" t="s">
        <v>113</v>
      </c>
      <c r="E710">
        <v>8</v>
      </c>
      <c r="H710">
        <v>206</v>
      </c>
      <c r="I710" t="s">
        <v>114</v>
      </c>
      <c r="J710" t="s">
        <v>115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>"19:15:25.531"</f>
        <v>19:15:25.531</v>
      </c>
      <c r="T710" t="str">
        <f>"19:15:25.531"</f>
        <v>19:15:25.531</v>
      </c>
      <c r="U710" t="str">
        <f t="shared" si="34"/>
        <v>AB63B2</v>
      </c>
      <c r="V710">
        <v>0</v>
      </c>
      <c r="W710">
        <v>0</v>
      </c>
      <c r="X710">
        <v>6</v>
      </c>
      <c r="Z710">
        <v>0</v>
      </c>
      <c r="AA710">
        <v>9</v>
      </c>
      <c r="AB710">
        <v>3</v>
      </c>
      <c r="AC710">
        <v>0</v>
      </c>
      <c r="AD710">
        <v>10</v>
      </c>
      <c r="AE710">
        <v>0</v>
      </c>
      <c r="AF710">
        <v>0</v>
      </c>
      <c r="AG710">
        <v>2</v>
      </c>
      <c r="AH710">
        <v>0</v>
      </c>
      <c r="AI710" t="s">
        <v>699</v>
      </c>
      <c r="AJ710">
        <v>41.970605999999997</v>
      </c>
      <c r="AK710" t="s">
        <v>342</v>
      </c>
      <c r="AL710">
        <v>-87.894379999999998</v>
      </c>
      <c r="AS710">
        <v>1</v>
      </c>
      <c r="AT710" t="s">
        <v>118</v>
      </c>
      <c r="AU710" t="b">
        <v>1</v>
      </c>
      <c r="AV710">
        <v>357.19</v>
      </c>
      <c r="AW710">
        <v>5.125</v>
      </c>
      <c r="AX710">
        <v>1</v>
      </c>
      <c r="AZ710">
        <v>7205</v>
      </c>
      <c r="BA710">
        <v>1</v>
      </c>
      <c r="BB710" t="str">
        <f t="shared" si="35"/>
        <v xml:space="preserve">KAP400  </v>
      </c>
      <c r="BC710">
        <v>1</v>
      </c>
      <c r="BE710">
        <v>0</v>
      </c>
      <c r="BF710">
        <v>0</v>
      </c>
      <c r="BG710">
        <v>0</v>
      </c>
      <c r="BI710">
        <v>1</v>
      </c>
      <c r="BJ710">
        <v>1</v>
      </c>
      <c r="BK710">
        <v>1</v>
      </c>
      <c r="BL710">
        <v>0</v>
      </c>
      <c r="BO710">
        <v>0</v>
      </c>
      <c r="BP710">
        <v>0</v>
      </c>
      <c r="BW710" t="str">
        <f>"19:15:25.533"</f>
        <v>19:15:25.533</v>
      </c>
      <c r="BX710" t="s">
        <v>119</v>
      </c>
      <c r="BY710" t="s">
        <v>120</v>
      </c>
      <c r="CJ710">
        <v>0</v>
      </c>
      <c r="CK710">
        <v>0</v>
      </c>
      <c r="CL710">
        <v>0</v>
      </c>
      <c r="CM710">
        <v>2</v>
      </c>
      <c r="CN710">
        <v>0</v>
      </c>
      <c r="CO710">
        <v>7</v>
      </c>
      <c r="CP710" t="s">
        <v>121</v>
      </c>
      <c r="CQ710">
        <v>579</v>
      </c>
      <c r="CR710">
        <v>0</v>
      </c>
      <c r="CW710">
        <v>1741574</v>
      </c>
      <c r="CY710">
        <v>0</v>
      </c>
      <c r="CZ710">
        <v>0</v>
      </c>
      <c r="DA710">
        <v>0</v>
      </c>
      <c r="DB710">
        <v>1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</row>
    <row r="711" spans="1:113" x14ac:dyDescent="0.3">
      <c r="A711" t="str">
        <f>"06/16/2022 19:15:26.784"</f>
        <v>06/16/2022 19:15:26.784</v>
      </c>
      <c r="C711" t="str">
        <f t="shared" si="33"/>
        <v>FFBF5BC0</v>
      </c>
      <c r="D711" t="s">
        <v>113</v>
      </c>
      <c r="E711">
        <v>8</v>
      </c>
      <c r="H711">
        <v>206</v>
      </c>
      <c r="I711" t="s">
        <v>114</v>
      </c>
      <c r="J711" t="s">
        <v>115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>"19:15:26.578"</f>
        <v>19:15:26.578</v>
      </c>
      <c r="T711" t="str">
        <f>"19:15:26.578"</f>
        <v>19:15:26.578</v>
      </c>
      <c r="U711" t="str">
        <f t="shared" si="34"/>
        <v>AB63B2</v>
      </c>
      <c r="V711">
        <v>0</v>
      </c>
      <c r="W711">
        <v>0</v>
      </c>
      <c r="X711">
        <v>6</v>
      </c>
      <c r="Z711">
        <v>0</v>
      </c>
      <c r="AA711">
        <v>9</v>
      </c>
      <c r="AB711">
        <v>3</v>
      </c>
      <c r="AC711">
        <v>0</v>
      </c>
      <c r="AD711">
        <v>10</v>
      </c>
      <c r="AE711">
        <v>0</v>
      </c>
      <c r="AF711">
        <v>0</v>
      </c>
      <c r="AG711">
        <v>2</v>
      </c>
      <c r="AH711">
        <v>0</v>
      </c>
      <c r="AI711" t="s">
        <v>572</v>
      </c>
      <c r="AJ711">
        <v>41.970627</v>
      </c>
      <c r="AK711" t="s">
        <v>690</v>
      </c>
      <c r="AL711">
        <v>-87.894358999999994</v>
      </c>
      <c r="AS711">
        <v>1</v>
      </c>
      <c r="AT711" t="s">
        <v>118</v>
      </c>
      <c r="AU711" t="b">
        <v>1</v>
      </c>
      <c r="AV711">
        <v>357.19</v>
      </c>
      <c r="AW711">
        <v>5.125</v>
      </c>
      <c r="AX711">
        <v>1</v>
      </c>
      <c r="AZ711">
        <v>7205</v>
      </c>
      <c r="BA711">
        <v>1</v>
      </c>
      <c r="BB711" t="str">
        <f t="shared" si="35"/>
        <v xml:space="preserve">KAP400  </v>
      </c>
      <c r="BC711">
        <v>1</v>
      </c>
      <c r="BE711">
        <v>0</v>
      </c>
      <c r="BF711">
        <v>0</v>
      </c>
      <c r="BG711">
        <v>0</v>
      </c>
      <c r="BI711">
        <v>1</v>
      </c>
      <c r="BJ711">
        <v>1</v>
      </c>
      <c r="BK711">
        <v>1</v>
      </c>
      <c r="BL711">
        <v>0</v>
      </c>
      <c r="BO711">
        <v>0</v>
      </c>
      <c r="BP711">
        <v>0</v>
      </c>
      <c r="BW711" t="str">
        <f>"19:15:26.585"</f>
        <v>19:15:26.585</v>
      </c>
      <c r="BX711" t="s">
        <v>119</v>
      </c>
      <c r="BY711" t="s">
        <v>120</v>
      </c>
      <c r="CJ711">
        <v>0</v>
      </c>
      <c r="CK711">
        <v>0</v>
      </c>
      <c r="CL711">
        <v>0</v>
      </c>
      <c r="CM711">
        <v>2</v>
      </c>
      <c r="CN711">
        <v>0</v>
      </c>
      <c r="CO711">
        <v>7</v>
      </c>
      <c r="CP711" t="s">
        <v>121</v>
      </c>
      <c r="CQ711">
        <v>579</v>
      </c>
      <c r="CR711">
        <v>0</v>
      </c>
      <c r="CW711">
        <v>1743811</v>
      </c>
      <c r="CY711">
        <v>0</v>
      </c>
      <c r="CZ711">
        <v>0</v>
      </c>
      <c r="DA711">
        <v>0</v>
      </c>
      <c r="DB711">
        <v>1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</row>
    <row r="712" spans="1:113" x14ac:dyDescent="0.3">
      <c r="A712" t="str">
        <f>"06/16/2022 19:15:27.799"</f>
        <v>06/16/2022 19:15:27.799</v>
      </c>
      <c r="C712" t="str">
        <f t="shared" si="33"/>
        <v>FFBF5BC0</v>
      </c>
      <c r="D712" t="s">
        <v>113</v>
      </c>
      <c r="E712">
        <v>8</v>
      </c>
      <c r="H712">
        <v>206</v>
      </c>
      <c r="I712" t="s">
        <v>114</v>
      </c>
      <c r="J712" t="s">
        <v>115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>"19:15:27.578"</f>
        <v>19:15:27.578</v>
      </c>
      <c r="T712" t="str">
        <f>"19:15:27.578"</f>
        <v>19:15:27.578</v>
      </c>
      <c r="U712" t="str">
        <f t="shared" si="34"/>
        <v>AB63B2</v>
      </c>
      <c r="V712">
        <v>0</v>
      </c>
      <c r="W712">
        <v>0</v>
      </c>
      <c r="X712">
        <v>6</v>
      </c>
      <c r="Z712">
        <v>0</v>
      </c>
      <c r="AA712">
        <v>9</v>
      </c>
      <c r="AB712">
        <v>3</v>
      </c>
      <c r="AC712">
        <v>0</v>
      </c>
      <c r="AD712">
        <v>10</v>
      </c>
      <c r="AE712">
        <v>0</v>
      </c>
      <c r="AF712">
        <v>0</v>
      </c>
      <c r="AG712">
        <v>2</v>
      </c>
      <c r="AH712">
        <v>0</v>
      </c>
      <c r="AI712" t="s">
        <v>700</v>
      </c>
      <c r="AJ712">
        <v>41.970649000000002</v>
      </c>
      <c r="AK712" t="s">
        <v>690</v>
      </c>
      <c r="AL712">
        <v>-87.894358999999994</v>
      </c>
      <c r="AS712">
        <v>1</v>
      </c>
      <c r="AT712" t="s">
        <v>118</v>
      </c>
      <c r="AU712" t="b">
        <v>1</v>
      </c>
      <c r="AV712">
        <v>0</v>
      </c>
      <c r="AW712">
        <v>5.125</v>
      </c>
      <c r="AX712">
        <v>1</v>
      </c>
      <c r="AZ712">
        <v>7205</v>
      </c>
      <c r="BA712">
        <v>1</v>
      </c>
      <c r="BB712" t="str">
        <f t="shared" si="35"/>
        <v xml:space="preserve">KAP400  </v>
      </c>
      <c r="BC712">
        <v>1</v>
      </c>
      <c r="BE712">
        <v>0</v>
      </c>
      <c r="BF712">
        <v>0</v>
      </c>
      <c r="BG712">
        <v>0</v>
      </c>
      <c r="BI712">
        <v>1</v>
      </c>
      <c r="BJ712">
        <v>1</v>
      </c>
      <c r="BK712">
        <v>1</v>
      </c>
      <c r="BL712">
        <v>0</v>
      </c>
      <c r="BO712">
        <v>0</v>
      </c>
      <c r="BP712">
        <v>0</v>
      </c>
      <c r="BW712" t="str">
        <f>"19:15:27.583"</f>
        <v>19:15:27.583</v>
      </c>
      <c r="BX712" t="s">
        <v>119</v>
      </c>
      <c r="BY712" t="s">
        <v>120</v>
      </c>
      <c r="CJ712">
        <v>0</v>
      </c>
      <c r="CK712">
        <v>0</v>
      </c>
      <c r="CL712">
        <v>0</v>
      </c>
      <c r="CM712">
        <v>2</v>
      </c>
      <c r="CN712">
        <v>0</v>
      </c>
      <c r="CO712">
        <v>7</v>
      </c>
      <c r="CP712" t="s">
        <v>121</v>
      </c>
      <c r="CQ712">
        <v>580</v>
      </c>
      <c r="CR712">
        <v>0</v>
      </c>
      <c r="CW712">
        <v>627073</v>
      </c>
      <c r="CY712">
        <v>0</v>
      </c>
      <c r="CZ712">
        <v>0</v>
      </c>
      <c r="DA712">
        <v>0</v>
      </c>
      <c r="DB712">
        <v>1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</row>
    <row r="713" spans="1:113" x14ac:dyDescent="0.3">
      <c r="A713" t="str">
        <f>"06/16/2022 19:15:28.768"</f>
        <v>06/16/2022 19:15:28.768</v>
      </c>
      <c r="C713" t="str">
        <f t="shared" si="33"/>
        <v>FFBF5BC0</v>
      </c>
      <c r="D713" t="s">
        <v>113</v>
      </c>
      <c r="E713">
        <v>8</v>
      </c>
      <c r="H713">
        <v>206</v>
      </c>
      <c r="I713" t="s">
        <v>114</v>
      </c>
      <c r="J713" t="s">
        <v>115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>"19:15:28.469"</f>
        <v>19:15:28.469</v>
      </c>
      <c r="T713" t="str">
        <f>"19:15:28.469"</f>
        <v>19:15:28.469</v>
      </c>
      <c r="U713" t="str">
        <f t="shared" si="34"/>
        <v>AB63B2</v>
      </c>
      <c r="V713">
        <v>0</v>
      </c>
      <c r="W713">
        <v>0</v>
      </c>
      <c r="X713">
        <v>6</v>
      </c>
      <c r="Z713">
        <v>0</v>
      </c>
      <c r="AA713">
        <v>9</v>
      </c>
      <c r="AB713">
        <v>3</v>
      </c>
      <c r="AC713">
        <v>0</v>
      </c>
      <c r="AD713">
        <v>10</v>
      </c>
      <c r="AE713">
        <v>0</v>
      </c>
      <c r="AF713">
        <v>0</v>
      </c>
      <c r="AG713">
        <v>2</v>
      </c>
      <c r="AH713">
        <v>0</v>
      </c>
      <c r="AI713" t="s">
        <v>700</v>
      </c>
      <c r="AJ713">
        <v>41.970649000000002</v>
      </c>
      <c r="AK713" t="s">
        <v>342</v>
      </c>
      <c r="AL713">
        <v>-87.894379999999998</v>
      </c>
      <c r="AS713">
        <v>1</v>
      </c>
      <c r="AT713" t="s">
        <v>118</v>
      </c>
      <c r="AU713" t="b">
        <v>1</v>
      </c>
      <c r="AV713">
        <v>0</v>
      </c>
      <c r="AW713">
        <v>5.125</v>
      </c>
      <c r="AX713">
        <v>1</v>
      </c>
      <c r="AZ713">
        <v>7205</v>
      </c>
      <c r="BA713">
        <v>1</v>
      </c>
      <c r="BB713" t="str">
        <f t="shared" si="35"/>
        <v xml:space="preserve">KAP400  </v>
      </c>
      <c r="BC713">
        <v>1</v>
      </c>
      <c r="BE713">
        <v>0</v>
      </c>
      <c r="BF713">
        <v>0</v>
      </c>
      <c r="BG713">
        <v>0</v>
      </c>
      <c r="BI713">
        <v>1</v>
      </c>
      <c r="BJ713">
        <v>1</v>
      </c>
      <c r="BK713">
        <v>1</v>
      </c>
      <c r="BL713">
        <v>0</v>
      </c>
      <c r="BO713">
        <v>0</v>
      </c>
      <c r="BP713">
        <v>0</v>
      </c>
      <c r="BW713" t="str">
        <f>"19:15:28.471"</f>
        <v>19:15:28.471</v>
      </c>
      <c r="BX713" t="s">
        <v>119</v>
      </c>
      <c r="BY713" t="s">
        <v>120</v>
      </c>
      <c r="CJ713">
        <v>0</v>
      </c>
      <c r="CK713">
        <v>0</v>
      </c>
      <c r="CL713">
        <v>0</v>
      </c>
      <c r="CM713">
        <v>2</v>
      </c>
      <c r="CN713">
        <v>0</v>
      </c>
      <c r="CO713">
        <v>7</v>
      </c>
      <c r="CP713" t="s">
        <v>121</v>
      </c>
      <c r="CQ713">
        <v>579</v>
      </c>
      <c r="CR713">
        <v>0</v>
      </c>
      <c r="CW713">
        <v>1747605</v>
      </c>
      <c r="CY713">
        <v>0</v>
      </c>
      <c r="CZ713">
        <v>0</v>
      </c>
      <c r="DA713">
        <v>0</v>
      </c>
      <c r="DB713">
        <v>1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</row>
    <row r="714" spans="1:113" x14ac:dyDescent="0.3">
      <c r="A714" t="str">
        <f>"06/16/2022 19:15:29.753"</f>
        <v>06/16/2022 19:15:29.753</v>
      </c>
      <c r="C714" t="str">
        <f t="shared" si="33"/>
        <v>FFBF5BC0</v>
      </c>
      <c r="D714" t="s">
        <v>113</v>
      </c>
      <c r="E714">
        <v>8</v>
      </c>
      <c r="H714">
        <v>206</v>
      </c>
      <c r="I714" t="s">
        <v>114</v>
      </c>
      <c r="J714" t="s">
        <v>115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>"19:15:29.555"</f>
        <v>19:15:29.555</v>
      </c>
      <c r="T714" t="str">
        <f>"19:15:29.555"</f>
        <v>19:15:29.555</v>
      </c>
      <c r="U714" t="str">
        <f t="shared" si="34"/>
        <v>AB63B2</v>
      </c>
      <c r="V714">
        <v>0</v>
      </c>
      <c r="W714">
        <v>0</v>
      </c>
      <c r="X714">
        <v>6</v>
      </c>
      <c r="Z714">
        <v>0</v>
      </c>
      <c r="AA714">
        <v>9</v>
      </c>
      <c r="AB714">
        <v>3</v>
      </c>
      <c r="AC714">
        <v>0</v>
      </c>
      <c r="AD714">
        <v>10</v>
      </c>
      <c r="AE714">
        <v>0</v>
      </c>
      <c r="AF714">
        <v>0</v>
      </c>
      <c r="AG714">
        <v>2</v>
      </c>
      <c r="AH714">
        <v>0</v>
      </c>
      <c r="AI714" t="s">
        <v>571</v>
      </c>
      <c r="AJ714">
        <v>41.970669999999998</v>
      </c>
      <c r="AK714" t="s">
        <v>342</v>
      </c>
      <c r="AL714">
        <v>-87.894379999999998</v>
      </c>
      <c r="AS714">
        <v>1</v>
      </c>
      <c r="AT714" t="s">
        <v>118</v>
      </c>
      <c r="AU714" t="b">
        <v>1</v>
      </c>
      <c r="AV714">
        <v>2.81</v>
      </c>
      <c r="AW714">
        <v>5.125</v>
      </c>
      <c r="AX714">
        <v>1</v>
      </c>
      <c r="AZ714">
        <v>7205</v>
      </c>
      <c r="BA714">
        <v>1</v>
      </c>
      <c r="BB714" t="str">
        <f t="shared" si="35"/>
        <v xml:space="preserve">KAP400  </v>
      </c>
      <c r="BC714">
        <v>1</v>
      </c>
      <c r="BE714">
        <v>0</v>
      </c>
      <c r="BF714">
        <v>0</v>
      </c>
      <c r="BG714">
        <v>0</v>
      </c>
      <c r="BI714">
        <v>1</v>
      </c>
      <c r="BJ714">
        <v>1</v>
      </c>
      <c r="BK714">
        <v>1</v>
      </c>
      <c r="BL714">
        <v>0</v>
      </c>
      <c r="BO714">
        <v>0</v>
      </c>
      <c r="BP714">
        <v>0</v>
      </c>
      <c r="BW714" t="str">
        <f>"19:15:29.555"</f>
        <v>19:15:29.555</v>
      </c>
      <c r="BX714" t="s">
        <v>119</v>
      </c>
      <c r="BY714" t="s">
        <v>120</v>
      </c>
      <c r="CJ714">
        <v>0</v>
      </c>
      <c r="CK714">
        <v>0</v>
      </c>
      <c r="CL714">
        <v>0</v>
      </c>
      <c r="CM714">
        <v>2</v>
      </c>
      <c r="CN714">
        <v>0</v>
      </c>
      <c r="CO714">
        <v>7</v>
      </c>
      <c r="CP714" t="s">
        <v>121</v>
      </c>
      <c r="CQ714">
        <v>579</v>
      </c>
      <c r="CR714">
        <v>0</v>
      </c>
      <c r="CW714">
        <v>1749679</v>
      </c>
      <c r="CY714">
        <v>0</v>
      </c>
      <c r="CZ714">
        <v>0</v>
      </c>
      <c r="DA714">
        <v>0</v>
      </c>
      <c r="DB714">
        <v>1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</row>
    <row r="715" spans="1:113" x14ac:dyDescent="0.3">
      <c r="A715" t="str">
        <f>"06/16/2022 19:15:30.831"</f>
        <v>06/16/2022 19:15:30.831</v>
      </c>
      <c r="C715" t="str">
        <f t="shared" si="33"/>
        <v>FFBF5BC0</v>
      </c>
      <c r="D715" t="s">
        <v>113</v>
      </c>
      <c r="E715">
        <v>8</v>
      </c>
      <c r="H715">
        <v>206</v>
      </c>
      <c r="I715" t="s">
        <v>114</v>
      </c>
      <c r="J715" t="s">
        <v>115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>"19:15:30.539"</f>
        <v>19:15:30.539</v>
      </c>
      <c r="T715" t="str">
        <f>"19:15:30.539"</f>
        <v>19:15:30.539</v>
      </c>
      <c r="U715" t="str">
        <f t="shared" si="34"/>
        <v>AB63B2</v>
      </c>
      <c r="V715">
        <v>0</v>
      </c>
      <c r="W715">
        <v>0</v>
      </c>
      <c r="X715">
        <v>6</v>
      </c>
      <c r="Z715">
        <v>0</v>
      </c>
      <c r="AA715">
        <v>9</v>
      </c>
      <c r="AB715">
        <v>3</v>
      </c>
      <c r="AC715">
        <v>0</v>
      </c>
      <c r="AD715">
        <v>10</v>
      </c>
      <c r="AE715">
        <v>0</v>
      </c>
      <c r="AF715">
        <v>0</v>
      </c>
      <c r="AG715">
        <v>2</v>
      </c>
      <c r="AH715">
        <v>0</v>
      </c>
      <c r="AI715" t="s">
        <v>570</v>
      </c>
      <c r="AJ715">
        <v>41.970713000000003</v>
      </c>
      <c r="AK715" t="s">
        <v>342</v>
      </c>
      <c r="AL715">
        <v>-87.894379999999998</v>
      </c>
      <c r="AS715">
        <v>1</v>
      </c>
      <c r="AT715" t="s">
        <v>118</v>
      </c>
      <c r="AU715" t="b">
        <v>1</v>
      </c>
      <c r="AV715">
        <v>2.81</v>
      </c>
      <c r="AW715">
        <v>4.625</v>
      </c>
      <c r="AX715">
        <v>1</v>
      </c>
      <c r="AZ715">
        <v>7205</v>
      </c>
      <c r="BA715">
        <v>1</v>
      </c>
      <c r="BB715" t="str">
        <f t="shared" si="35"/>
        <v xml:space="preserve">KAP400  </v>
      </c>
      <c r="BC715">
        <v>1</v>
      </c>
      <c r="BE715">
        <v>0</v>
      </c>
      <c r="BF715">
        <v>0</v>
      </c>
      <c r="BG715">
        <v>0</v>
      </c>
      <c r="BI715">
        <v>1</v>
      </c>
      <c r="BJ715">
        <v>1</v>
      </c>
      <c r="BK715">
        <v>1</v>
      </c>
      <c r="BL715">
        <v>0</v>
      </c>
      <c r="BO715">
        <v>0</v>
      </c>
      <c r="BP715">
        <v>0</v>
      </c>
      <c r="BW715" t="str">
        <f>"19:15:30.547"</f>
        <v>19:15:30.547</v>
      </c>
      <c r="BX715" t="s">
        <v>119</v>
      </c>
      <c r="BY715" t="s">
        <v>120</v>
      </c>
      <c r="CJ715">
        <v>0</v>
      </c>
      <c r="CK715">
        <v>0</v>
      </c>
      <c r="CL715">
        <v>0</v>
      </c>
      <c r="CM715">
        <v>2</v>
      </c>
      <c r="CN715">
        <v>0</v>
      </c>
      <c r="CO715">
        <v>6</v>
      </c>
      <c r="CP715" t="s">
        <v>121</v>
      </c>
      <c r="CQ715">
        <v>581</v>
      </c>
      <c r="CR715">
        <v>0</v>
      </c>
      <c r="CW715">
        <v>15522942</v>
      </c>
      <c r="CY715">
        <v>0</v>
      </c>
      <c r="CZ715">
        <v>0</v>
      </c>
      <c r="DA715">
        <v>0</v>
      </c>
      <c r="DB715">
        <v>1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</row>
    <row r="716" spans="1:113" x14ac:dyDescent="0.3">
      <c r="A716" t="str">
        <f>"06/16/2022 19:15:31.861"</f>
        <v>06/16/2022 19:15:31.861</v>
      </c>
      <c r="C716" t="str">
        <f t="shared" si="33"/>
        <v>FFBF5BC0</v>
      </c>
      <c r="D716" t="s">
        <v>113</v>
      </c>
      <c r="E716">
        <v>8</v>
      </c>
      <c r="H716">
        <v>206</v>
      </c>
      <c r="I716" t="s">
        <v>114</v>
      </c>
      <c r="J716" t="s">
        <v>115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>"19:15:31.500"</f>
        <v>19:15:31.500</v>
      </c>
      <c r="T716" t="str">
        <f>"19:15:31.500"</f>
        <v>19:15:31.500</v>
      </c>
      <c r="U716" t="str">
        <f t="shared" si="34"/>
        <v>AB63B2</v>
      </c>
      <c r="V716">
        <v>0</v>
      </c>
      <c r="W716">
        <v>0</v>
      </c>
      <c r="X716">
        <v>6</v>
      </c>
      <c r="Z716">
        <v>0</v>
      </c>
      <c r="AA716">
        <v>9</v>
      </c>
      <c r="AB716">
        <v>3</v>
      </c>
      <c r="AC716">
        <v>0</v>
      </c>
      <c r="AD716">
        <v>10</v>
      </c>
      <c r="AE716">
        <v>0</v>
      </c>
      <c r="AF716">
        <v>0</v>
      </c>
      <c r="AG716">
        <v>2</v>
      </c>
      <c r="AH716">
        <v>0</v>
      </c>
      <c r="AI716" t="s">
        <v>569</v>
      </c>
      <c r="AJ716">
        <v>41.970734999999998</v>
      </c>
      <c r="AK716" t="s">
        <v>342</v>
      </c>
      <c r="AL716">
        <v>-87.894379999999998</v>
      </c>
      <c r="AS716">
        <v>1</v>
      </c>
      <c r="AT716" t="s">
        <v>118</v>
      </c>
      <c r="AU716" t="b">
        <v>1</v>
      </c>
      <c r="AV716">
        <v>2.81</v>
      </c>
      <c r="AW716">
        <v>4.625</v>
      </c>
      <c r="AX716">
        <v>1</v>
      </c>
      <c r="AZ716">
        <v>7205</v>
      </c>
      <c r="BA716">
        <v>1</v>
      </c>
      <c r="BB716" t="str">
        <f t="shared" si="35"/>
        <v xml:space="preserve">KAP400  </v>
      </c>
      <c r="BC716">
        <v>1</v>
      </c>
      <c r="BE716">
        <v>0</v>
      </c>
      <c r="BF716">
        <v>0</v>
      </c>
      <c r="BG716">
        <v>0</v>
      </c>
      <c r="BI716">
        <v>1</v>
      </c>
      <c r="BJ716">
        <v>1</v>
      </c>
      <c r="BK716">
        <v>1</v>
      </c>
      <c r="BL716">
        <v>0</v>
      </c>
      <c r="BO716">
        <v>0</v>
      </c>
      <c r="BP716">
        <v>0</v>
      </c>
      <c r="BW716" t="str">
        <f>"19:15:31.505"</f>
        <v>19:15:31.505</v>
      </c>
      <c r="BX716" t="s">
        <v>119</v>
      </c>
      <c r="BY716" t="s">
        <v>120</v>
      </c>
      <c r="CJ716">
        <v>0</v>
      </c>
      <c r="CK716">
        <v>0</v>
      </c>
      <c r="CL716">
        <v>0</v>
      </c>
      <c r="CM716">
        <v>2</v>
      </c>
      <c r="CN716">
        <v>0</v>
      </c>
      <c r="CO716">
        <v>7</v>
      </c>
      <c r="CP716" t="s">
        <v>121</v>
      </c>
      <c r="CQ716">
        <v>580</v>
      </c>
      <c r="CR716">
        <v>0</v>
      </c>
      <c r="CW716">
        <v>634177</v>
      </c>
      <c r="CY716">
        <v>0</v>
      </c>
      <c r="CZ716">
        <v>0</v>
      </c>
      <c r="DA716">
        <v>0</v>
      </c>
      <c r="DB716">
        <v>1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</row>
    <row r="717" spans="1:113" x14ac:dyDescent="0.3">
      <c r="A717" t="str">
        <f>"06/16/2022 19:15:32.721"</f>
        <v>06/16/2022 19:15:32.721</v>
      </c>
      <c r="C717" t="str">
        <f t="shared" si="33"/>
        <v>FFBF5BC0</v>
      </c>
      <c r="D717" t="s">
        <v>113</v>
      </c>
      <c r="E717">
        <v>8</v>
      </c>
      <c r="H717">
        <v>206</v>
      </c>
      <c r="I717" t="s">
        <v>114</v>
      </c>
      <c r="J717" t="s">
        <v>115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>"19:15:32.461"</f>
        <v>19:15:32.461</v>
      </c>
      <c r="T717" t="str">
        <f>"19:15:32.461"</f>
        <v>19:15:32.461</v>
      </c>
      <c r="U717" t="str">
        <f t="shared" si="34"/>
        <v>AB63B2</v>
      </c>
      <c r="V717">
        <v>0</v>
      </c>
      <c r="W717">
        <v>0</v>
      </c>
      <c r="X717">
        <v>6</v>
      </c>
      <c r="Z717">
        <v>0</v>
      </c>
      <c r="AA717">
        <v>9</v>
      </c>
      <c r="AB717">
        <v>3</v>
      </c>
      <c r="AC717">
        <v>0</v>
      </c>
      <c r="AD717">
        <v>10</v>
      </c>
      <c r="AE717">
        <v>0</v>
      </c>
      <c r="AF717">
        <v>0</v>
      </c>
      <c r="AG717">
        <v>2</v>
      </c>
      <c r="AH717">
        <v>0</v>
      </c>
      <c r="AI717" t="s">
        <v>569</v>
      </c>
      <c r="AJ717">
        <v>41.970734999999998</v>
      </c>
      <c r="AK717" t="s">
        <v>690</v>
      </c>
      <c r="AL717">
        <v>-87.894358999999994</v>
      </c>
      <c r="AS717">
        <v>1</v>
      </c>
      <c r="AT717" t="s">
        <v>118</v>
      </c>
      <c r="AU717" t="b">
        <v>1</v>
      </c>
      <c r="AV717">
        <v>2.81</v>
      </c>
      <c r="AW717">
        <v>4.625</v>
      </c>
      <c r="AX717">
        <v>1</v>
      </c>
      <c r="AZ717">
        <v>7205</v>
      </c>
      <c r="BA717">
        <v>1</v>
      </c>
      <c r="BB717" t="str">
        <f t="shared" si="35"/>
        <v xml:space="preserve">KAP400  </v>
      </c>
      <c r="BC717">
        <v>1</v>
      </c>
      <c r="BE717">
        <v>0</v>
      </c>
      <c r="BF717">
        <v>0</v>
      </c>
      <c r="BG717">
        <v>0</v>
      </c>
      <c r="BI717">
        <v>1</v>
      </c>
      <c r="BJ717">
        <v>1</v>
      </c>
      <c r="BK717">
        <v>1</v>
      </c>
      <c r="BL717">
        <v>0</v>
      </c>
      <c r="BO717">
        <v>0</v>
      </c>
      <c r="BP717">
        <v>0</v>
      </c>
      <c r="BW717" t="str">
        <f>"19:15:32.467"</f>
        <v>19:15:32.467</v>
      </c>
      <c r="BX717" t="s">
        <v>119</v>
      </c>
      <c r="BY717" t="s">
        <v>120</v>
      </c>
      <c r="CJ717">
        <v>0</v>
      </c>
      <c r="CK717">
        <v>0</v>
      </c>
      <c r="CL717">
        <v>0</v>
      </c>
      <c r="CM717">
        <v>2</v>
      </c>
      <c r="CN717">
        <v>0</v>
      </c>
      <c r="CO717">
        <v>7</v>
      </c>
      <c r="CP717" t="s">
        <v>121</v>
      </c>
      <c r="CQ717">
        <v>579</v>
      </c>
      <c r="CR717">
        <v>0</v>
      </c>
      <c r="CW717">
        <v>1755571</v>
      </c>
      <c r="CY717">
        <v>0</v>
      </c>
      <c r="CZ717">
        <v>0</v>
      </c>
      <c r="DA717">
        <v>0</v>
      </c>
      <c r="DB717">
        <v>1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</row>
    <row r="718" spans="1:113" x14ac:dyDescent="0.3">
      <c r="A718" t="str">
        <f>"06/16/2022 19:15:33.832"</f>
        <v>06/16/2022 19:15:33.832</v>
      </c>
      <c r="C718" t="str">
        <f t="shared" si="33"/>
        <v>FFBF5BC0</v>
      </c>
      <c r="D718" t="s">
        <v>113</v>
      </c>
      <c r="E718">
        <v>8</v>
      </c>
      <c r="H718">
        <v>206</v>
      </c>
      <c r="I718" t="s">
        <v>114</v>
      </c>
      <c r="J718" t="s">
        <v>115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>"19:15:33.578"</f>
        <v>19:15:33.578</v>
      </c>
      <c r="T718" t="str">
        <f>"19:15:33.578"</f>
        <v>19:15:33.578</v>
      </c>
      <c r="U718" t="str">
        <f t="shared" si="34"/>
        <v>AB63B2</v>
      </c>
      <c r="V718">
        <v>0</v>
      </c>
      <c r="W718">
        <v>0</v>
      </c>
      <c r="X718">
        <v>6</v>
      </c>
      <c r="Z718">
        <v>0</v>
      </c>
      <c r="AA718">
        <v>9</v>
      </c>
      <c r="AB718">
        <v>3</v>
      </c>
      <c r="AC718">
        <v>0</v>
      </c>
      <c r="AD718">
        <v>10</v>
      </c>
      <c r="AE718">
        <v>0</v>
      </c>
      <c r="AF718">
        <v>0</v>
      </c>
      <c r="AG718">
        <v>2</v>
      </c>
      <c r="AH718">
        <v>0</v>
      </c>
      <c r="AI718" t="s">
        <v>701</v>
      </c>
      <c r="AJ718">
        <v>41.970756000000002</v>
      </c>
      <c r="AK718" t="s">
        <v>690</v>
      </c>
      <c r="AL718">
        <v>-87.894358999999994</v>
      </c>
      <c r="AS718">
        <v>1</v>
      </c>
      <c r="AT718" t="s">
        <v>118</v>
      </c>
      <c r="AU718" t="b">
        <v>1</v>
      </c>
      <c r="AV718">
        <v>2.81</v>
      </c>
      <c r="AW718">
        <v>4.625</v>
      </c>
      <c r="AX718">
        <v>1</v>
      </c>
      <c r="AZ718">
        <v>7205</v>
      </c>
      <c r="BA718">
        <v>1</v>
      </c>
      <c r="BB718" t="str">
        <f t="shared" si="35"/>
        <v xml:space="preserve">KAP400  </v>
      </c>
      <c r="BC718">
        <v>1</v>
      </c>
      <c r="BE718">
        <v>0</v>
      </c>
      <c r="BF718">
        <v>0</v>
      </c>
      <c r="BG718">
        <v>0</v>
      </c>
      <c r="BI718">
        <v>1</v>
      </c>
      <c r="BJ718">
        <v>1</v>
      </c>
      <c r="BK718">
        <v>1</v>
      </c>
      <c r="BL718">
        <v>0</v>
      </c>
      <c r="BO718">
        <v>0</v>
      </c>
      <c r="BP718">
        <v>0</v>
      </c>
      <c r="BW718" t="str">
        <f>"19:15:33.581"</f>
        <v>19:15:33.581</v>
      </c>
      <c r="BX718" t="s">
        <v>119</v>
      </c>
      <c r="BY718" t="s">
        <v>120</v>
      </c>
      <c r="CJ718">
        <v>0</v>
      </c>
      <c r="CK718">
        <v>0</v>
      </c>
      <c r="CL718">
        <v>0</v>
      </c>
      <c r="CM718">
        <v>2</v>
      </c>
      <c r="CN718">
        <v>0</v>
      </c>
      <c r="CO718">
        <v>7</v>
      </c>
      <c r="CP718" t="s">
        <v>121</v>
      </c>
      <c r="CQ718">
        <v>579</v>
      </c>
      <c r="CR718">
        <v>0</v>
      </c>
      <c r="CW718">
        <v>1757648</v>
      </c>
      <c r="CY718">
        <v>0</v>
      </c>
      <c r="CZ718">
        <v>0</v>
      </c>
      <c r="DA718">
        <v>0</v>
      </c>
      <c r="DB718">
        <v>1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</row>
    <row r="719" spans="1:113" x14ac:dyDescent="0.3">
      <c r="A719" t="str">
        <f>"06/16/2022 19:15:34.895"</f>
        <v>06/16/2022 19:15:34.895</v>
      </c>
      <c r="C719" t="str">
        <f t="shared" si="33"/>
        <v>FFBF5BC0</v>
      </c>
      <c r="D719" t="s">
        <v>113</v>
      </c>
      <c r="E719">
        <v>8</v>
      </c>
      <c r="H719">
        <v>206</v>
      </c>
      <c r="I719" t="s">
        <v>114</v>
      </c>
      <c r="J719" t="s">
        <v>115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>"19:15:34.695"</f>
        <v>19:15:34.695</v>
      </c>
      <c r="T719" t="str">
        <f>"19:15:34.695"</f>
        <v>19:15:34.695</v>
      </c>
      <c r="U719" t="str">
        <f t="shared" si="34"/>
        <v>AB63B2</v>
      </c>
      <c r="V719">
        <v>0</v>
      </c>
      <c r="W719">
        <v>0</v>
      </c>
      <c r="X719">
        <v>6</v>
      </c>
      <c r="Z719">
        <v>0</v>
      </c>
      <c r="AA719">
        <v>9</v>
      </c>
      <c r="AB719">
        <v>3</v>
      </c>
      <c r="AC719">
        <v>0</v>
      </c>
      <c r="AD719">
        <v>10</v>
      </c>
      <c r="AE719">
        <v>0</v>
      </c>
      <c r="AF719">
        <v>0</v>
      </c>
      <c r="AG719">
        <v>2</v>
      </c>
      <c r="AH719">
        <v>0</v>
      </c>
      <c r="AI719" t="s">
        <v>568</v>
      </c>
      <c r="AJ719">
        <v>41.970778000000003</v>
      </c>
      <c r="AK719" t="s">
        <v>342</v>
      </c>
      <c r="AL719">
        <v>-87.894379999999998</v>
      </c>
      <c r="AS719">
        <v>1</v>
      </c>
      <c r="AT719" t="s">
        <v>118</v>
      </c>
      <c r="AU719" t="b">
        <v>1</v>
      </c>
      <c r="AV719">
        <v>0</v>
      </c>
      <c r="AW719">
        <v>4.625</v>
      </c>
      <c r="AX719">
        <v>1</v>
      </c>
      <c r="AZ719">
        <v>7205</v>
      </c>
      <c r="BA719">
        <v>1</v>
      </c>
      <c r="BB719" t="str">
        <f t="shared" si="35"/>
        <v xml:space="preserve">KAP400  </v>
      </c>
      <c r="BC719">
        <v>1</v>
      </c>
      <c r="BE719">
        <v>0</v>
      </c>
      <c r="BF719">
        <v>0</v>
      </c>
      <c r="BG719">
        <v>0</v>
      </c>
      <c r="BI719">
        <v>1</v>
      </c>
      <c r="BJ719">
        <v>1</v>
      </c>
      <c r="BK719">
        <v>1</v>
      </c>
      <c r="BL719">
        <v>0</v>
      </c>
      <c r="BO719">
        <v>0</v>
      </c>
      <c r="BP719">
        <v>0</v>
      </c>
      <c r="BW719" t="str">
        <f>"19:15:34.698"</f>
        <v>19:15:34.698</v>
      </c>
      <c r="BX719" t="s">
        <v>119</v>
      </c>
      <c r="BY719" t="s">
        <v>120</v>
      </c>
      <c r="CJ719">
        <v>0</v>
      </c>
      <c r="CK719">
        <v>0</v>
      </c>
      <c r="CL719">
        <v>0</v>
      </c>
      <c r="CM719">
        <v>2</v>
      </c>
      <c r="CN719">
        <v>0</v>
      </c>
      <c r="CO719">
        <v>7</v>
      </c>
      <c r="CP719" t="s">
        <v>121</v>
      </c>
      <c r="CQ719">
        <v>579</v>
      </c>
      <c r="CR719">
        <v>0</v>
      </c>
      <c r="CW719">
        <v>1759719</v>
      </c>
      <c r="CY719">
        <v>0</v>
      </c>
      <c r="CZ719">
        <v>0</v>
      </c>
      <c r="DA719">
        <v>0</v>
      </c>
      <c r="DB719">
        <v>1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</row>
    <row r="720" spans="1:113" x14ac:dyDescent="0.3">
      <c r="A720" t="str">
        <f>"06/16/2022 19:15:36.113"</f>
        <v>06/16/2022 19:15:36.113</v>
      </c>
      <c r="C720" t="str">
        <f t="shared" ref="C720:C783" si="36">"FFBF5BC0"</f>
        <v>FFBF5BC0</v>
      </c>
      <c r="D720" t="s">
        <v>113</v>
      </c>
      <c r="E720">
        <v>8</v>
      </c>
      <c r="H720">
        <v>206</v>
      </c>
      <c r="I720" t="s">
        <v>114</v>
      </c>
      <c r="J720" t="s">
        <v>115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>"19:15:35.859"</f>
        <v>19:15:35.859</v>
      </c>
      <c r="T720" t="str">
        <f>"19:15:35.859"</f>
        <v>19:15:35.859</v>
      </c>
      <c r="U720" t="str">
        <f t="shared" si="34"/>
        <v>AB63B2</v>
      </c>
      <c r="V720">
        <v>0</v>
      </c>
      <c r="W720">
        <v>0</v>
      </c>
      <c r="X720">
        <v>6</v>
      </c>
      <c r="Z720">
        <v>0</v>
      </c>
      <c r="AA720">
        <v>9</v>
      </c>
      <c r="AB720">
        <v>3</v>
      </c>
      <c r="AC720">
        <v>0</v>
      </c>
      <c r="AD720">
        <v>10</v>
      </c>
      <c r="AE720">
        <v>0</v>
      </c>
      <c r="AF720">
        <v>0</v>
      </c>
      <c r="AG720">
        <v>2</v>
      </c>
      <c r="AH720">
        <v>0</v>
      </c>
      <c r="AI720" t="s">
        <v>702</v>
      </c>
      <c r="AJ720">
        <v>41.970799</v>
      </c>
      <c r="AK720" t="s">
        <v>690</v>
      </c>
      <c r="AL720">
        <v>-87.894358999999994</v>
      </c>
      <c r="AS720">
        <v>1</v>
      </c>
      <c r="AT720" t="s">
        <v>118</v>
      </c>
      <c r="AU720" t="b">
        <v>1</v>
      </c>
      <c r="AV720">
        <v>357.19</v>
      </c>
      <c r="AW720">
        <v>4.625</v>
      </c>
      <c r="AX720">
        <v>1</v>
      </c>
      <c r="AZ720">
        <v>7205</v>
      </c>
      <c r="BA720">
        <v>1</v>
      </c>
      <c r="BB720" t="str">
        <f t="shared" si="35"/>
        <v xml:space="preserve">KAP400  </v>
      </c>
      <c r="BC720">
        <v>1</v>
      </c>
      <c r="BE720">
        <v>0</v>
      </c>
      <c r="BF720">
        <v>0</v>
      </c>
      <c r="BG720">
        <v>0</v>
      </c>
      <c r="BI720">
        <v>1</v>
      </c>
      <c r="BJ720">
        <v>1</v>
      </c>
      <c r="BK720">
        <v>1</v>
      </c>
      <c r="BL720">
        <v>0</v>
      </c>
      <c r="BO720">
        <v>0</v>
      </c>
      <c r="BP720">
        <v>0</v>
      </c>
      <c r="BW720" t="str">
        <f>"19:15:35.863"</f>
        <v>19:15:35.863</v>
      </c>
      <c r="BX720" t="s">
        <v>119</v>
      </c>
      <c r="BY720" t="s">
        <v>120</v>
      </c>
      <c r="CJ720">
        <v>0</v>
      </c>
      <c r="CK720">
        <v>0</v>
      </c>
      <c r="CL720">
        <v>0</v>
      </c>
      <c r="CM720">
        <v>2</v>
      </c>
      <c r="CN720">
        <v>0</v>
      </c>
      <c r="CO720">
        <v>7</v>
      </c>
      <c r="CP720" t="s">
        <v>121</v>
      </c>
      <c r="CQ720">
        <v>579</v>
      </c>
      <c r="CR720">
        <v>0</v>
      </c>
      <c r="CW720">
        <v>1762036</v>
      </c>
      <c r="CY720">
        <v>0</v>
      </c>
      <c r="CZ720">
        <v>0</v>
      </c>
      <c r="DA720">
        <v>0</v>
      </c>
      <c r="DB720">
        <v>1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</row>
    <row r="721" spans="1:113" x14ac:dyDescent="0.3">
      <c r="A721" t="str">
        <f>"06/16/2022 19:15:37.066"</f>
        <v>06/16/2022 19:15:37.066</v>
      </c>
      <c r="C721" t="str">
        <f t="shared" si="36"/>
        <v>FFBF5BC0</v>
      </c>
      <c r="D721" t="s">
        <v>113</v>
      </c>
      <c r="E721">
        <v>8</v>
      </c>
      <c r="H721">
        <v>206</v>
      </c>
      <c r="I721" t="s">
        <v>114</v>
      </c>
      <c r="J721" t="s">
        <v>115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>"19:15:36.805"</f>
        <v>19:15:36.805</v>
      </c>
      <c r="T721" t="str">
        <f>"19:15:36.805"</f>
        <v>19:15:36.805</v>
      </c>
      <c r="U721" t="str">
        <f t="shared" si="34"/>
        <v>AB63B2</v>
      </c>
      <c r="V721">
        <v>0</v>
      </c>
      <c r="W721">
        <v>0</v>
      </c>
      <c r="X721">
        <v>6</v>
      </c>
      <c r="Z721">
        <v>0</v>
      </c>
      <c r="AA721">
        <v>9</v>
      </c>
      <c r="AB721">
        <v>3</v>
      </c>
      <c r="AC721">
        <v>0</v>
      </c>
      <c r="AD721">
        <v>10</v>
      </c>
      <c r="AE721">
        <v>0</v>
      </c>
      <c r="AF721">
        <v>0</v>
      </c>
      <c r="AG721">
        <v>2</v>
      </c>
      <c r="AH721">
        <v>0</v>
      </c>
      <c r="AI721" t="s">
        <v>567</v>
      </c>
      <c r="AJ721">
        <v>41.970820000000003</v>
      </c>
      <c r="AK721" t="s">
        <v>690</v>
      </c>
      <c r="AL721">
        <v>-87.894358999999994</v>
      </c>
      <c r="AS721">
        <v>1</v>
      </c>
      <c r="AT721" t="s">
        <v>118</v>
      </c>
      <c r="AU721" t="b">
        <v>1</v>
      </c>
      <c r="AV721">
        <v>357.19</v>
      </c>
      <c r="AW721">
        <v>4.625</v>
      </c>
      <c r="AX721">
        <v>1</v>
      </c>
      <c r="AZ721">
        <v>7205</v>
      </c>
      <c r="BA721">
        <v>1</v>
      </c>
      <c r="BB721" t="str">
        <f t="shared" si="35"/>
        <v xml:space="preserve">KAP400  </v>
      </c>
      <c r="BC721">
        <v>1</v>
      </c>
      <c r="BE721">
        <v>0</v>
      </c>
      <c r="BF721">
        <v>0</v>
      </c>
      <c r="BG721">
        <v>0</v>
      </c>
      <c r="BI721">
        <v>1</v>
      </c>
      <c r="BJ721">
        <v>1</v>
      </c>
      <c r="BK721">
        <v>1</v>
      </c>
      <c r="BL721">
        <v>0</v>
      </c>
      <c r="BO721">
        <v>0</v>
      </c>
      <c r="BP721">
        <v>0</v>
      </c>
      <c r="BW721" t="str">
        <f>"19:15:36.805"</f>
        <v>19:15:36.805</v>
      </c>
      <c r="BX721" t="s">
        <v>119</v>
      </c>
      <c r="BY721" t="s">
        <v>120</v>
      </c>
      <c r="CJ721">
        <v>0</v>
      </c>
      <c r="CK721">
        <v>0</v>
      </c>
      <c r="CL721">
        <v>0</v>
      </c>
      <c r="CM721">
        <v>2</v>
      </c>
      <c r="CN721">
        <v>0</v>
      </c>
      <c r="CO721">
        <v>7</v>
      </c>
      <c r="CP721" t="s">
        <v>121</v>
      </c>
      <c r="CQ721">
        <v>579</v>
      </c>
      <c r="CR721">
        <v>0</v>
      </c>
      <c r="CW721">
        <v>1763859</v>
      </c>
      <c r="CY721">
        <v>0</v>
      </c>
      <c r="CZ721">
        <v>0</v>
      </c>
      <c r="DA721">
        <v>0</v>
      </c>
      <c r="DB721">
        <v>1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</row>
    <row r="722" spans="1:113" x14ac:dyDescent="0.3">
      <c r="A722" t="str">
        <f>"06/16/2022 19:15:38.191"</f>
        <v>06/16/2022 19:15:38.191</v>
      </c>
      <c r="C722" t="str">
        <f t="shared" si="36"/>
        <v>FFBF5BC0</v>
      </c>
      <c r="D722" t="s">
        <v>113</v>
      </c>
      <c r="E722">
        <v>8</v>
      </c>
      <c r="H722">
        <v>206</v>
      </c>
      <c r="I722" t="s">
        <v>114</v>
      </c>
      <c r="J722" t="s">
        <v>115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>"19:15:37.883"</f>
        <v>19:15:37.883</v>
      </c>
      <c r="T722" t="str">
        <f>"19:15:37.883"</f>
        <v>19:15:37.883</v>
      </c>
      <c r="U722" t="str">
        <f t="shared" si="34"/>
        <v>AB63B2</v>
      </c>
      <c r="V722">
        <v>0</v>
      </c>
      <c r="W722">
        <v>0</v>
      </c>
      <c r="X722">
        <v>6</v>
      </c>
      <c r="Z722">
        <v>0</v>
      </c>
      <c r="AA722">
        <v>9</v>
      </c>
      <c r="AB722">
        <v>3</v>
      </c>
      <c r="AC722">
        <v>0</v>
      </c>
      <c r="AD722">
        <v>10</v>
      </c>
      <c r="AE722">
        <v>0</v>
      </c>
      <c r="AF722">
        <v>0</v>
      </c>
      <c r="AG722">
        <v>2</v>
      </c>
      <c r="AH722">
        <v>0</v>
      </c>
      <c r="AI722" t="s">
        <v>703</v>
      </c>
      <c r="AJ722">
        <v>41.970841999999998</v>
      </c>
      <c r="AK722" t="s">
        <v>342</v>
      </c>
      <c r="AL722">
        <v>-87.894379999999998</v>
      </c>
      <c r="AS722">
        <v>1</v>
      </c>
      <c r="AT722" t="s">
        <v>118</v>
      </c>
      <c r="AU722" t="b">
        <v>1</v>
      </c>
      <c r="AV722">
        <v>357.19</v>
      </c>
      <c r="AW722">
        <v>4.625</v>
      </c>
      <c r="AX722">
        <v>1</v>
      </c>
      <c r="AZ722">
        <v>7205</v>
      </c>
      <c r="BA722">
        <v>1</v>
      </c>
      <c r="BB722" t="str">
        <f t="shared" si="35"/>
        <v xml:space="preserve">KAP400  </v>
      </c>
      <c r="BC722">
        <v>1</v>
      </c>
      <c r="BE722">
        <v>0</v>
      </c>
      <c r="BF722">
        <v>0</v>
      </c>
      <c r="BG722">
        <v>0</v>
      </c>
      <c r="BI722">
        <v>1</v>
      </c>
      <c r="BJ722">
        <v>1</v>
      </c>
      <c r="BK722">
        <v>1</v>
      </c>
      <c r="BL722">
        <v>0</v>
      </c>
      <c r="BO722">
        <v>0</v>
      </c>
      <c r="BP722">
        <v>0</v>
      </c>
      <c r="BW722" t="str">
        <f>"19:15:37.888"</f>
        <v>19:15:37.888</v>
      </c>
      <c r="BX722" t="s">
        <v>119</v>
      </c>
      <c r="BY722" t="s">
        <v>120</v>
      </c>
      <c r="CJ722">
        <v>0</v>
      </c>
      <c r="CK722">
        <v>0</v>
      </c>
      <c r="CL722">
        <v>0</v>
      </c>
      <c r="CM722">
        <v>2</v>
      </c>
      <c r="CN722">
        <v>0</v>
      </c>
      <c r="CO722">
        <v>7</v>
      </c>
      <c r="CP722" t="s">
        <v>121</v>
      </c>
      <c r="CQ722">
        <v>580</v>
      </c>
      <c r="CR722">
        <v>0</v>
      </c>
      <c r="CW722">
        <v>646224</v>
      </c>
      <c r="CY722">
        <v>0</v>
      </c>
      <c r="CZ722">
        <v>0</v>
      </c>
      <c r="DA722">
        <v>0</v>
      </c>
      <c r="DB722">
        <v>1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</row>
    <row r="723" spans="1:113" x14ac:dyDescent="0.3">
      <c r="A723" t="str">
        <f>"06/16/2022 19:15:38.909"</f>
        <v>06/16/2022 19:15:38.909</v>
      </c>
      <c r="C723" t="str">
        <f t="shared" si="36"/>
        <v>FFBF5BC0</v>
      </c>
      <c r="D723" t="s">
        <v>113</v>
      </c>
      <c r="E723">
        <v>8</v>
      </c>
      <c r="H723">
        <v>206</v>
      </c>
      <c r="I723" t="s">
        <v>114</v>
      </c>
      <c r="J723" t="s">
        <v>115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>"19:15:38.703"</f>
        <v>19:15:38.703</v>
      </c>
      <c r="T723" t="str">
        <f>"19:15:38.703"</f>
        <v>19:15:38.703</v>
      </c>
      <c r="U723" t="str">
        <f t="shared" si="34"/>
        <v>AB63B2</v>
      </c>
      <c r="V723">
        <v>0</v>
      </c>
      <c r="W723">
        <v>0</v>
      </c>
      <c r="X723">
        <v>6</v>
      </c>
      <c r="Z723">
        <v>0</v>
      </c>
      <c r="AA723">
        <v>9</v>
      </c>
      <c r="AB723">
        <v>3</v>
      </c>
      <c r="AC723">
        <v>0</v>
      </c>
      <c r="AD723">
        <v>10</v>
      </c>
      <c r="AE723">
        <v>0</v>
      </c>
      <c r="AF723">
        <v>0</v>
      </c>
      <c r="AG723">
        <v>2</v>
      </c>
      <c r="AH723">
        <v>0</v>
      </c>
      <c r="AI723" t="s">
        <v>566</v>
      </c>
      <c r="AJ723">
        <v>41.970863000000001</v>
      </c>
      <c r="AK723" t="s">
        <v>342</v>
      </c>
      <c r="AL723">
        <v>-87.894379999999998</v>
      </c>
      <c r="AS723">
        <v>1</v>
      </c>
      <c r="AT723" t="s">
        <v>118</v>
      </c>
      <c r="AU723" t="b">
        <v>1</v>
      </c>
      <c r="AV723">
        <v>357.19</v>
      </c>
      <c r="AW723">
        <v>4.625</v>
      </c>
      <c r="AX723">
        <v>1</v>
      </c>
      <c r="AZ723">
        <v>7205</v>
      </c>
      <c r="BA723">
        <v>1</v>
      </c>
      <c r="BB723" t="str">
        <f t="shared" si="35"/>
        <v xml:space="preserve">KAP400  </v>
      </c>
      <c r="BC723">
        <v>1</v>
      </c>
      <c r="BE723">
        <v>0</v>
      </c>
      <c r="BF723">
        <v>0</v>
      </c>
      <c r="BG723">
        <v>0</v>
      </c>
      <c r="BI723">
        <v>1</v>
      </c>
      <c r="BJ723">
        <v>1</v>
      </c>
      <c r="BK723">
        <v>1</v>
      </c>
      <c r="BL723">
        <v>0</v>
      </c>
      <c r="BO723">
        <v>0</v>
      </c>
      <c r="BP723">
        <v>0</v>
      </c>
      <c r="BW723" t="str">
        <f>"19:15:38.709"</f>
        <v>19:15:38.709</v>
      </c>
      <c r="BX723" t="s">
        <v>119</v>
      </c>
      <c r="BY723" t="s">
        <v>120</v>
      </c>
      <c r="CJ723">
        <v>0</v>
      </c>
      <c r="CK723">
        <v>0</v>
      </c>
      <c r="CL723">
        <v>0</v>
      </c>
      <c r="CM723">
        <v>2</v>
      </c>
      <c r="CN723">
        <v>0</v>
      </c>
      <c r="CO723">
        <v>7</v>
      </c>
      <c r="CP723" t="s">
        <v>121</v>
      </c>
      <c r="CQ723">
        <v>579</v>
      </c>
      <c r="CR723">
        <v>0</v>
      </c>
      <c r="CW723">
        <v>1767618</v>
      </c>
      <c r="CY723">
        <v>0</v>
      </c>
      <c r="CZ723">
        <v>0</v>
      </c>
      <c r="DA723">
        <v>0</v>
      </c>
      <c r="DB723">
        <v>1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</row>
    <row r="724" spans="1:113" x14ac:dyDescent="0.3">
      <c r="A724" t="str">
        <f>"06/16/2022 19:15:39.909"</f>
        <v>06/16/2022 19:15:39.909</v>
      </c>
      <c r="C724" t="str">
        <f t="shared" si="36"/>
        <v>FFBF5BC0</v>
      </c>
      <c r="D724" t="s">
        <v>113</v>
      </c>
      <c r="E724">
        <v>8</v>
      </c>
      <c r="H724">
        <v>206</v>
      </c>
      <c r="I724" t="s">
        <v>114</v>
      </c>
      <c r="J724" t="s">
        <v>115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>"19:15:39.625"</f>
        <v>19:15:39.625</v>
      </c>
      <c r="T724" t="str">
        <f>"19:15:39.625"</f>
        <v>19:15:39.625</v>
      </c>
      <c r="U724" t="str">
        <f t="shared" si="34"/>
        <v>AB63B2</v>
      </c>
      <c r="V724">
        <v>0</v>
      </c>
      <c r="W724">
        <v>0</v>
      </c>
      <c r="X724">
        <v>6</v>
      </c>
      <c r="Z724">
        <v>0</v>
      </c>
      <c r="AA724">
        <v>9</v>
      </c>
      <c r="AB724">
        <v>3</v>
      </c>
      <c r="AC724">
        <v>0</v>
      </c>
      <c r="AD724">
        <v>10</v>
      </c>
      <c r="AE724">
        <v>0</v>
      </c>
      <c r="AF724">
        <v>0</v>
      </c>
      <c r="AG724">
        <v>2</v>
      </c>
      <c r="AH724">
        <v>0</v>
      </c>
      <c r="AI724" t="s">
        <v>704</v>
      </c>
      <c r="AJ724">
        <v>41.970885000000003</v>
      </c>
      <c r="AK724" t="s">
        <v>690</v>
      </c>
      <c r="AL724">
        <v>-87.894358999999994</v>
      </c>
      <c r="AS724">
        <v>1</v>
      </c>
      <c r="AT724" t="s">
        <v>118</v>
      </c>
      <c r="AU724" t="b">
        <v>1</v>
      </c>
      <c r="AV724">
        <v>357.19</v>
      </c>
      <c r="AW724">
        <v>5.125</v>
      </c>
      <c r="AX724">
        <v>1</v>
      </c>
      <c r="AZ724">
        <v>7205</v>
      </c>
      <c r="BA724">
        <v>1</v>
      </c>
      <c r="BB724" t="str">
        <f t="shared" si="35"/>
        <v xml:space="preserve">KAP400  </v>
      </c>
      <c r="BC724">
        <v>1</v>
      </c>
      <c r="BE724">
        <v>0</v>
      </c>
      <c r="BF724">
        <v>0</v>
      </c>
      <c r="BG724">
        <v>0</v>
      </c>
      <c r="BI724">
        <v>1</v>
      </c>
      <c r="BJ724">
        <v>1</v>
      </c>
      <c r="BK724">
        <v>1</v>
      </c>
      <c r="BL724">
        <v>0</v>
      </c>
      <c r="BO724">
        <v>0</v>
      </c>
      <c r="BP724">
        <v>0</v>
      </c>
      <c r="BW724" t="str">
        <f>"19:15:39.632"</f>
        <v>19:15:39.632</v>
      </c>
      <c r="BX724" t="s">
        <v>119</v>
      </c>
      <c r="BY724" t="s">
        <v>120</v>
      </c>
      <c r="CJ724">
        <v>0</v>
      </c>
      <c r="CK724">
        <v>0</v>
      </c>
      <c r="CL724">
        <v>0</v>
      </c>
      <c r="CM724">
        <v>2</v>
      </c>
      <c r="CN724">
        <v>0</v>
      </c>
      <c r="CO724">
        <v>7</v>
      </c>
      <c r="CP724" t="s">
        <v>121</v>
      </c>
      <c r="CQ724">
        <v>579</v>
      </c>
      <c r="CR724">
        <v>0</v>
      </c>
      <c r="CW724">
        <v>1769403</v>
      </c>
      <c r="CY724">
        <v>0</v>
      </c>
      <c r="CZ724">
        <v>0</v>
      </c>
      <c r="DA724">
        <v>0</v>
      </c>
      <c r="DB724">
        <v>1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</row>
    <row r="725" spans="1:113" x14ac:dyDescent="0.3">
      <c r="A725" t="str">
        <f>"06/16/2022 19:15:40.863"</f>
        <v>06/16/2022 19:15:40.863</v>
      </c>
      <c r="C725" t="str">
        <f t="shared" si="36"/>
        <v>FFBF5BC0</v>
      </c>
      <c r="D725" t="s">
        <v>113</v>
      </c>
      <c r="E725">
        <v>8</v>
      </c>
      <c r="H725">
        <v>206</v>
      </c>
      <c r="I725" t="s">
        <v>114</v>
      </c>
      <c r="J725" t="s">
        <v>115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>"19:15:40.656"</f>
        <v>19:15:40.656</v>
      </c>
      <c r="T725" t="str">
        <f>"19:15:40.656"</f>
        <v>19:15:40.656</v>
      </c>
      <c r="U725" t="str">
        <f t="shared" si="34"/>
        <v>AB63B2</v>
      </c>
      <c r="V725">
        <v>0</v>
      </c>
      <c r="W725">
        <v>0</v>
      </c>
      <c r="X725">
        <v>6</v>
      </c>
      <c r="Z725">
        <v>0</v>
      </c>
      <c r="AA725">
        <v>9</v>
      </c>
      <c r="AB725">
        <v>3</v>
      </c>
      <c r="AC725">
        <v>0</v>
      </c>
      <c r="AD725">
        <v>10</v>
      </c>
      <c r="AE725">
        <v>0</v>
      </c>
      <c r="AF725">
        <v>0</v>
      </c>
      <c r="AG725">
        <v>2</v>
      </c>
      <c r="AH725">
        <v>0</v>
      </c>
      <c r="AI725" t="s">
        <v>565</v>
      </c>
      <c r="AJ725">
        <v>41.970905999999999</v>
      </c>
      <c r="AK725" t="s">
        <v>342</v>
      </c>
      <c r="AL725">
        <v>-87.894379999999998</v>
      </c>
      <c r="AS725">
        <v>1</v>
      </c>
      <c r="AT725" t="s">
        <v>118</v>
      </c>
      <c r="AU725" t="b">
        <v>1</v>
      </c>
      <c r="AV725">
        <v>357.19</v>
      </c>
      <c r="AW725">
        <v>5.125</v>
      </c>
      <c r="AX725">
        <v>1</v>
      </c>
      <c r="AZ725">
        <v>7205</v>
      </c>
      <c r="BA725">
        <v>1</v>
      </c>
      <c r="BB725" t="str">
        <f t="shared" si="35"/>
        <v xml:space="preserve">KAP400  </v>
      </c>
      <c r="BC725">
        <v>1</v>
      </c>
      <c r="BE725">
        <v>0</v>
      </c>
      <c r="BF725">
        <v>0</v>
      </c>
      <c r="BG725">
        <v>0</v>
      </c>
      <c r="BI725">
        <v>1</v>
      </c>
      <c r="BJ725">
        <v>1</v>
      </c>
      <c r="BK725">
        <v>1</v>
      </c>
      <c r="BL725">
        <v>0</v>
      </c>
      <c r="BO725">
        <v>0</v>
      </c>
      <c r="BP725">
        <v>0</v>
      </c>
      <c r="BW725" t="str">
        <f>"19:15:40.661"</f>
        <v>19:15:40.661</v>
      </c>
      <c r="BX725" t="s">
        <v>119</v>
      </c>
      <c r="BY725" t="s">
        <v>120</v>
      </c>
      <c r="CJ725">
        <v>0</v>
      </c>
      <c r="CK725">
        <v>0</v>
      </c>
      <c r="CL725">
        <v>0</v>
      </c>
      <c r="CM725">
        <v>2</v>
      </c>
      <c r="CN725">
        <v>0</v>
      </c>
      <c r="CO725">
        <v>7</v>
      </c>
      <c r="CP725" t="s">
        <v>121</v>
      </c>
      <c r="CQ725">
        <v>579</v>
      </c>
      <c r="CR725">
        <v>0</v>
      </c>
      <c r="CW725">
        <v>1771410</v>
      </c>
      <c r="CY725">
        <v>0</v>
      </c>
      <c r="CZ725">
        <v>0</v>
      </c>
      <c r="DA725">
        <v>0</v>
      </c>
      <c r="DB725">
        <v>1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</row>
    <row r="726" spans="1:113" x14ac:dyDescent="0.3">
      <c r="A726" t="str">
        <f>"06/16/2022 19:15:41.971"</f>
        <v>06/16/2022 19:15:41.971</v>
      </c>
      <c r="C726" t="str">
        <f t="shared" si="36"/>
        <v>FFBF5BC0</v>
      </c>
      <c r="D726" t="s">
        <v>113</v>
      </c>
      <c r="E726">
        <v>8</v>
      </c>
      <c r="H726">
        <v>206</v>
      </c>
      <c r="I726" t="s">
        <v>114</v>
      </c>
      <c r="J726" t="s">
        <v>115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>"19:15:41.734"</f>
        <v>19:15:41.734</v>
      </c>
      <c r="T726" t="str">
        <f>"19:15:41.734"</f>
        <v>19:15:41.734</v>
      </c>
      <c r="U726" t="str">
        <f t="shared" si="34"/>
        <v>AB63B2</v>
      </c>
      <c r="V726">
        <v>0</v>
      </c>
      <c r="W726">
        <v>0</v>
      </c>
      <c r="X726">
        <v>6</v>
      </c>
      <c r="Z726">
        <v>0</v>
      </c>
      <c r="AA726">
        <v>9</v>
      </c>
      <c r="AB726">
        <v>3</v>
      </c>
      <c r="AC726">
        <v>0</v>
      </c>
      <c r="AD726">
        <v>10</v>
      </c>
      <c r="AE726">
        <v>0</v>
      </c>
      <c r="AF726">
        <v>0</v>
      </c>
      <c r="AG726">
        <v>2</v>
      </c>
      <c r="AH726">
        <v>0</v>
      </c>
      <c r="AI726" t="s">
        <v>705</v>
      </c>
      <c r="AJ726">
        <v>41.970928000000001</v>
      </c>
      <c r="AK726" t="s">
        <v>342</v>
      </c>
      <c r="AL726">
        <v>-87.894379999999998</v>
      </c>
      <c r="AS726">
        <v>1</v>
      </c>
      <c r="AT726" t="s">
        <v>118</v>
      </c>
      <c r="AU726" t="b">
        <v>1</v>
      </c>
      <c r="AV726">
        <v>0</v>
      </c>
      <c r="AW726">
        <v>5.125</v>
      </c>
      <c r="AX726">
        <v>1</v>
      </c>
      <c r="AZ726">
        <v>7205</v>
      </c>
      <c r="BA726">
        <v>1</v>
      </c>
      <c r="BB726" t="str">
        <f t="shared" si="35"/>
        <v xml:space="preserve">KAP400  </v>
      </c>
      <c r="BC726">
        <v>1</v>
      </c>
      <c r="BE726">
        <v>0</v>
      </c>
      <c r="BF726">
        <v>0</v>
      </c>
      <c r="BG726">
        <v>0</v>
      </c>
      <c r="BI726">
        <v>1</v>
      </c>
      <c r="BJ726">
        <v>1</v>
      </c>
      <c r="BK726">
        <v>1</v>
      </c>
      <c r="BL726">
        <v>0</v>
      </c>
      <c r="BO726">
        <v>0</v>
      </c>
      <c r="BP726">
        <v>0</v>
      </c>
      <c r="BW726" t="str">
        <f>"19:15:41.742"</f>
        <v>19:15:41.742</v>
      </c>
      <c r="BX726" t="s">
        <v>119</v>
      </c>
      <c r="BY726" t="s">
        <v>120</v>
      </c>
      <c r="CJ726">
        <v>0</v>
      </c>
      <c r="CK726">
        <v>0</v>
      </c>
      <c r="CL726">
        <v>0</v>
      </c>
      <c r="CM726">
        <v>2</v>
      </c>
      <c r="CN726">
        <v>0</v>
      </c>
      <c r="CO726">
        <v>7</v>
      </c>
      <c r="CP726" t="s">
        <v>121</v>
      </c>
      <c r="CQ726">
        <v>580</v>
      </c>
      <c r="CR726">
        <v>0</v>
      </c>
      <c r="CW726">
        <v>653294</v>
      </c>
      <c r="CY726">
        <v>0</v>
      </c>
      <c r="CZ726">
        <v>0</v>
      </c>
      <c r="DA726">
        <v>0</v>
      </c>
      <c r="DB726">
        <v>1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</row>
    <row r="727" spans="1:113" x14ac:dyDescent="0.3">
      <c r="A727" t="str">
        <f>"06/16/2022 19:15:43.118"</f>
        <v>06/16/2022 19:15:43.118</v>
      </c>
      <c r="C727" t="str">
        <f t="shared" si="36"/>
        <v>FFBF5BC0</v>
      </c>
      <c r="D727" t="s">
        <v>113</v>
      </c>
      <c r="E727">
        <v>8</v>
      </c>
      <c r="H727">
        <v>206</v>
      </c>
      <c r="I727" t="s">
        <v>114</v>
      </c>
      <c r="J727" t="s">
        <v>115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>"19:15:42.719"</f>
        <v>19:15:42.719</v>
      </c>
      <c r="T727" t="str">
        <f>"19:15:42.719"</f>
        <v>19:15:42.719</v>
      </c>
      <c r="U727" t="str">
        <f t="shared" si="34"/>
        <v>AB63B2</v>
      </c>
      <c r="V727">
        <v>0</v>
      </c>
      <c r="W727">
        <v>0</v>
      </c>
      <c r="X727">
        <v>6</v>
      </c>
      <c r="Z727">
        <v>0</v>
      </c>
      <c r="AA727">
        <v>9</v>
      </c>
      <c r="AB727">
        <v>3</v>
      </c>
      <c r="AC727">
        <v>0</v>
      </c>
      <c r="AD727">
        <v>10</v>
      </c>
      <c r="AE727">
        <v>0</v>
      </c>
      <c r="AF727">
        <v>0</v>
      </c>
      <c r="AG727">
        <v>2</v>
      </c>
      <c r="AH727">
        <v>0</v>
      </c>
      <c r="AI727" t="s">
        <v>564</v>
      </c>
      <c r="AJ727">
        <v>41.970948999999997</v>
      </c>
      <c r="AK727" t="s">
        <v>342</v>
      </c>
      <c r="AL727">
        <v>-87.894379999999998</v>
      </c>
      <c r="AS727">
        <v>1</v>
      </c>
      <c r="AT727" t="s">
        <v>118</v>
      </c>
      <c r="AU727" t="b">
        <v>1</v>
      </c>
      <c r="AV727">
        <v>0</v>
      </c>
      <c r="AW727">
        <v>5.125</v>
      </c>
      <c r="AX727">
        <v>1</v>
      </c>
      <c r="AZ727">
        <v>7205</v>
      </c>
      <c r="BA727">
        <v>1</v>
      </c>
      <c r="BB727" t="str">
        <f t="shared" si="35"/>
        <v xml:space="preserve">KAP400  </v>
      </c>
      <c r="BC727">
        <v>1</v>
      </c>
      <c r="BE727">
        <v>0</v>
      </c>
      <c r="BF727">
        <v>0</v>
      </c>
      <c r="BG727">
        <v>0</v>
      </c>
      <c r="BI727">
        <v>1</v>
      </c>
      <c r="BJ727">
        <v>1</v>
      </c>
      <c r="BK727">
        <v>1</v>
      </c>
      <c r="BL727">
        <v>0</v>
      </c>
      <c r="BO727">
        <v>0</v>
      </c>
      <c r="BP727">
        <v>0</v>
      </c>
      <c r="BW727" t="str">
        <f>"19:15:42.720"</f>
        <v>19:15:42.720</v>
      </c>
      <c r="BX727" t="s">
        <v>119</v>
      </c>
      <c r="BY727" t="s">
        <v>120</v>
      </c>
      <c r="CJ727">
        <v>0</v>
      </c>
      <c r="CK727">
        <v>0</v>
      </c>
      <c r="CL727">
        <v>0</v>
      </c>
      <c r="CM727">
        <v>2</v>
      </c>
      <c r="CN727">
        <v>0</v>
      </c>
      <c r="CO727">
        <v>7</v>
      </c>
      <c r="CP727" t="s">
        <v>121</v>
      </c>
      <c r="CQ727">
        <v>580</v>
      </c>
      <c r="CR727">
        <v>0</v>
      </c>
      <c r="CW727">
        <v>655042</v>
      </c>
      <c r="CY727">
        <v>0</v>
      </c>
      <c r="CZ727">
        <v>0</v>
      </c>
      <c r="DA727">
        <v>0</v>
      </c>
      <c r="DB727">
        <v>1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</row>
    <row r="728" spans="1:113" x14ac:dyDescent="0.3">
      <c r="A728" t="str">
        <f>"06/16/2022 19:15:44.024"</f>
        <v>06/16/2022 19:15:44.024</v>
      </c>
      <c r="C728" t="str">
        <f t="shared" si="36"/>
        <v>FFBF5BC0</v>
      </c>
      <c r="D728" t="s">
        <v>113</v>
      </c>
      <c r="E728">
        <v>8</v>
      </c>
      <c r="H728">
        <v>206</v>
      </c>
      <c r="I728" t="s">
        <v>114</v>
      </c>
      <c r="J728" t="s">
        <v>115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>"19:15:43.820"</f>
        <v>19:15:43.820</v>
      </c>
      <c r="T728" t="str">
        <f>"19:15:43.820"</f>
        <v>19:15:43.820</v>
      </c>
      <c r="U728" t="str">
        <f t="shared" si="34"/>
        <v>AB63B2</v>
      </c>
      <c r="V728">
        <v>0</v>
      </c>
      <c r="W728">
        <v>0</v>
      </c>
      <c r="X728">
        <v>6</v>
      </c>
      <c r="Z728">
        <v>0</v>
      </c>
      <c r="AA728">
        <v>9</v>
      </c>
      <c r="AB728">
        <v>3</v>
      </c>
      <c r="AC728">
        <v>0</v>
      </c>
      <c r="AD728">
        <v>10</v>
      </c>
      <c r="AE728">
        <v>0</v>
      </c>
      <c r="AF728">
        <v>0</v>
      </c>
      <c r="AG728">
        <v>2</v>
      </c>
      <c r="AH728">
        <v>0</v>
      </c>
      <c r="AI728" t="s">
        <v>706</v>
      </c>
      <c r="AJ728">
        <v>41.970970999999999</v>
      </c>
      <c r="AK728" t="s">
        <v>342</v>
      </c>
      <c r="AL728">
        <v>-87.894379999999998</v>
      </c>
      <c r="AS728">
        <v>1</v>
      </c>
      <c r="AT728" t="s">
        <v>118</v>
      </c>
      <c r="AU728" t="b">
        <v>1</v>
      </c>
      <c r="AV728">
        <v>2.81</v>
      </c>
      <c r="AW728">
        <v>5.125</v>
      </c>
      <c r="AX728">
        <v>1</v>
      </c>
      <c r="AZ728">
        <v>7205</v>
      </c>
      <c r="BA728">
        <v>1</v>
      </c>
      <c r="BB728" t="str">
        <f t="shared" si="35"/>
        <v xml:space="preserve">KAP400  </v>
      </c>
      <c r="BC728">
        <v>1</v>
      </c>
      <c r="BE728">
        <v>0</v>
      </c>
      <c r="BF728">
        <v>0</v>
      </c>
      <c r="BG728">
        <v>0</v>
      </c>
      <c r="BI728">
        <v>1</v>
      </c>
      <c r="BJ728">
        <v>1</v>
      </c>
      <c r="BK728">
        <v>1</v>
      </c>
      <c r="BL728">
        <v>0</v>
      </c>
      <c r="BO728">
        <v>0</v>
      </c>
      <c r="BP728">
        <v>0</v>
      </c>
      <c r="BW728" t="str">
        <f>"19:15:43.828"</f>
        <v>19:15:43.828</v>
      </c>
      <c r="BX728" t="s">
        <v>119</v>
      </c>
      <c r="BY728" t="s">
        <v>120</v>
      </c>
      <c r="CJ728">
        <v>0</v>
      </c>
      <c r="CK728">
        <v>0</v>
      </c>
      <c r="CL728">
        <v>0</v>
      </c>
      <c r="CM728">
        <v>2</v>
      </c>
      <c r="CN728">
        <v>0</v>
      </c>
      <c r="CO728">
        <v>7</v>
      </c>
      <c r="CP728" t="s">
        <v>121</v>
      </c>
      <c r="CQ728">
        <v>579</v>
      </c>
      <c r="CR728">
        <v>0</v>
      </c>
      <c r="CW728">
        <v>1777336</v>
      </c>
      <c r="CY728">
        <v>0</v>
      </c>
      <c r="CZ728">
        <v>0</v>
      </c>
      <c r="DA728">
        <v>0</v>
      </c>
      <c r="DB728">
        <v>1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</row>
    <row r="729" spans="1:113" x14ac:dyDescent="0.3">
      <c r="A729" t="str">
        <f>"06/16/2022 19:15:45.009"</f>
        <v>06/16/2022 19:15:45.009</v>
      </c>
      <c r="C729" t="str">
        <f t="shared" si="36"/>
        <v>FFBF5BC0</v>
      </c>
      <c r="D729" t="s">
        <v>113</v>
      </c>
      <c r="E729">
        <v>8</v>
      </c>
      <c r="H729">
        <v>206</v>
      </c>
      <c r="I729" t="s">
        <v>114</v>
      </c>
      <c r="J729" t="s">
        <v>115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>"19:15:44.727"</f>
        <v>19:15:44.727</v>
      </c>
      <c r="T729" t="str">
        <f>"19:15:44.727"</f>
        <v>19:15:44.727</v>
      </c>
      <c r="U729" t="str">
        <f t="shared" si="34"/>
        <v>AB63B2</v>
      </c>
      <c r="V729">
        <v>0</v>
      </c>
      <c r="W729">
        <v>0</v>
      </c>
      <c r="X729">
        <v>6</v>
      </c>
      <c r="Z729">
        <v>0</v>
      </c>
      <c r="AA729">
        <v>9</v>
      </c>
      <c r="AB729">
        <v>3</v>
      </c>
      <c r="AC729">
        <v>0</v>
      </c>
      <c r="AD729">
        <v>10</v>
      </c>
      <c r="AE729">
        <v>0</v>
      </c>
      <c r="AF729">
        <v>0</v>
      </c>
      <c r="AG729">
        <v>2</v>
      </c>
      <c r="AH729">
        <v>0</v>
      </c>
      <c r="AI729" t="s">
        <v>563</v>
      </c>
      <c r="AJ729">
        <v>41.970992000000003</v>
      </c>
      <c r="AK729" t="s">
        <v>342</v>
      </c>
      <c r="AL729">
        <v>-87.894379999999998</v>
      </c>
      <c r="AS729">
        <v>1</v>
      </c>
      <c r="AT729" t="s">
        <v>118</v>
      </c>
      <c r="AU729" t="b">
        <v>1</v>
      </c>
      <c r="AV729">
        <v>2.81</v>
      </c>
      <c r="AW729">
        <v>4.625</v>
      </c>
      <c r="AX729">
        <v>1</v>
      </c>
      <c r="AZ729">
        <v>7205</v>
      </c>
      <c r="BA729">
        <v>1</v>
      </c>
      <c r="BB729" t="str">
        <f t="shared" si="35"/>
        <v xml:space="preserve">KAP400  </v>
      </c>
      <c r="BC729">
        <v>1</v>
      </c>
      <c r="BE729">
        <v>0</v>
      </c>
      <c r="BF729">
        <v>0</v>
      </c>
      <c r="BG729">
        <v>0</v>
      </c>
      <c r="BI729">
        <v>1</v>
      </c>
      <c r="BJ729">
        <v>1</v>
      </c>
      <c r="BK729">
        <v>1</v>
      </c>
      <c r="BL729">
        <v>0</v>
      </c>
      <c r="BO729">
        <v>0</v>
      </c>
      <c r="BP729">
        <v>0</v>
      </c>
      <c r="BW729" t="str">
        <f>"19:15:44.729"</f>
        <v>19:15:44.729</v>
      </c>
      <c r="BX729" t="s">
        <v>119</v>
      </c>
      <c r="BY729" t="s">
        <v>120</v>
      </c>
      <c r="CJ729">
        <v>0</v>
      </c>
      <c r="CK729">
        <v>0</v>
      </c>
      <c r="CL729">
        <v>0</v>
      </c>
      <c r="CM729">
        <v>2</v>
      </c>
      <c r="CN729">
        <v>0</v>
      </c>
      <c r="CO729">
        <v>7</v>
      </c>
      <c r="CP729" t="s">
        <v>121</v>
      </c>
      <c r="CQ729">
        <v>579</v>
      </c>
      <c r="CR729">
        <v>0</v>
      </c>
      <c r="CW729">
        <v>1779128</v>
      </c>
      <c r="CY729">
        <v>0</v>
      </c>
      <c r="CZ729">
        <v>0</v>
      </c>
      <c r="DA729">
        <v>0</v>
      </c>
      <c r="DB729">
        <v>1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</row>
    <row r="730" spans="1:113" x14ac:dyDescent="0.3">
      <c r="A730" t="str">
        <f>"06/16/2022 19:15:46.056"</f>
        <v>06/16/2022 19:15:46.056</v>
      </c>
      <c r="C730" t="str">
        <f t="shared" si="36"/>
        <v>FFBF5BC0</v>
      </c>
      <c r="D730" t="s">
        <v>113</v>
      </c>
      <c r="E730">
        <v>8</v>
      </c>
      <c r="H730">
        <v>206</v>
      </c>
      <c r="I730" t="s">
        <v>114</v>
      </c>
      <c r="J730" t="s">
        <v>115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>"19:15:45.727"</f>
        <v>19:15:45.727</v>
      </c>
      <c r="T730" t="str">
        <f>"19:15:45.727"</f>
        <v>19:15:45.727</v>
      </c>
      <c r="U730" t="str">
        <f t="shared" si="34"/>
        <v>AB63B2</v>
      </c>
      <c r="V730">
        <v>0</v>
      </c>
      <c r="W730">
        <v>0</v>
      </c>
      <c r="X730">
        <v>6</v>
      </c>
      <c r="Z730">
        <v>0</v>
      </c>
      <c r="AA730">
        <v>9</v>
      </c>
      <c r="AB730">
        <v>3</v>
      </c>
      <c r="AC730">
        <v>0</v>
      </c>
      <c r="AD730">
        <v>10</v>
      </c>
      <c r="AE730">
        <v>0</v>
      </c>
      <c r="AF730">
        <v>0</v>
      </c>
      <c r="AG730">
        <v>2</v>
      </c>
      <c r="AH730">
        <v>0</v>
      </c>
      <c r="AI730" t="s">
        <v>707</v>
      </c>
      <c r="AJ730">
        <v>41.971013999999997</v>
      </c>
      <c r="AK730" t="s">
        <v>342</v>
      </c>
      <c r="AL730">
        <v>-87.894379999999998</v>
      </c>
      <c r="AS730">
        <v>1</v>
      </c>
      <c r="AT730" t="s">
        <v>118</v>
      </c>
      <c r="AU730" t="b">
        <v>1</v>
      </c>
      <c r="AV730">
        <v>0</v>
      </c>
      <c r="AW730">
        <v>4.625</v>
      </c>
      <c r="AX730">
        <v>1</v>
      </c>
      <c r="AZ730">
        <v>7205</v>
      </c>
      <c r="BA730">
        <v>1</v>
      </c>
      <c r="BB730" t="str">
        <f t="shared" si="35"/>
        <v xml:space="preserve">KAP400  </v>
      </c>
      <c r="BC730">
        <v>1</v>
      </c>
      <c r="BE730">
        <v>0</v>
      </c>
      <c r="BF730">
        <v>0</v>
      </c>
      <c r="BG730">
        <v>0</v>
      </c>
      <c r="BI730">
        <v>1</v>
      </c>
      <c r="BJ730">
        <v>1</v>
      </c>
      <c r="BK730">
        <v>1</v>
      </c>
      <c r="BL730">
        <v>0</v>
      </c>
      <c r="BO730">
        <v>0</v>
      </c>
      <c r="BP730">
        <v>0</v>
      </c>
      <c r="BW730" t="str">
        <f>"19:15:45.728"</f>
        <v>19:15:45.728</v>
      </c>
      <c r="BX730" t="s">
        <v>119</v>
      </c>
      <c r="BY730" t="s">
        <v>120</v>
      </c>
      <c r="CJ730">
        <v>0</v>
      </c>
      <c r="CK730">
        <v>0</v>
      </c>
      <c r="CL730">
        <v>0</v>
      </c>
      <c r="CM730">
        <v>2</v>
      </c>
      <c r="CN730">
        <v>0</v>
      </c>
      <c r="CO730">
        <v>7</v>
      </c>
      <c r="CP730" t="s">
        <v>121</v>
      </c>
      <c r="CQ730">
        <v>579</v>
      </c>
      <c r="CR730">
        <v>0</v>
      </c>
      <c r="CW730">
        <v>1781112</v>
      </c>
      <c r="CY730">
        <v>0</v>
      </c>
      <c r="CZ730">
        <v>0</v>
      </c>
      <c r="DA730">
        <v>0</v>
      </c>
      <c r="DB730">
        <v>1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</row>
    <row r="731" spans="1:113" x14ac:dyDescent="0.3">
      <c r="A731" t="str">
        <f>"06/16/2022 19:15:47.081"</f>
        <v>06/16/2022 19:15:47.081</v>
      </c>
      <c r="C731" t="str">
        <f t="shared" si="36"/>
        <v>FFBF5BC0</v>
      </c>
      <c r="D731" t="s">
        <v>113</v>
      </c>
      <c r="E731">
        <v>8</v>
      </c>
      <c r="H731">
        <v>206</v>
      </c>
      <c r="I731" t="s">
        <v>114</v>
      </c>
      <c r="J731" t="s">
        <v>115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>"19:15:46.742"</f>
        <v>19:15:46.742</v>
      </c>
      <c r="T731" t="str">
        <f>"19:15:46.742"</f>
        <v>19:15:46.742</v>
      </c>
      <c r="U731" t="str">
        <f t="shared" si="34"/>
        <v>AB63B2</v>
      </c>
      <c r="V731">
        <v>0</v>
      </c>
      <c r="W731">
        <v>0</v>
      </c>
      <c r="X731">
        <v>6</v>
      </c>
      <c r="Z731">
        <v>0</v>
      </c>
      <c r="AA731">
        <v>9</v>
      </c>
      <c r="AB731">
        <v>3</v>
      </c>
      <c r="AC731">
        <v>0</v>
      </c>
      <c r="AD731">
        <v>10</v>
      </c>
      <c r="AE731">
        <v>0</v>
      </c>
      <c r="AF731">
        <v>0</v>
      </c>
      <c r="AG731">
        <v>2</v>
      </c>
      <c r="AH731">
        <v>0</v>
      </c>
      <c r="AI731" t="s">
        <v>562</v>
      </c>
      <c r="AJ731">
        <v>41.971035000000001</v>
      </c>
      <c r="AK731" t="s">
        <v>342</v>
      </c>
      <c r="AL731">
        <v>-87.894379999999998</v>
      </c>
      <c r="AS731">
        <v>1</v>
      </c>
      <c r="AT731" t="s">
        <v>118</v>
      </c>
      <c r="AU731" t="b">
        <v>1</v>
      </c>
      <c r="AV731">
        <v>0</v>
      </c>
      <c r="AW731">
        <v>4.625</v>
      </c>
      <c r="AX731">
        <v>1</v>
      </c>
      <c r="AZ731">
        <v>7205</v>
      </c>
      <c r="BA731">
        <v>1</v>
      </c>
      <c r="BB731" t="str">
        <f t="shared" si="35"/>
        <v xml:space="preserve">KAP400  </v>
      </c>
      <c r="BC731">
        <v>1</v>
      </c>
      <c r="BE731">
        <v>0</v>
      </c>
      <c r="BF731">
        <v>0</v>
      </c>
      <c r="BG731">
        <v>0</v>
      </c>
      <c r="BI731">
        <v>1</v>
      </c>
      <c r="BJ731">
        <v>1</v>
      </c>
      <c r="BK731">
        <v>1</v>
      </c>
      <c r="BL731">
        <v>0</v>
      </c>
      <c r="BO731">
        <v>0</v>
      </c>
      <c r="BP731">
        <v>0</v>
      </c>
      <c r="BW731" t="str">
        <f>"19:15:46.746"</f>
        <v>19:15:46.746</v>
      </c>
      <c r="BX731" t="s">
        <v>119</v>
      </c>
      <c r="BY731" t="s">
        <v>120</v>
      </c>
      <c r="CJ731">
        <v>0</v>
      </c>
      <c r="CK731">
        <v>0</v>
      </c>
      <c r="CL731">
        <v>0</v>
      </c>
      <c r="CM731">
        <v>2</v>
      </c>
      <c r="CN731">
        <v>0</v>
      </c>
      <c r="CO731">
        <v>7</v>
      </c>
      <c r="CP731" t="s">
        <v>121</v>
      </c>
      <c r="CQ731">
        <v>580</v>
      </c>
      <c r="CR731">
        <v>0</v>
      </c>
      <c r="CW731">
        <v>662621</v>
      </c>
      <c r="CY731">
        <v>0</v>
      </c>
      <c r="CZ731">
        <v>0</v>
      </c>
      <c r="DA731">
        <v>0</v>
      </c>
      <c r="DB731">
        <v>1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</row>
    <row r="732" spans="1:113" x14ac:dyDescent="0.3">
      <c r="A732" t="str">
        <f>"06/16/2022 19:15:48.378"</f>
        <v>06/16/2022 19:15:48.378</v>
      </c>
      <c r="C732" t="str">
        <f t="shared" si="36"/>
        <v>FFBF5BC0</v>
      </c>
      <c r="D732" t="s">
        <v>113</v>
      </c>
      <c r="E732">
        <v>8</v>
      </c>
      <c r="H732">
        <v>206</v>
      </c>
      <c r="I732" t="s">
        <v>114</v>
      </c>
      <c r="J732" t="s">
        <v>115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>"19:15:47.828"</f>
        <v>19:15:47.828</v>
      </c>
      <c r="T732" t="str">
        <f>"19:15:47.828"</f>
        <v>19:15:47.828</v>
      </c>
      <c r="U732" t="str">
        <f t="shared" si="34"/>
        <v>AB63B2</v>
      </c>
      <c r="V732">
        <v>0</v>
      </c>
      <c r="W732">
        <v>0</v>
      </c>
      <c r="X732">
        <v>6</v>
      </c>
      <c r="Z732">
        <v>0</v>
      </c>
      <c r="AA732">
        <v>9</v>
      </c>
      <c r="AB732">
        <v>3</v>
      </c>
      <c r="AC732">
        <v>0</v>
      </c>
      <c r="AD732">
        <v>10</v>
      </c>
      <c r="AE732">
        <v>0</v>
      </c>
      <c r="AF732">
        <v>0</v>
      </c>
      <c r="AG732">
        <v>2</v>
      </c>
      <c r="AH732">
        <v>0</v>
      </c>
      <c r="AI732" t="s">
        <v>562</v>
      </c>
      <c r="AJ732">
        <v>41.971035000000001</v>
      </c>
      <c r="AK732" t="s">
        <v>342</v>
      </c>
      <c r="AL732">
        <v>-87.894379999999998</v>
      </c>
      <c r="AS732">
        <v>1</v>
      </c>
      <c r="AT732" t="s">
        <v>118</v>
      </c>
      <c r="AU732" t="b">
        <v>1</v>
      </c>
      <c r="AV732">
        <v>0</v>
      </c>
      <c r="AW732">
        <v>4.125</v>
      </c>
      <c r="AX732">
        <v>1</v>
      </c>
      <c r="AZ732">
        <v>7205</v>
      </c>
      <c r="BA732">
        <v>1</v>
      </c>
      <c r="BB732" t="str">
        <f t="shared" si="35"/>
        <v xml:space="preserve">KAP400  </v>
      </c>
      <c r="BC732">
        <v>1</v>
      </c>
      <c r="BE732">
        <v>0</v>
      </c>
      <c r="BF732">
        <v>0</v>
      </c>
      <c r="BG732">
        <v>0</v>
      </c>
      <c r="BI732">
        <v>1</v>
      </c>
      <c r="BJ732">
        <v>1</v>
      </c>
      <c r="BK732">
        <v>1</v>
      </c>
      <c r="BL732">
        <v>0</v>
      </c>
      <c r="BO732">
        <v>0</v>
      </c>
      <c r="BP732">
        <v>0</v>
      </c>
      <c r="BW732" t="str">
        <f>"19:15:47.829"</f>
        <v>19:15:47.829</v>
      </c>
      <c r="BX732" t="s">
        <v>119</v>
      </c>
      <c r="BY732" t="s">
        <v>120</v>
      </c>
      <c r="CJ732">
        <v>0</v>
      </c>
      <c r="CK732">
        <v>0</v>
      </c>
      <c r="CL732">
        <v>0</v>
      </c>
      <c r="CM732">
        <v>2</v>
      </c>
      <c r="CN732">
        <v>0</v>
      </c>
      <c r="CO732">
        <v>7</v>
      </c>
      <c r="CP732" t="s">
        <v>121</v>
      </c>
      <c r="CQ732">
        <v>579</v>
      </c>
      <c r="CR732">
        <v>0</v>
      </c>
      <c r="CW732">
        <v>1785153</v>
      </c>
      <c r="CY732">
        <v>0</v>
      </c>
      <c r="CZ732">
        <v>0</v>
      </c>
      <c r="DA732">
        <v>0</v>
      </c>
      <c r="DB732">
        <v>1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</row>
    <row r="733" spans="1:113" x14ac:dyDescent="0.3">
      <c r="A733" t="str">
        <f>"06/16/2022 19:15:48.925"</f>
        <v>06/16/2022 19:15:48.925</v>
      </c>
      <c r="C733" t="str">
        <f t="shared" si="36"/>
        <v>FFBF5BC0</v>
      </c>
      <c r="D733" t="s">
        <v>113</v>
      </c>
      <c r="E733">
        <v>8</v>
      </c>
      <c r="H733">
        <v>206</v>
      </c>
      <c r="I733" t="s">
        <v>114</v>
      </c>
      <c r="J733" t="s">
        <v>115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>"19:15:48.664"</f>
        <v>19:15:48.664</v>
      </c>
      <c r="T733" t="str">
        <f>"19:15:48.664"</f>
        <v>19:15:48.664</v>
      </c>
      <c r="U733" t="str">
        <f t="shared" si="34"/>
        <v>AB63B2</v>
      </c>
      <c r="V733">
        <v>0</v>
      </c>
      <c r="W733">
        <v>0</v>
      </c>
      <c r="X733">
        <v>6</v>
      </c>
      <c r="Z733">
        <v>0</v>
      </c>
      <c r="AA733">
        <v>9</v>
      </c>
      <c r="AB733">
        <v>3</v>
      </c>
      <c r="AC733">
        <v>0</v>
      </c>
      <c r="AD733">
        <v>10</v>
      </c>
      <c r="AE733">
        <v>0</v>
      </c>
      <c r="AF733">
        <v>0</v>
      </c>
      <c r="AG733">
        <v>2</v>
      </c>
      <c r="AH733">
        <v>0</v>
      </c>
      <c r="AI733" t="s">
        <v>708</v>
      </c>
      <c r="AJ733">
        <v>41.971055999999997</v>
      </c>
      <c r="AK733" t="s">
        <v>342</v>
      </c>
      <c r="AL733">
        <v>-87.894379999999998</v>
      </c>
      <c r="AS733">
        <v>1</v>
      </c>
      <c r="AT733" t="s">
        <v>118</v>
      </c>
      <c r="AU733" t="b">
        <v>1</v>
      </c>
      <c r="AV733">
        <v>357.19</v>
      </c>
      <c r="AW733">
        <v>4.125</v>
      </c>
      <c r="AX733">
        <v>1</v>
      </c>
      <c r="AZ733">
        <v>7205</v>
      </c>
      <c r="BA733">
        <v>1</v>
      </c>
      <c r="BB733" t="str">
        <f t="shared" si="35"/>
        <v xml:space="preserve">KAP400  </v>
      </c>
      <c r="BC733">
        <v>1</v>
      </c>
      <c r="BE733">
        <v>0</v>
      </c>
      <c r="BF733">
        <v>0</v>
      </c>
      <c r="BG733">
        <v>0</v>
      </c>
      <c r="BI733">
        <v>1</v>
      </c>
      <c r="BJ733">
        <v>1</v>
      </c>
      <c r="BK733">
        <v>1</v>
      </c>
      <c r="BL733">
        <v>0</v>
      </c>
      <c r="BO733">
        <v>0</v>
      </c>
      <c r="BP733">
        <v>0</v>
      </c>
      <c r="BW733" t="str">
        <f>"19:15:48.664"</f>
        <v>19:15:48.664</v>
      </c>
      <c r="BX733" t="s">
        <v>119</v>
      </c>
      <c r="BY733" t="s">
        <v>120</v>
      </c>
      <c r="CJ733">
        <v>0</v>
      </c>
      <c r="CK733">
        <v>0</v>
      </c>
      <c r="CL733">
        <v>0</v>
      </c>
      <c r="CM733">
        <v>2</v>
      </c>
      <c r="CN733">
        <v>0</v>
      </c>
      <c r="CO733">
        <v>7</v>
      </c>
      <c r="CP733" t="s">
        <v>121</v>
      </c>
      <c r="CQ733">
        <v>579</v>
      </c>
      <c r="CR733">
        <v>0</v>
      </c>
      <c r="CW733">
        <v>1786712</v>
      </c>
      <c r="CY733">
        <v>0</v>
      </c>
      <c r="CZ733">
        <v>0</v>
      </c>
      <c r="DA733">
        <v>0</v>
      </c>
      <c r="DB733">
        <v>1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</row>
    <row r="734" spans="1:113" x14ac:dyDescent="0.3">
      <c r="A734" t="str">
        <f>"06/16/2022 19:15:49.784"</f>
        <v>06/16/2022 19:15:49.784</v>
      </c>
      <c r="C734" t="str">
        <f t="shared" si="36"/>
        <v>FFBF5BC0</v>
      </c>
      <c r="D734" t="s">
        <v>113</v>
      </c>
      <c r="E734">
        <v>8</v>
      </c>
      <c r="H734">
        <v>206</v>
      </c>
      <c r="I734" t="s">
        <v>114</v>
      </c>
      <c r="J734" t="s">
        <v>115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>"19:15:49.563"</f>
        <v>19:15:49.563</v>
      </c>
      <c r="T734" t="str">
        <f>"19:15:49.563"</f>
        <v>19:15:49.563</v>
      </c>
      <c r="U734" t="str">
        <f t="shared" si="34"/>
        <v>AB63B2</v>
      </c>
      <c r="V734">
        <v>0</v>
      </c>
      <c r="W734">
        <v>0</v>
      </c>
      <c r="X734">
        <v>6</v>
      </c>
      <c r="Z734">
        <v>0</v>
      </c>
      <c r="AA734">
        <v>9</v>
      </c>
      <c r="AB734">
        <v>3</v>
      </c>
      <c r="AC734">
        <v>0</v>
      </c>
      <c r="AD734">
        <v>10</v>
      </c>
      <c r="AE734">
        <v>0</v>
      </c>
      <c r="AF734">
        <v>0</v>
      </c>
      <c r="AG734">
        <v>2</v>
      </c>
      <c r="AH734">
        <v>0</v>
      </c>
      <c r="AI734" t="s">
        <v>709</v>
      </c>
      <c r="AJ734">
        <v>41.971077999999999</v>
      </c>
      <c r="AK734" t="s">
        <v>342</v>
      </c>
      <c r="AL734">
        <v>-87.894379999999998</v>
      </c>
      <c r="AS734">
        <v>1</v>
      </c>
      <c r="AT734" t="s">
        <v>118</v>
      </c>
      <c r="AU734" t="b">
        <v>1</v>
      </c>
      <c r="AV734">
        <v>0</v>
      </c>
      <c r="AW734">
        <v>4.125</v>
      </c>
      <c r="AX734">
        <v>1</v>
      </c>
      <c r="AZ734">
        <v>7205</v>
      </c>
      <c r="BA734">
        <v>1</v>
      </c>
      <c r="BB734" t="str">
        <f t="shared" si="35"/>
        <v xml:space="preserve">KAP400  </v>
      </c>
      <c r="BC734">
        <v>1</v>
      </c>
      <c r="BE734">
        <v>0</v>
      </c>
      <c r="BF734">
        <v>0</v>
      </c>
      <c r="BG734">
        <v>0</v>
      </c>
      <c r="BI734">
        <v>1</v>
      </c>
      <c r="BJ734">
        <v>1</v>
      </c>
      <c r="BK734">
        <v>1</v>
      </c>
      <c r="BL734">
        <v>0</v>
      </c>
      <c r="BO734">
        <v>0</v>
      </c>
      <c r="BP734">
        <v>0</v>
      </c>
      <c r="BW734" t="str">
        <f>"19:15:49.564"</f>
        <v>19:15:49.564</v>
      </c>
      <c r="BX734" t="s">
        <v>119</v>
      </c>
      <c r="BY734" t="s">
        <v>120</v>
      </c>
      <c r="CJ734">
        <v>0</v>
      </c>
      <c r="CK734">
        <v>0</v>
      </c>
      <c r="CL734">
        <v>0</v>
      </c>
      <c r="CM734">
        <v>2</v>
      </c>
      <c r="CN734">
        <v>0</v>
      </c>
      <c r="CO734">
        <v>7</v>
      </c>
      <c r="CP734" t="s">
        <v>121</v>
      </c>
      <c r="CQ734">
        <v>579</v>
      </c>
      <c r="CR734">
        <v>0</v>
      </c>
      <c r="CW734">
        <v>1788494</v>
      </c>
      <c r="CY734">
        <v>0</v>
      </c>
      <c r="CZ734">
        <v>0</v>
      </c>
      <c r="DA734">
        <v>0</v>
      </c>
      <c r="DB734">
        <v>1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</row>
    <row r="735" spans="1:113" x14ac:dyDescent="0.3">
      <c r="A735" t="str">
        <f>"06/16/2022 19:15:50.831"</f>
        <v>06/16/2022 19:15:50.831</v>
      </c>
      <c r="C735" t="str">
        <f t="shared" si="36"/>
        <v>FFBF5BC0</v>
      </c>
      <c r="D735" t="s">
        <v>113</v>
      </c>
      <c r="E735">
        <v>8</v>
      </c>
      <c r="H735">
        <v>206</v>
      </c>
      <c r="I735" t="s">
        <v>114</v>
      </c>
      <c r="J735" t="s">
        <v>115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>"19:15:50.617"</f>
        <v>19:15:50.617</v>
      </c>
      <c r="T735" t="str">
        <f>"19:15:50.617"</f>
        <v>19:15:50.617</v>
      </c>
      <c r="U735" t="str">
        <f t="shared" si="34"/>
        <v>AB63B2</v>
      </c>
      <c r="V735">
        <v>0</v>
      </c>
      <c r="W735">
        <v>0</v>
      </c>
      <c r="X735">
        <v>6</v>
      </c>
      <c r="Z735">
        <v>0</v>
      </c>
      <c r="AA735">
        <v>9</v>
      </c>
      <c r="AB735">
        <v>3</v>
      </c>
      <c r="AC735">
        <v>0</v>
      </c>
      <c r="AD735">
        <v>10</v>
      </c>
      <c r="AE735">
        <v>0</v>
      </c>
      <c r="AF735">
        <v>0</v>
      </c>
      <c r="AG735">
        <v>2</v>
      </c>
      <c r="AH735">
        <v>0</v>
      </c>
      <c r="AI735" t="s">
        <v>561</v>
      </c>
      <c r="AJ735">
        <v>41.971099000000002</v>
      </c>
      <c r="AK735" t="s">
        <v>342</v>
      </c>
      <c r="AL735">
        <v>-87.894379999999998</v>
      </c>
      <c r="AS735">
        <v>1</v>
      </c>
      <c r="AT735" t="s">
        <v>118</v>
      </c>
      <c r="AU735" t="b">
        <v>1</v>
      </c>
      <c r="AV735">
        <v>0</v>
      </c>
      <c r="AW735">
        <v>3.625</v>
      </c>
      <c r="AX735">
        <v>1</v>
      </c>
      <c r="AZ735">
        <v>7205</v>
      </c>
      <c r="BA735">
        <v>1</v>
      </c>
      <c r="BB735" t="str">
        <f t="shared" si="35"/>
        <v xml:space="preserve">KAP400  </v>
      </c>
      <c r="BC735">
        <v>1</v>
      </c>
      <c r="BE735">
        <v>0</v>
      </c>
      <c r="BF735">
        <v>0</v>
      </c>
      <c r="BG735">
        <v>0</v>
      </c>
      <c r="BI735">
        <v>1</v>
      </c>
      <c r="BJ735">
        <v>1</v>
      </c>
      <c r="BK735">
        <v>1</v>
      </c>
      <c r="BL735">
        <v>0</v>
      </c>
      <c r="BO735">
        <v>0</v>
      </c>
      <c r="BP735">
        <v>0</v>
      </c>
      <c r="BW735" t="str">
        <f>"19:15:50.624"</f>
        <v>19:15:50.624</v>
      </c>
      <c r="BX735" t="s">
        <v>119</v>
      </c>
      <c r="BY735" t="s">
        <v>120</v>
      </c>
      <c r="CJ735">
        <v>0</v>
      </c>
      <c r="CK735">
        <v>0</v>
      </c>
      <c r="CL735">
        <v>0</v>
      </c>
      <c r="CM735">
        <v>2</v>
      </c>
      <c r="CN735">
        <v>0</v>
      </c>
      <c r="CO735">
        <v>7</v>
      </c>
      <c r="CP735" t="s">
        <v>121</v>
      </c>
      <c r="CQ735">
        <v>579</v>
      </c>
      <c r="CR735">
        <v>0</v>
      </c>
      <c r="CW735">
        <v>1790545</v>
      </c>
      <c r="CY735">
        <v>0</v>
      </c>
      <c r="CZ735">
        <v>0</v>
      </c>
      <c r="DA735">
        <v>0</v>
      </c>
      <c r="DB735">
        <v>1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</row>
    <row r="736" spans="1:113" x14ac:dyDescent="0.3">
      <c r="A736" t="str">
        <f>"06/16/2022 19:15:51.853"</f>
        <v>06/16/2022 19:15:51.853</v>
      </c>
      <c r="C736" t="str">
        <f t="shared" si="36"/>
        <v>FFBF5BC0</v>
      </c>
      <c r="D736" t="s">
        <v>113</v>
      </c>
      <c r="E736">
        <v>8</v>
      </c>
      <c r="H736">
        <v>206</v>
      </c>
      <c r="I736" t="s">
        <v>114</v>
      </c>
      <c r="J736" t="s">
        <v>115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>"19:15:51.602"</f>
        <v>19:15:51.602</v>
      </c>
      <c r="T736" t="str">
        <f>"19:15:51.602"</f>
        <v>19:15:51.602</v>
      </c>
      <c r="U736" t="str">
        <f t="shared" si="34"/>
        <v>AB63B2</v>
      </c>
      <c r="V736">
        <v>0</v>
      </c>
      <c r="W736">
        <v>0</v>
      </c>
      <c r="X736">
        <v>6</v>
      </c>
      <c r="Z736">
        <v>0</v>
      </c>
      <c r="AA736">
        <v>9</v>
      </c>
      <c r="AB736">
        <v>3</v>
      </c>
      <c r="AC736">
        <v>0</v>
      </c>
      <c r="AD736">
        <v>10</v>
      </c>
      <c r="AE736">
        <v>0</v>
      </c>
      <c r="AF736">
        <v>0</v>
      </c>
      <c r="AG736">
        <v>2</v>
      </c>
      <c r="AH736">
        <v>0</v>
      </c>
      <c r="AI736" t="s">
        <v>710</v>
      </c>
      <c r="AJ736">
        <v>41.971120999999997</v>
      </c>
      <c r="AK736" t="s">
        <v>342</v>
      </c>
      <c r="AL736">
        <v>-87.894379999999998</v>
      </c>
      <c r="AS736">
        <v>1</v>
      </c>
      <c r="AT736" t="s">
        <v>118</v>
      </c>
      <c r="AU736" t="b">
        <v>1</v>
      </c>
      <c r="AV736">
        <v>0</v>
      </c>
      <c r="AW736">
        <v>3.125</v>
      </c>
      <c r="AX736">
        <v>1</v>
      </c>
      <c r="AZ736">
        <v>7205</v>
      </c>
      <c r="BA736">
        <v>1</v>
      </c>
      <c r="BB736" t="str">
        <f t="shared" si="35"/>
        <v xml:space="preserve">KAP400  </v>
      </c>
      <c r="BC736">
        <v>1</v>
      </c>
      <c r="BE736">
        <v>0</v>
      </c>
      <c r="BF736">
        <v>0</v>
      </c>
      <c r="BG736">
        <v>0</v>
      </c>
      <c r="BI736">
        <v>1</v>
      </c>
      <c r="BJ736">
        <v>1</v>
      </c>
      <c r="BK736">
        <v>1</v>
      </c>
      <c r="BL736">
        <v>0</v>
      </c>
      <c r="BO736">
        <v>0</v>
      </c>
      <c r="BP736">
        <v>0</v>
      </c>
      <c r="BW736" t="str">
        <f>"19:15:51.604"</f>
        <v>19:15:51.604</v>
      </c>
      <c r="BX736" t="s">
        <v>119</v>
      </c>
      <c r="BY736" t="s">
        <v>120</v>
      </c>
      <c r="CJ736">
        <v>0</v>
      </c>
      <c r="CK736">
        <v>0</v>
      </c>
      <c r="CL736">
        <v>0</v>
      </c>
      <c r="CM736">
        <v>2</v>
      </c>
      <c r="CN736">
        <v>0</v>
      </c>
      <c r="CO736">
        <v>7</v>
      </c>
      <c r="CP736" t="s">
        <v>121</v>
      </c>
      <c r="CQ736">
        <v>579</v>
      </c>
      <c r="CR736">
        <v>0</v>
      </c>
      <c r="CW736">
        <v>1792318</v>
      </c>
      <c r="CY736">
        <v>0</v>
      </c>
      <c r="CZ736">
        <v>0</v>
      </c>
      <c r="DA736">
        <v>0</v>
      </c>
      <c r="DB736">
        <v>1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</row>
    <row r="737" spans="1:113" x14ac:dyDescent="0.3">
      <c r="A737" t="str">
        <f>"06/16/2022 19:15:52.815"</f>
        <v>06/16/2022 19:15:52.815</v>
      </c>
      <c r="C737" t="str">
        <f t="shared" si="36"/>
        <v>FFBF5BC0</v>
      </c>
      <c r="D737" t="s">
        <v>113</v>
      </c>
      <c r="E737">
        <v>8</v>
      </c>
      <c r="H737">
        <v>206</v>
      </c>
      <c r="I737" t="s">
        <v>114</v>
      </c>
      <c r="J737" t="s">
        <v>115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>"19:15:52.555"</f>
        <v>19:15:52.555</v>
      </c>
      <c r="T737" t="str">
        <f>"19:15:52.555"</f>
        <v>19:15:52.555</v>
      </c>
      <c r="U737" t="str">
        <f t="shared" si="34"/>
        <v>AB63B2</v>
      </c>
      <c r="V737">
        <v>0</v>
      </c>
      <c r="W737">
        <v>0</v>
      </c>
      <c r="X737">
        <v>6</v>
      </c>
      <c r="Z737">
        <v>0</v>
      </c>
      <c r="AA737">
        <v>9</v>
      </c>
      <c r="AB737">
        <v>3</v>
      </c>
      <c r="AC737">
        <v>0</v>
      </c>
      <c r="AD737">
        <v>10</v>
      </c>
      <c r="AE737">
        <v>0</v>
      </c>
      <c r="AF737">
        <v>0</v>
      </c>
      <c r="AG737">
        <v>2</v>
      </c>
      <c r="AH737">
        <v>0</v>
      </c>
      <c r="AI737" t="s">
        <v>710</v>
      </c>
      <c r="AJ737">
        <v>41.971120999999997</v>
      </c>
      <c r="AK737" t="s">
        <v>342</v>
      </c>
      <c r="AL737">
        <v>-87.894379999999998</v>
      </c>
      <c r="AS737">
        <v>1</v>
      </c>
      <c r="AT737" t="s">
        <v>118</v>
      </c>
      <c r="AU737" t="b">
        <v>1</v>
      </c>
      <c r="AV737">
        <v>357.19</v>
      </c>
      <c r="AW737">
        <v>2.625</v>
      </c>
      <c r="AX737">
        <v>1</v>
      </c>
      <c r="AZ737">
        <v>7205</v>
      </c>
      <c r="BA737">
        <v>1</v>
      </c>
      <c r="BB737" t="str">
        <f t="shared" si="35"/>
        <v xml:space="preserve">KAP400  </v>
      </c>
      <c r="BC737">
        <v>1</v>
      </c>
      <c r="BE737">
        <v>0</v>
      </c>
      <c r="BF737">
        <v>0</v>
      </c>
      <c r="BG737">
        <v>0</v>
      </c>
      <c r="BI737">
        <v>1</v>
      </c>
      <c r="BJ737">
        <v>1</v>
      </c>
      <c r="BK737">
        <v>1</v>
      </c>
      <c r="BL737">
        <v>0</v>
      </c>
      <c r="BO737">
        <v>0</v>
      </c>
      <c r="BP737">
        <v>0</v>
      </c>
      <c r="BW737" t="str">
        <f>"19:15:52.556"</f>
        <v>19:15:52.556</v>
      </c>
      <c r="BX737" t="s">
        <v>119</v>
      </c>
      <c r="BY737" t="s">
        <v>120</v>
      </c>
      <c r="CJ737">
        <v>0</v>
      </c>
      <c r="CK737">
        <v>0</v>
      </c>
      <c r="CL737">
        <v>0</v>
      </c>
      <c r="CM737">
        <v>2</v>
      </c>
      <c r="CN737">
        <v>0</v>
      </c>
      <c r="CO737">
        <v>6</v>
      </c>
      <c r="CP737" t="s">
        <v>121</v>
      </c>
      <c r="CQ737">
        <v>579</v>
      </c>
      <c r="CR737">
        <v>0</v>
      </c>
      <c r="CW737">
        <v>1794053</v>
      </c>
      <c r="CY737">
        <v>0</v>
      </c>
      <c r="CZ737">
        <v>0</v>
      </c>
      <c r="DA737">
        <v>0</v>
      </c>
      <c r="DB737">
        <v>1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</row>
    <row r="738" spans="1:113" x14ac:dyDescent="0.3">
      <c r="A738" t="str">
        <f>"06/16/2022 19:15:53.862"</f>
        <v>06/16/2022 19:15:53.862</v>
      </c>
      <c r="C738" t="str">
        <f t="shared" si="36"/>
        <v>FFBF5BC0</v>
      </c>
      <c r="D738" t="s">
        <v>113</v>
      </c>
      <c r="E738">
        <v>8</v>
      </c>
      <c r="H738">
        <v>206</v>
      </c>
      <c r="I738" t="s">
        <v>114</v>
      </c>
      <c r="J738" t="s">
        <v>115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>"19:15:53.609"</f>
        <v>19:15:53.609</v>
      </c>
      <c r="T738" t="str">
        <f>"19:15:53.609"</f>
        <v>19:15:53.609</v>
      </c>
      <c r="U738" t="str">
        <f t="shared" si="34"/>
        <v>AB63B2</v>
      </c>
      <c r="V738">
        <v>0</v>
      </c>
      <c r="W738">
        <v>0</v>
      </c>
      <c r="X738">
        <v>6</v>
      </c>
      <c r="Z738">
        <v>0</v>
      </c>
      <c r="AA738">
        <v>9</v>
      </c>
      <c r="AB738">
        <v>3</v>
      </c>
      <c r="AC738">
        <v>0</v>
      </c>
      <c r="AD738">
        <v>10</v>
      </c>
      <c r="AE738">
        <v>0</v>
      </c>
      <c r="AF738">
        <v>0</v>
      </c>
      <c r="AG738">
        <v>2</v>
      </c>
      <c r="AH738">
        <v>0</v>
      </c>
      <c r="AI738" t="s">
        <v>710</v>
      </c>
      <c r="AJ738">
        <v>41.971120999999997</v>
      </c>
      <c r="AK738" t="s">
        <v>342</v>
      </c>
      <c r="AL738">
        <v>-87.894379999999998</v>
      </c>
      <c r="AS738">
        <v>1</v>
      </c>
      <c r="AT738" t="s">
        <v>118</v>
      </c>
      <c r="AU738" t="b">
        <v>1</v>
      </c>
      <c r="AV738">
        <v>357.19</v>
      </c>
      <c r="AW738">
        <v>2.125</v>
      </c>
      <c r="AX738">
        <v>1</v>
      </c>
      <c r="AZ738">
        <v>7205</v>
      </c>
      <c r="BA738">
        <v>1</v>
      </c>
      <c r="BB738" t="str">
        <f t="shared" si="35"/>
        <v xml:space="preserve">KAP400  </v>
      </c>
      <c r="BC738">
        <v>1</v>
      </c>
      <c r="BE738">
        <v>0</v>
      </c>
      <c r="BF738">
        <v>0</v>
      </c>
      <c r="BG738">
        <v>0</v>
      </c>
      <c r="BI738">
        <v>1</v>
      </c>
      <c r="BJ738">
        <v>1</v>
      </c>
      <c r="BK738">
        <v>1</v>
      </c>
      <c r="BL738">
        <v>0</v>
      </c>
      <c r="BO738">
        <v>0</v>
      </c>
      <c r="BP738">
        <v>0</v>
      </c>
      <c r="BW738" t="str">
        <f>"19:15:53.616"</f>
        <v>19:15:53.616</v>
      </c>
      <c r="BX738" t="s">
        <v>119</v>
      </c>
      <c r="BY738" t="s">
        <v>120</v>
      </c>
      <c r="CJ738">
        <v>0</v>
      </c>
      <c r="CK738">
        <v>0</v>
      </c>
      <c r="CL738">
        <v>0</v>
      </c>
      <c r="CM738">
        <v>2</v>
      </c>
      <c r="CN738">
        <v>0</v>
      </c>
      <c r="CO738">
        <v>7</v>
      </c>
      <c r="CP738" t="s">
        <v>121</v>
      </c>
      <c r="CQ738">
        <v>580</v>
      </c>
      <c r="CR738">
        <v>0</v>
      </c>
      <c r="CW738">
        <v>675186</v>
      </c>
      <c r="CY738">
        <v>0</v>
      </c>
      <c r="CZ738">
        <v>0</v>
      </c>
      <c r="DA738">
        <v>0</v>
      </c>
      <c r="DB738">
        <v>1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</row>
    <row r="739" spans="1:113" x14ac:dyDescent="0.3">
      <c r="A739" t="str">
        <f>"06/16/2022 19:15:55.284"</f>
        <v>06/16/2022 19:15:55.284</v>
      </c>
      <c r="C739" t="str">
        <f t="shared" si="36"/>
        <v>FFBF5BC0</v>
      </c>
      <c r="D739" t="s">
        <v>113</v>
      </c>
      <c r="E739">
        <v>8</v>
      </c>
      <c r="H739">
        <v>206</v>
      </c>
      <c r="I739" t="s">
        <v>114</v>
      </c>
      <c r="J739" t="s">
        <v>115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>"19:15:54.969"</f>
        <v>19:15:54.969</v>
      </c>
      <c r="T739" t="str">
        <f>"19:15:54.969"</f>
        <v>19:15:54.969</v>
      </c>
      <c r="U739" t="str">
        <f t="shared" si="34"/>
        <v>AB63B2</v>
      </c>
      <c r="V739">
        <v>0</v>
      </c>
      <c r="W739">
        <v>0</v>
      </c>
      <c r="X739">
        <v>6</v>
      </c>
      <c r="Z739">
        <v>0</v>
      </c>
      <c r="AA739">
        <v>9</v>
      </c>
      <c r="AB739">
        <v>3</v>
      </c>
      <c r="AC739">
        <v>0</v>
      </c>
      <c r="AD739">
        <v>10</v>
      </c>
      <c r="AE739">
        <v>0</v>
      </c>
      <c r="AF739">
        <v>0</v>
      </c>
      <c r="AG739">
        <v>2</v>
      </c>
      <c r="AH739">
        <v>0</v>
      </c>
      <c r="AI739" t="s">
        <v>711</v>
      </c>
      <c r="AJ739">
        <v>41.971142</v>
      </c>
      <c r="AK739" t="s">
        <v>342</v>
      </c>
      <c r="AL739">
        <v>-87.894379999999998</v>
      </c>
      <c r="AS739">
        <v>1</v>
      </c>
      <c r="AT739" t="s">
        <v>118</v>
      </c>
      <c r="AU739" t="b">
        <v>1</v>
      </c>
      <c r="AV739">
        <v>357.19</v>
      </c>
      <c r="AW739">
        <v>1.625</v>
      </c>
      <c r="AX739">
        <v>1</v>
      </c>
      <c r="AZ739">
        <v>7205</v>
      </c>
      <c r="BA739">
        <v>1</v>
      </c>
      <c r="BB739" t="str">
        <f t="shared" si="35"/>
        <v xml:space="preserve">KAP400  </v>
      </c>
      <c r="BC739">
        <v>1</v>
      </c>
      <c r="BE739">
        <v>0</v>
      </c>
      <c r="BF739">
        <v>0</v>
      </c>
      <c r="BG739">
        <v>0</v>
      </c>
      <c r="BI739">
        <v>1</v>
      </c>
      <c r="BJ739">
        <v>1</v>
      </c>
      <c r="BK739">
        <v>1</v>
      </c>
      <c r="BL739">
        <v>0</v>
      </c>
      <c r="BO739">
        <v>0</v>
      </c>
      <c r="BP739">
        <v>0</v>
      </c>
      <c r="BW739" t="str">
        <f>"19:15:54.969"</f>
        <v>19:15:54.969</v>
      </c>
      <c r="BX739" t="s">
        <v>119</v>
      </c>
      <c r="BY739" t="s">
        <v>120</v>
      </c>
      <c r="CJ739">
        <v>0</v>
      </c>
      <c r="CK739">
        <v>0</v>
      </c>
      <c r="CL739">
        <v>0</v>
      </c>
      <c r="CM739">
        <v>2</v>
      </c>
      <c r="CN739">
        <v>0</v>
      </c>
      <c r="CO739">
        <v>7</v>
      </c>
      <c r="CP739" t="s">
        <v>121</v>
      </c>
      <c r="CQ739">
        <v>579</v>
      </c>
      <c r="CR739">
        <v>0</v>
      </c>
      <c r="CW739">
        <v>1798430</v>
      </c>
      <c r="CY739">
        <v>0</v>
      </c>
      <c r="CZ739">
        <v>0</v>
      </c>
      <c r="DA739">
        <v>0</v>
      </c>
      <c r="DB739">
        <v>1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</row>
    <row r="740" spans="1:113" x14ac:dyDescent="0.3">
      <c r="A740" t="str">
        <f>"06/16/2022 19:15:56.237"</f>
        <v>06/16/2022 19:15:56.237</v>
      </c>
      <c r="C740" t="str">
        <f t="shared" si="36"/>
        <v>FFBF5BC0</v>
      </c>
      <c r="D740" t="s">
        <v>113</v>
      </c>
      <c r="E740">
        <v>8</v>
      </c>
      <c r="H740">
        <v>206</v>
      </c>
      <c r="I740" t="s">
        <v>114</v>
      </c>
      <c r="J740" t="s">
        <v>115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>"19:15:56.023"</f>
        <v>19:15:56.023</v>
      </c>
      <c r="T740" t="str">
        <f>"19:15:56.023"</f>
        <v>19:15:56.023</v>
      </c>
      <c r="U740" t="str">
        <f t="shared" si="34"/>
        <v>AB63B2</v>
      </c>
      <c r="V740">
        <v>0</v>
      </c>
      <c r="W740">
        <v>0</v>
      </c>
      <c r="X740">
        <v>6</v>
      </c>
      <c r="Z740">
        <v>0</v>
      </c>
      <c r="AA740">
        <v>9</v>
      </c>
      <c r="AB740">
        <v>3</v>
      </c>
      <c r="AC740">
        <v>0</v>
      </c>
      <c r="AD740">
        <v>10</v>
      </c>
      <c r="AE740">
        <v>0</v>
      </c>
      <c r="AF740">
        <v>0</v>
      </c>
      <c r="AG740">
        <v>2</v>
      </c>
      <c r="AH740">
        <v>0</v>
      </c>
      <c r="AI740" t="s">
        <v>711</v>
      </c>
      <c r="AJ740">
        <v>41.971142</v>
      </c>
      <c r="AK740" t="s">
        <v>342</v>
      </c>
      <c r="AL740">
        <v>-87.894379999999998</v>
      </c>
      <c r="AS740">
        <v>1</v>
      </c>
      <c r="AT740" t="s">
        <v>118</v>
      </c>
      <c r="AU740" t="b">
        <v>1</v>
      </c>
      <c r="AV740">
        <v>357.19</v>
      </c>
      <c r="AW740">
        <v>1.375</v>
      </c>
      <c r="AX740">
        <v>1</v>
      </c>
      <c r="AZ740">
        <v>7205</v>
      </c>
      <c r="BA740">
        <v>1</v>
      </c>
      <c r="BB740" t="str">
        <f t="shared" si="35"/>
        <v xml:space="preserve">KAP400  </v>
      </c>
      <c r="BC740">
        <v>1</v>
      </c>
      <c r="BE740">
        <v>0</v>
      </c>
      <c r="BF740">
        <v>0</v>
      </c>
      <c r="BG740">
        <v>0</v>
      </c>
      <c r="BI740">
        <v>1</v>
      </c>
      <c r="BJ740">
        <v>1</v>
      </c>
      <c r="BK740">
        <v>1</v>
      </c>
      <c r="BL740">
        <v>0</v>
      </c>
      <c r="BO740">
        <v>0</v>
      </c>
      <c r="BP740">
        <v>0</v>
      </c>
      <c r="BW740" t="str">
        <f>"19:15:56.024"</f>
        <v>19:15:56.024</v>
      </c>
      <c r="BX740" t="s">
        <v>119</v>
      </c>
      <c r="BY740" t="s">
        <v>120</v>
      </c>
      <c r="CJ740">
        <v>0</v>
      </c>
      <c r="CK740">
        <v>0</v>
      </c>
      <c r="CL740">
        <v>0</v>
      </c>
      <c r="CM740">
        <v>2</v>
      </c>
      <c r="CN740">
        <v>0</v>
      </c>
      <c r="CO740">
        <v>7</v>
      </c>
      <c r="CP740" t="s">
        <v>121</v>
      </c>
      <c r="CQ740">
        <v>579</v>
      </c>
      <c r="CR740">
        <v>0</v>
      </c>
      <c r="CW740">
        <v>1800416</v>
      </c>
      <c r="CY740">
        <v>0</v>
      </c>
      <c r="CZ740">
        <v>0</v>
      </c>
      <c r="DA740">
        <v>0</v>
      </c>
      <c r="DB740">
        <v>1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</row>
    <row r="741" spans="1:113" x14ac:dyDescent="0.3">
      <c r="A741" t="str">
        <f>"06/16/2022 19:15:57.237"</f>
        <v>06/16/2022 19:15:57.237</v>
      </c>
      <c r="C741" t="str">
        <f t="shared" si="36"/>
        <v>FFBF5BC0</v>
      </c>
      <c r="D741" t="s">
        <v>113</v>
      </c>
      <c r="E741">
        <v>8</v>
      </c>
      <c r="H741">
        <v>206</v>
      </c>
      <c r="I741" t="s">
        <v>114</v>
      </c>
      <c r="J741" t="s">
        <v>115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>"19:15:57.023"</f>
        <v>19:15:57.023</v>
      </c>
      <c r="T741" t="str">
        <f>"19:15:57.023"</f>
        <v>19:15:57.023</v>
      </c>
      <c r="U741" t="str">
        <f t="shared" si="34"/>
        <v>AB63B2</v>
      </c>
      <c r="V741">
        <v>0</v>
      </c>
      <c r="W741">
        <v>0</v>
      </c>
      <c r="X741">
        <v>6</v>
      </c>
      <c r="Z741">
        <v>0</v>
      </c>
      <c r="AA741">
        <v>9</v>
      </c>
      <c r="AB741">
        <v>3</v>
      </c>
      <c r="AC741">
        <v>0</v>
      </c>
      <c r="AD741">
        <v>10</v>
      </c>
      <c r="AE741">
        <v>0</v>
      </c>
      <c r="AF741">
        <v>0</v>
      </c>
      <c r="AG741">
        <v>2</v>
      </c>
      <c r="AH741">
        <v>0</v>
      </c>
      <c r="AI741" t="s">
        <v>711</v>
      </c>
      <c r="AJ741">
        <v>41.971142</v>
      </c>
      <c r="AK741" t="s">
        <v>342</v>
      </c>
      <c r="AL741">
        <v>-87.894379999999998</v>
      </c>
      <c r="AS741">
        <v>1</v>
      </c>
      <c r="AT741" t="s">
        <v>118</v>
      </c>
      <c r="AU741" t="b">
        <v>1</v>
      </c>
      <c r="AV741">
        <v>357.19</v>
      </c>
      <c r="AW741">
        <v>1.625</v>
      </c>
      <c r="AX741">
        <v>1</v>
      </c>
      <c r="AZ741">
        <v>7205</v>
      </c>
      <c r="BA741">
        <v>1</v>
      </c>
      <c r="BB741" t="str">
        <f t="shared" si="35"/>
        <v xml:space="preserve">KAP400  </v>
      </c>
      <c r="BC741">
        <v>1</v>
      </c>
      <c r="BE741">
        <v>0</v>
      </c>
      <c r="BF741">
        <v>0</v>
      </c>
      <c r="BG741">
        <v>0</v>
      </c>
      <c r="BI741">
        <v>1</v>
      </c>
      <c r="BJ741">
        <v>1</v>
      </c>
      <c r="BK741">
        <v>1</v>
      </c>
      <c r="BL741">
        <v>0</v>
      </c>
      <c r="BO741">
        <v>0</v>
      </c>
      <c r="BP741">
        <v>0</v>
      </c>
      <c r="BW741" t="str">
        <f>"19:15:57.028"</f>
        <v>19:15:57.028</v>
      </c>
      <c r="BX741" t="s">
        <v>119</v>
      </c>
      <c r="BY741" t="s">
        <v>120</v>
      </c>
      <c r="CJ741">
        <v>0</v>
      </c>
      <c r="CK741">
        <v>0</v>
      </c>
      <c r="CL741">
        <v>0</v>
      </c>
      <c r="CM741">
        <v>2</v>
      </c>
      <c r="CN741">
        <v>0</v>
      </c>
      <c r="CO741">
        <v>7</v>
      </c>
      <c r="CP741" t="s">
        <v>121</v>
      </c>
      <c r="CQ741">
        <v>579</v>
      </c>
      <c r="CR741">
        <v>0</v>
      </c>
      <c r="CW741">
        <v>1802258</v>
      </c>
      <c r="CY741">
        <v>0</v>
      </c>
      <c r="CZ741">
        <v>0</v>
      </c>
      <c r="DA741">
        <v>0</v>
      </c>
      <c r="DB741">
        <v>1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</row>
    <row r="742" spans="1:113" x14ac:dyDescent="0.3">
      <c r="A742" t="str">
        <f>"06/16/2022 19:15:58.393"</f>
        <v>06/16/2022 19:15:58.393</v>
      </c>
      <c r="C742" t="str">
        <f t="shared" si="36"/>
        <v>FFBF5BC0</v>
      </c>
      <c r="D742" t="s">
        <v>113</v>
      </c>
      <c r="E742">
        <v>8</v>
      </c>
      <c r="H742">
        <v>206</v>
      </c>
      <c r="I742" t="s">
        <v>114</v>
      </c>
      <c r="J742" t="s">
        <v>115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>"19:15:58.102"</f>
        <v>19:15:58.102</v>
      </c>
      <c r="T742" t="str">
        <f>"19:15:58.102"</f>
        <v>19:15:58.102</v>
      </c>
      <c r="U742" t="str">
        <f t="shared" si="34"/>
        <v>AB63B2</v>
      </c>
      <c r="V742">
        <v>0</v>
      </c>
      <c r="W742">
        <v>0</v>
      </c>
      <c r="X742">
        <v>6</v>
      </c>
      <c r="Z742">
        <v>0</v>
      </c>
      <c r="AA742">
        <v>9</v>
      </c>
      <c r="AB742">
        <v>3</v>
      </c>
      <c r="AC742">
        <v>0</v>
      </c>
      <c r="AD742">
        <v>10</v>
      </c>
      <c r="AE742">
        <v>0</v>
      </c>
      <c r="AF742">
        <v>0</v>
      </c>
      <c r="AG742">
        <v>2</v>
      </c>
      <c r="AH742">
        <v>0</v>
      </c>
      <c r="AI742" t="s">
        <v>560</v>
      </c>
      <c r="AJ742">
        <v>41.971164000000002</v>
      </c>
      <c r="AK742" t="s">
        <v>342</v>
      </c>
      <c r="AL742">
        <v>-87.894379999999998</v>
      </c>
      <c r="AS742">
        <v>1</v>
      </c>
      <c r="AT742" t="s">
        <v>118</v>
      </c>
      <c r="AU742" t="b">
        <v>1</v>
      </c>
      <c r="AV742">
        <v>0</v>
      </c>
      <c r="AW742">
        <v>1.625</v>
      </c>
      <c r="AX742">
        <v>1</v>
      </c>
      <c r="AZ742">
        <v>7205</v>
      </c>
      <c r="BA742">
        <v>1</v>
      </c>
      <c r="BB742" t="str">
        <f t="shared" si="35"/>
        <v xml:space="preserve">KAP400  </v>
      </c>
      <c r="BC742">
        <v>1</v>
      </c>
      <c r="BE742">
        <v>0</v>
      </c>
      <c r="BF742">
        <v>0</v>
      </c>
      <c r="BG742">
        <v>0</v>
      </c>
      <c r="BI742">
        <v>1</v>
      </c>
      <c r="BJ742">
        <v>1</v>
      </c>
      <c r="BK742">
        <v>1</v>
      </c>
      <c r="BL742">
        <v>0</v>
      </c>
      <c r="BO742">
        <v>0</v>
      </c>
      <c r="BP742">
        <v>0</v>
      </c>
      <c r="BW742" t="str">
        <f>"19:15:58.108"</f>
        <v>19:15:58.108</v>
      </c>
      <c r="BX742" t="s">
        <v>119</v>
      </c>
      <c r="BY742" t="s">
        <v>120</v>
      </c>
      <c r="CJ742">
        <v>0</v>
      </c>
      <c r="CK742">
        <v>0</v>
      </c>
      <c r="CL742">
        <v>0</v>
      </c>
      <c r="CM742">
        <v>2</v>
      </c>
      <c r="CN742">
        <v>0</v>
      </c>
      <c r="CO742">
        <v>7</v>
      </c>
      <c r="CP742" t="s">
        <v>121</v>
      </c>
      <c r="CQ742">
        <v>579</v>
      </c>
      <c r="CR742">
        <v>0</v>
      </c>
      <c r="CW742">
        <v>1804275</v>
      </c>
      <c r="CY742">
        <v>0</v>
      </c>
      <c r="CZ742">
        <v>0</v>
      </c>
      <c r="DA742">
        <v>0</v>
      </c>
      <c r="DB742">
        <v>1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</row>
    <row r="743" spans="1:113" x14ac:dyDescent="0.3">
      <c r="A743" t="str">
        <f>"06/16/2022 19:16:00.440"</f>
        <v>06/16/2022 19:16:00.440</v>
      </c>
      <c r="C743" t="str">
        <f t="shared" si="36"/>
        <v>FFBF5BC0</v>
      </c>
      <c r="D743" t="s">
        <v>113</v>
      </c>
      <c r="E743">
        <v>8</v>
      </c>
      <c r="H743">
        <v>206</v>
      </c>
      <c r="I743" t="s">
        <v>114</v>
      </c>
      <c r="J743" t="s">
        <v>115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>"19:16:00.227"</f>
        <v>19:16:00.227</v>
      </c>
      <c r="T743" t="str">
        <f>"19:16:00.227"</f>
        <v>19:16:00.227</v>
      </c>
      <c r="U743" t="str">
        <f t="shared" si="34"/>
        <v>AB63B2</v>
      </c>
      <c r="V743">
        <v>0</v>
      </c>
      <c r="W743">
        <v>0</v>
      </c>
      <c r="X743">
        <v>6</v>
      </c>
      <c r="Z743">
        <v>0</v>
      </c>
      <c r="AA743">
        <v>9</v>
      </c>
      <c r="AB743">
        <v>3</v>
      </c>
      <c r="AC743">
        <v>0</v>
      </c>
      <c r="AD743">
        <v>10</v>
      </c>
      <c r="AE743">
        <v>0</v>
      </c>
      <c r="AF743">
        <v>0</v>
      </c>
      <c r="AG743">
        <v>2</v>
      </c>
      <c r="AH743">
        <v>0</v>
      </c>
      <c r="AI743" t="s">
        <v>560</v>
      </c>
      <c r="AJ743">
        <v>41.971164000000002</v>
      </c>
      <c r="AK743" t="s">
        <v>342</v>
      </c>
      <c r="AL743">
        <v>-87.894379999999998</v>
      </c>
      <c r="AS743">
        <v>1</v>
      </c>
      <c r="AT743" t="s">
        <v>118</v>
      </c>
      <c r="AU743" t="b">
        <v>1</v>
      </c>
      <c r="AV743">
        <v>0</v>
      </c>
      <c r="AW743">
        <v>1.875</v>
      </c>
      <c r="AX743">
        <v>1</v>
      </c>
      <c r="AZ743">
        <v>7205</v>
      </c>
      <c r="BA743">
        <v>1</v>
      </c>
      <c r="BB743" t="str">
        <f t="shared" si="35"/>
        <v xml:space="preserve">KAP400  </v>
      </c>
      <c r="BC743">
        <v>1</v>
      </c>
      <c r="BE743">
        <v>0</v>
      </c>
      <c r="BF743">
        <v>0</v>
      </c>
      <c r="BG743">
        <v>0</v>
      </c>
      <c r="BI743">
        <v>1</v>
      </c>
      <c r="BJ743">
        <v>1</v>
      </c>
      <c r="BK743">
        <v>1</v>
      </c>
      <c r="BL743">
        <v>0</v>
      </c>
      <c r="BO743">
        <v>0</v>
      </c>
      <c r="BP743">
        <v>0</v>
      </c>
      <c r="BW743" t="str">
        <f>"19:16:00.227"</f>
        <v>19:16:00.227</v>
      </c>
      <c r="BX743" t="s">
        <v>119</v>
      </c>
      <c r="BY743" t="s">
        <v>120</v>
      </c>
      <c r="CJ743">
        <v>0</v>
      </c>
      <c r="CK743">
        <v>0</v>
      </c>
      <c r="CL743">
        <v>0</v>
      </c>
      <c r="CM743">
        <v>2</v>
      </c>
      <c r="CN743">
        <v>0</v>
      </c>
      <c r="CO743">
        <v>7</v>
      </c>
      <c r="CP743" t="s">
        <v>121</v>
      </c>
      <c r="CQ743">
        <v>579</v>
      </c>
      <c r="CR743">
        <v>0</v>
      </c>
      <c r="CW743">
        <v>1808338</v>
      </c>
      <c r="CY743">
        <v>0</v>
      </c>
      <c r="CZ743">
        <v>0</v>
      </c>
      <c r="DA743">
        <v>0</v>
      </c>
      <c r="DB743">
        <v>1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</row>
    <row r="744" spans="1:113" x14ac:dyDescent="0.3">
      <c r="A744" t="str">
        <f>"06/16/2022 19:16:01.472"</f>
        <v>06/16/2022 19:16:01.472</v>
      </c>
      <c r="C744" t="str">
        <f t="shared" si="36"/>
        <v>FFBF5BC0</v>
      </c>
      <c r="D744" t="s">
        <v>113</v>
      </c>
      <c r="E744">
        <v>8</v>
      </c>
      <c r="H744">
        <v>206</v>
      </c>
      <c r="I744" t="s">
        <v>114</v>
      </c>
      <c r="J744" t="s">
        <v>115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>"19:16:01.180"</f>
        <v>19:16:01.180</v>
      </c>
      <c r="T744" t="str">
        <f>"19:16:01.180"</f>
        <v>19:16:01.180</v>
      </c>
      <c r="U744" t="str">
        <f t="shared" si="34"/>
        <v>AB63B2</v>
      </c>
      <c r="V744">
        <v>0</v>
      </c>
      <c r="W744">
        <v>0</v>
      </c>
      <c r="X744">
        <v>6</v>
      </c>
      <c r="Z744">
        <v>0</v>
      </c>
      <c r="AA744">
        <v>9</v>
      </c>
      <c r="AB744">
        <v>3</v>
      </c>
      <c r="AC744">
        <v>0</v>
      </c>
      <c r="AD744">
        <v>10</v>
      </c>
      <c r="AE744">
        <v>0</v>
      </c>
      <c r="AF744">
        <v>0</v>
      </c>
      <c r="AG744">
        <v>2</v>
      </c>
      <c r="AH744">
        <v>0</v>
      </c>
      <c r="AI744" t="s">
        <v>712</v>
      </c>
      <c r="AJ744">
        <v>41.971184999999998</v>
      </c>
      <c r="AK744" t="s">
        <v>342</v>
      </c>
      <c r="AL744">
        <v>-87.894379999999998</v>
      </c>
      <c r="AS744">
        <v>1</v>
      </c>
      <c r="AT744" t="s">
        <v>118</v>
      </c>
      <c r="AU744" t="b">
        <v>1</v>
      </c>
      <c r="AV744">
        <v>0</v>
      </c>
      <c r="AW744">
        <v>1.875</v>
      </c>
      <c r="AX744">
        <v>1</v>
      </c>
      <c r="AZ744">
        <v>7205</v>
      </c>
      <c r="BA744">
        <v>1</v>
      </c>
      <c r="BB744" t="str">
        <f t="shared" si="35"/>
        <v xml:space="preserve">KAP400  </v>
      </c>
      <c r="BC744">
        <v>1</v>
      </c>
      <c r="BE744">
        <v>0</v>
      </c>
      <c r="BF744">
        <v>0</v>
      </c>
      <c r="BG744">
        <v>0</v>
      </c>
      <c r="BI744">
        <v>1</v>
      </c>
      <c r="BJ744">
        <v>1</v>
      </c>
      <c r="BK744">
        <v>1</v>
      </c>
      <c r="BL744">
        <v>0</v>
      </c>
      <c r="BO744">
        <v>0</v>
      </c>
      <c r="BP744">
        <v>0</v>
      </c>
      <c r="BW744" t="str">
        <f>"19:16:01.185"</f>
        <v>19:16:01.185</v>
      </c>
      <c r="BX744" t="s">
        <v>119</v>
      </c>
      <c r="BY744" t="s">
        <v>120</v>
      </c>
      <c r="CJ744">
        <v>0</v>
      </c>
      <c r="CK744">
        <v>0</v>
      </c>
      <c r="CL744">
        <v>0</v>
      </c>
      <c r="CM744">
        <v>2</v>
      </c>
      <c r="CN744">
        <v>0</v>
      </c>
      <c r="CO744">
        <v>7</v>
      </c>
      <c r="CP744" t="s">
        <v>121</v>
      </c>
      <c r="CQ744">
        <v>579</v>
      </c>
      <c r="CR744">
        <v>0</v>
      </c>
      <c r="CW744">
        <v>1810190</v>
      </c>
      <c r="CY744">
        <v>0</v>
      </c>
      <c r="CZ744">
        <v>0</v>
      </c>
      <c r="DA744">
        <v>0</v>
      </c>
      <c r="DB744">
        <v>1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</row>
    <row r="745" spans="1:113" x14ac:dyDescent="0.3">
      <c r="A745" t="str">
        <f>"06/16/2022 19:16:02.425"</f>
        <v>06/16/2022 19:16:02.425</v>
      </c>
      <c r="C745" t="str">
        <f t="shared" si="36"/>
        <v>FFBF5BC0</v>
      </c>
      <c r="D745" t="s">
        <v>113</v>
      </c>
      <c r="E745">
        <v>8</v>
      </c>
      <c r="H745">
        <v>206</v>
      </c>
      <c r="I745" t="s">
        <v>114</v>
      </c>
      <c r="J745" t="s">
        <v>115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>"19:16:02.188"</f>
        <v>19:16:02.188</v>
      </c>
      <c r="T745" t="str">
        <f>"19:16:02.188"</f>
        <v>19:16:02.188</v>
      </c>
      <c r="U745" t="str">
        <f t="shared" si="34"/>
        <v>AB63B2</v>
      </c>
      <c r="V745">
        <v>0</v>
      </c>
      <c r="W745">
        <v>0</v>
      </c>
      <c r="X745">
        <v>6</v>
      </c>
      <c r="Z745">
        <v>0</v>
      </c>
      <c r="AA745">
        <v>9</v>
      </c>
      <c r="AB745">
        <v>3</v>
      </c>
      <c r="AC745">
        <v>0</v>
      </c>
      <c r="AD745">
        <v>10</v>
      </c>
      <c r="AE745">
        <v>0</v>
      </c>
      <c r="AF745">
        <v>0</v>
      </c>
      <c r="AG745">
        <v>2</v>
      </c>
      <c r="AH745">
        <v>0</v>
      </c>
      <c r="AI745" t="s">
        <v>712</v>
      </c>
      <c r="AJ745">
        <v>41.971184999999998</v>
      </c>
      <c r="AK745" t="s">
        <v>342</v>
      </c>
      <c r="AL745">
        <v>-87.894379999999998</v>
      </c>
      <c r="AS745">
        <v>1</v>
      </c>
      <c r="AT745" t="s">
        <v>118</v>
      </c>
      <c r="AU745" t="b">
        <v>1</v>
      </c>
      <c r="AV745">
        <v>0</v>
      </c>
      <c r="AW745">
        <v>1.875</v>
      </c>
      <c r="AX745">
        <v>1</v>
      </c>
      <c r="AZ745">
        <v>7205</v>
      </c>
      <c r="BA745">
        <v>1</v>
      </c>
      <c r="BB745" t="str">
        <f t="shared" si="35"/>
        <v xml:space="preserve">KAP400  </v>
      </c>
      <c r="BC745">
        <v>1</v>
      </c>
      <c r="BE745">
        <v>0</v>
      </c>
      <c r="BF745">
        <v>0</v>
      </c>
      <c r="BG745">
        <v>0</v>
      </c>
      <c r="BI745">
        <v>1</v>
      </c>
      <c r="BJ745">
        <v>1</v>
      </c>
      <c r="BK745">
        <v>1</v>
      </c>
      <c r="BL745">
        <v>0</v>
      </c>
      <c r="BO745">
        <v>0</v>
      </c>
      <c r="BP745">
        <v>0</v>
      </c>
      <c r="BW745" t="str">
        <f>"19:16:02.188"</f>
        <v>19:16:02.188</v>
      </c>
      <c r="BX745" t="s">
        <v>119</v>
      </c>
      <c r="BY745" t="s">
        <v>120</v>
      </c>
      <c r="CJ745">
        <v>0</v>
      </c>
      <c r="CK745">
        <v>0</v>
      </c>
      <c r="CL745">
        <v>0</v>
      </c>
      <c r="CM745">
        <v>2</v>
      </c>
      <c r="CN745">
        <v>0</v>
      </c>
      <c r="CO745">
        <v>7</v>
      </c>
      <c r="CP745" t="s">
        <v>121</v>
      </c>
      <c r="CQ745">
        <v>579</v>
      </c>
      <c r="CR745">
        <v>0</v>
      </c>
      <c r="CW745">
        <v>1812084</v>
      </c>
      <c r="CY745">
        <v>0</v>
      </c>
      <c r="CZ745">
        <v>0</v>
      </c>
      <c r="DA745">
        <v>0</v>
      </c>
      <c r="DB745">
        <v>1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</row>
    <row r="746" spans="1:113" x14ac:dyDescent="0.3">
      <c r="A746" t="str">
        <f>"06/16/2022 19:16:03.378"</f>
        <v>06/16/2022 19:16:03.378</v>
      </c>
      <c r="C746" t="str">
        <f t="shared" si="36"/>
        <v>FFBF5BC0</v>
      </c>
      <c r="D746" t="s">
        <v>113</v>
      </c>
      <c r="E746">
        <v>8</v>
      </c>
      <c r="H746">
        <v>206</v>
      </c>
      <c r="I746" t="s">
        <v>114</v>
      </c>
      <c r="J746" t="s">
        <v>115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>"19:16:03.148"</f>
        <v>19:16:03.148</v>
      </c>
      <c r="T746" t="str">
        <f>"19:16:03.148"</f>
        <v>19:16:03.148</v>
      </c>
      <c r="U746" t="str">
        <f t="shared" si="34"/>
        <v>AB63B2</v>
      </c>
      <c r="V746">
        <v>0</v>
      </c>
      <c r="W746">
        <v>0</v>
      </c>
      <c r="X746">
        <v>6</v>
      </c>
      <c r="Z746">
        <v>0</v>
      </c>
      <c r="AA746">
        <v>9</v>
      </c>
      <c r="AB746">
        <v>3</v>
      </c>
      <c r="AC746">
        <v>0</v>
      </c>
      <c r="AD746">
        <v>10</v>
      </c>
      <c r="AE746">
        <v>0</v>
      </c>
      <c r="AF746">
        <v>0</v>
      </c>
      <c r="AG746">
        <v>2</v>
      </c>
      <c r="AH746">
        <v>0</v>
      </c>
      <c r="AI746" t="s">
        <v>712</v>
      </c>
      <c r="AJ746">
        <v>41.971184999999998</v>
      </c>
      <c r="AK746" t="s">
        <v>342</v>
      </c>
      <c r="AL746">
        <v>-87.894379999999998</v>
      </c>
      <c r="AS746">
        <v>1</v>
      </c>
      <c r="AT746" t="s">
        <v>118</v>
      </c>
      <c r="AU746" t="b">
        <v>1</v>
      </c>
      <c r="AV746">
        <v>0</v>
      </c>
      <c r="AW746">
        <v>1.875</v>
      </c>
      <c r="AX746">
        <v>1</v>
      </c>
      <c r="AZ746">
        <v>7205</v>
      </c>
      <c r="BA746">
        <v>1</v>
      </c>
      <c r="BB746" t="str">
        <f t="shared" si="35"/>
        <v xml:space="preserve">KAP400  </v>
      </c>
      <c r="BC746">
        <v>1</v>
      </c>
      <c r="BE746">
        <v>0</v>
      </c>
      <c r="BF746">
        <v>0</v>
      </c>
      <c r="BG746">
        <v>0</v>
      </c>
      <c r="BI746">
        <v>1</v>
      </c>
      <c r="BJ746">
        <v>1</v>
      </c>
      <c r="BK746">
        <v>1</v>
      </c>
      <c r="BL746">
        <v>0</v>
      </c>
      <c r="BO746">
        <v>0</v>
      </c>
      <c r="BP746">
        <v>0</v>
      </c>
      <c r="BW746" t="str">
        <f>"19:16:03.151"</f>
        <v>19:16:03.151</v>
      </c>
      <c r="BX746" t="s">
        <v>119</v>
      </c>
      <c r="BY746" t="s">
        <v>120</v>
      </c>
      <c r="CJ746">
        <v>0</v>
      </c>
      <c r="CK746">
        <v>0</v>
      </c>
      <c r="CL746">
        <v>0</v>
      </c>
      <c r="CM746">
        <v>2</v>
      </c>
      <c r="CN746">
        <v>0</v>
      </c>
      <c r="CO746">
        <v>7</v>
      </c>
      <c r="CP746" t="s">
        <v>121</v>
      </c>
      <c r="CQ746">
        <v>579</v>
      </c>
      <c r="CR746">
        <v>0</v>
      </c>
      <c r="CW746">
        <v>1813838</v>
      </c>
      <c r="CY746">
        <v>0</v>
      </c>
      <c r="CZ746">
        <v>0</v>
      </c>
      <c r="DA746">
        <v>0</v>
      </c>
      <c r="DB746">
        <v>1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</row>
    <row r="747" spans="1:113" x14ac:dyDescent="0.3">
      <c r="A747" t="str">
        <f>"06/16/2022 19:16:04.425"</f>
        <v>06/16/2022 19:16:04.425</v>
      </c>
      <c r="C747" t="str">
        <f t="shared" si="36"/>
        <v>FFBF5BC0</v>
      </c>
      <c r="D747" t="s">
        <v>113</v>
      </c>
      <c r="E747">
        <v>8</v>
      </c>
      <c r="H747">
        <v>206</v>
      </c>
      <c r="I747" t="s">
        <v>114</v>
      </c>
      <c r="J747" t="s">
        <v>115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>"19:16:04.125"</f>
        <v>19:16:04.125</v>
      </c>
      <c r="T747" t="str">
        <f>"19:16:04.125"</f>
        <v>19:16:04.125</v>
      </c>
      <c r="U747" t="str">
        <f t="shared" si="34"/>
        <v>AB63B2</v>
      </c>
      <c r="V747">
        <v>0</v>
      </c>
      <c r="W747">
        <v>0</v>
      </c>
      <c r="X747">
        <v>6</v>
      </c>
      <c r="Z747">
        <v>0</v>
      </c>
      <c r="AA747">
        <v>9</v>
      </c>
      <c r="AB747">
        <v>3</v>
      </c>
      <c r="AC747">
        <v>0</v>
      </c>
      <c r="AD747">
        <v>10</v>
      </c>
      <c r="AE747">
        <v>0</v>
      </c>
      <c r="AF747">
        <v>0</v>
      </c>
      <c r="AG747">
        <v>2</v>
      </c>
      <c r="AH747">
        <v>0</v>
      </c>
      <c r="AI747" t="s">
        <v>559</v>
      </c>
      <c r="AJ747">
        <v>41.971207</v>
      </c>
      <c r="AK747" t="s">
        <v>342</v>
      </c>
      <c r="AL747">
        <v>-87.894379999999998</v>
      </c>
      <c r="AS747">
        <v>1</v>
      </c>
      <c r="AT747" t="s">
        <v>118</v>
      </c>
      <c r="AU747" t="b">
        <v>1</v>
      </c>
      <c r="AV747">
        <v>2.81</v>
      </c>
      <c r="AW747">
        <v>1.875</v>
      </c>
      <c r="AX747">
        <v>1</v>
      </c>
      <c r="AZ747">
        <v>7205</v>
      </c>
      <c r="BA747">
        <v>1</v>
      </c>
      <c r="BB747" t="str">
        <f t="shared" si="35"/>
        <v xml:space="preserve">KAP400  </v>
      </c>
      <c r="BC747">
        <v>1</v>
      </c>
      <c r="BE747">
        <v>0</v>
      </c>
      <c r="BF747">
        <v>0</v>
      </c>
      <c r="BG747">
        <v>0</v>
      </c>
      <c r="BI747">
        <v>1</v>
      </c>
      <c r="BJ747">
        <v>1</v>
      </c>
      <c r="BK747">
        <v>1</v>
      </c>
      <c r="BL747">
        <v>0</v>
      </c>
      <c r="BO747">
        <v>0</v>
      </c>
      <c r="BP747">
        <v>0</v>
      </c>
      <c r="BW747" t="str">
        <f>"19:16:04.129"</f>
        <v>19:16:04.129</v>
      </c>
      <c r="BX747" t="s">
        <v>119</v>
      </c>
      <c r="BY747" t="s">
        <v>120</v>
      </c>
      <c r="CJ747">
        <v>0</v>
      </c>
      <c r="CK747">
        <v>0</v>
      </c>
      <c r="CL747">
        <v>0</v>
      </c>
      <c r="CM747">
        <v>2</v>
      </c>
      <c r="CN747">
        <v>0</v>
      </c>
      <c r="CO747">
        <v>7</v>
      </c>
      <c r="CP747" t="s">
        <v>121</v>
      </c>
      <c r="CQ747">
        <v>579</v>
      </c>
      <c r="CR747">
        <v>0</v>
      </c>
      <c r="CW747">
        <v>1815674</v>
      </c>
      <c r="CY747">
        <v>0</v>
      </c>
      <c r="CZ747">
        <v>0</v>
      </c>
      <c r="DA747">
        <v>0</v>
      </c>
      <c r="DB747">
        <v>1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</row>
    <row r="748" spans="1:113" x14ac:dyDescent="0.3">
      <c r="A748" t="str">
        <f>"06/16/2022 19:16:05.456"</f>
        <v>06/16/2022 19:16:05.456</v>
      </c>
      <c r="C748" t="str">
        <f t="shared" si="36"/>
        <v>FFBF5BC0</v>
      </c>
      <c r="D748" t="s">
        <v>113</v>
      </c>
      <c r="E748">
        <v>8</v>
      </c>
      <c r="H748">
        <v>206</v>
      </c>
      <c r="I748" t="s">
        <v>114</v>
      </c>
      <c r="J748" t="s">
        <v>115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>"19:16:05.125"</f>
        <v>19:16:05.125</v>
      </c>
      <c r="T748" t="str">
        <f>"19:16:05.125"</f>
        <v>19:16:05.125</v>
      </c>
      <c r="U748" t="str">
        <f t="shared" si="34"/>
        <v>AB63B2</v>
      </c>
      <c r="V748">
        <v>0</v>
      </c>
      <c r="W748">
        <v>0</v>
      </c>
      <c r="X748">
        <v>6</v>
      </c>
      <c r="Z748">
        <v>0</v>
      </c>
      <c r="AA748">
        <v>9</v>
      </c>
      <c r="AB748">
        <v>3</v>
      </c>
      <c r="AC748">
        <v>0</v>
      </c>
      <c r="AD748">
        <v>10</v>
      </c>
      <c r="AE748">
        <v>0</v>
      </c>
      <c r="AF748">
        <v>0</v>
      </c>
      <c r="AG748">
        <v>2</v>
      </c>
      <c r="AH748">
        <v>0</v>
      </c>
      <c r="AI748" t="s">
        <v>713</v>
      </c>
      <c r="AJ748">
        <v>41.971228000000004</v>
      </c>
      <c r="AK748" t="s">
        <v>342</v>
      </c>
      <c r="AL748">
        <v>-87.894379999999998</v>
      </c>
      <c r="AS748">
        <v>1</v>
      </c>
      <c r="AT748" t="s">
        <v>118</v>
      </c>
      <c r="AU748" t="b">
        <v>1</v>
      </c>
      <c r="AV748">
        <v>2.81</v>
      </c>
      <c r="AW748">
        <v>2.125</v>
      </c>
      <c r="AX748">
        <v>1</v>
      </c>
      <c r="AZ748">
        <v>7205</v>
      </c>
      <c r="BA748">
        <v>1</v>
      </c>
      <c r="BB748" t="str">
        <f t="shared" si="35"/>
        <v xml:space="preserve">KAP400  </v>
      </c>
      <c r="BC748">
        <v>1</v>
      </c>
      <c r="BE748">
        <v>0</v>
      </c>
      <c r="BF748">
        <v>0</v>
      </c>
      <c r="BG748">
        <v>0</v>
      </c>
      <c r="BI748">
        <v>1</v>
      </c>
      <c r="BJ748">
        <v>1</v>
      </c>
      <c r="BK748">
        <v>1</v>
      </c>
      <c r="BL748">
        <v>0</v>
      </c>
      <c r="BO748">
        <v>0</v>
      </c>
      <c r="BP748">
        <v>0</v>
      </c>
      <c r="BW748" t="str">
        <f>"19:16:05.130"</f>
        <v>19:16:05.130</v>
      </c>
      <c r="BX748" t="s">
        <v>119</v>
      </c>
      <c r="BY748" t="s">
        <v>120</v>
      </c>
      <c r="CJ748">
        <v>0</v>
      </c>
      <c r="CK748">
        <v>0</v>
      </c>
      <c r="CL748">
        <v>0</v>
      </c>
      <c r="CM748">
        <v>2</v>
      </c>
      <c r="CN748">
        <v>0</v>
      </c>
      <c r="CO748">
        <v>7</v>
      </c>
      <c r="CP748" t="s">
        <v>121</v>
      </c>
      <c r="CQ748">
        <v>580</v>
      </c>
      <c r="CR748">
        <v>0</v>
      </c>
      <c r="CW748">
        <v>696452</v>
      </c>
      <c r="CY748">
        <v>0</v>
      </c>
      <c r="CZ748">
        <v>0</v>
      </c>
      <c r="DA748">
        <v>0</v>
      </c>
      <c r="DB748">
        <v>1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</row>
    <row r="749" spans="1:113" x14ac:dyDescent="0.3">
      <c r="A749" t="str">
        <f>"06/16/2022 19:16:06.581"</f>
        <v>06/16/2022 19:16:06.581</v>
      </c>
      <c r="C749" t="str">
        <f t="shared" si="36"/>
        <v>FFBF5BC0</v>
      </c>
      <c r="D749" t="s">
        <v>113</v>
      </c>
      <c r="E749">
        <v>8</v>
      </c>
      <c r="H749">
        <v>206</v>
      </c>
      <c r="I749" t="s">
        <v>114</v>
      </c>
      <c r="J749" t="s">
        <v>115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>"19:16:06.281"</f>
        <v>19:16:06.281</v>
      </c>
      <c r="T749" t="str">
        <f>"19:16:06.281"</f>
        <v>19:16:06.281</v>
      </c>
      <c r="U749" t="str">
        <f t="shared" si="34"/>
        <v>AB63B2</v>
      </c>
      <c r="V749">
        <v>0</v>
      </c>
      <c r="W749">
        <v>0</v>
      </c>
      <c r="X749">
        <v>6</v>
      </c>
      <c r="Z749">
        <v>0</v>
      </c>
      <c r="AA749">
        <v>9</v>
      </c>
      <c r="AB749">
        <v>3</v>
      </c>
      <c r="AC749">
        <v>0</v>
      </c>
      <c r="AD749">
        <v>10</v>
      </c>
      <c r="AE749">
        <v>0</v>
      </c>
      <c r="AF749">
        <v>0</v>
      </c>
      <c r="AG749">
        <v>2</v>
      </c>
      <c r="AH749">
        <v>0</v>
      </c>
      <c r="AI749" t="s">
        <v>713</v>
      </c>
      <c r="AJ749">
        <v>41.971228000000004</v>
      </c>
      <c r="AK749" t="s">
        <v>342</v>
      </c>
      <c r="AL749">
        <v>-87.894379999999998</v>
      </c>
      <c r="AS749">
        <v>1</v>
      </c>
      <c r="AT749" t="s">
        <v>118</v>
      </c>
      <c r="AU749" t="b">
        <v>1</v>
      </c>
      <c r="AV749">
        <v>0</v>
      </c>
      <c r="AW749">
        <v>2.625</v>
      </c>
      <c r="AX749">
        <v>1</v>
      </c>
      <c r="AZ749">
        <v>7205</v>
      </c>
      <c r="BA749">
        <v>1</v>
      </c>
      <c r="BB749" t="str">
        <f t="shared" si="35"/>
        <v xml:space="preserve">KAP400  </v>
      </c>
      <c r="BC749">
        <v>1</v>
      </c>
      <c r="BE749">
        <v>0</v>
      </c>
      <c r="BF749">
        <v>0</v>
      </c>
      <c r="BG749">
        <v>0</v>
      </c>
      <c r="BI749">
        <v>1</v>
      </c>
      <c r="BJ749">
        <v>1</v>
      </c>
      <c r="BK749">
        <v>1</v>
      </c>
      <c r="BL749">
        <v>0</v>
      </c>
      <c r="BO749">
        <v>0</v>
      </c>
      <c r="BP749">
        <v>0</v>
      </c>
      <c r="BW749" t="str">
        <f>"19:16:06.289"</f>
        <v>19:16:06.289</v>
      </c>
      <c r="BX749" t="s">
        <v>119</v>
      </c>
      <c r="BY749" t="s">
        <v>120</v>
      </c>
      <c r="CJ749">
        <v>0</v>
      </c>
      <c r="CK749">
        <v>0</v>
      </c>
      <c r="CL749">
        <v>0</v>
      </c>
      <c r="CM749">
        <v>2</v>
      </c>
      <c r="CN749">
        <v>0</v>
      </c>
      <c r="CO749">
        <v>7</v>
      </c>
      <c r="CP749" t="s">
        <v>121</v>
      </c>
      <c r="CQ749">
        <v>580</v>
      </c>
      <c r="CR749">
        <v>0</v>
      </c>
      <c r="CW749">
        <v>698581</v>
      </c>
      <c r="CY749">
        <v>0</v>
      </c>
      <c r="CZ749">
        <v>0</v>
      </c>
      <c r="DA749">
        <v>0</v>
      </c>
      <c r="DB749">
        <v>1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</row>
    <row r="750" spans="1:113" x14ac:dyDescent="0.3">
      <c r="A750" t="str">
        <f>"06/16/2022 19:16:07.487"</f>
        <v>06/16/2022 19:16:07.487</v>
      </c>
      <c r="C750" t="str">
        <f t="shared" si="36"/>
        <v>FFBF5BC0</v>
      </c>
      <c r="D750" t="s">
        <v>113</v>
      </c>
      <c r="E750">
        <v>8</v>
      </c>
      <c r="H750">
        <v>206</v>
      </c>
      <c r="I750" t="s">
        <v>114</v>
      </c>
      <c r="J750" t="s">
        <v>115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>"19:16:07.250"</f>
        <v>19:16:07.250</v>
      </c>
      <c r="T750" t="str">
        <f>"19:16:07.250"</f>
        <v>19:16:07.250</v>
      </c>
      <c r="U750" t="str">
        <f t="shared" si="34"/>
        <v>AB63B2</v>
      </c>
      <c r="V750">
        <v>0</v>
      </c>
      <c r="W750">
        <v>0</v>
      </c>
      <c r="X750">
        <v>6</v>
      </c>
      <c r="Z750">
        <v>0</v>
      </c>
      <c r="AA750">
        <v>9</v>
      </c>
      <c r="AB750">
        <v>3</v>
      </c>
      <c r="AC750">
        <v>0</v>
      </c>
      <c r="AD750">
        <v>10</v>
      </c>
      <c r="AE750">
        <v>0</v>
      </c>
      <c r="AF750">
        <v>0</v>
      </c>
      <c r="AG750">
        <v>2</v>
      </c>
      <c r="AH750">
        <v>0</v>
      </c>
      <c r="AI750" t="s">
        <v>713</v>
      </c>
      <c r="AJ750">
        <v>41.971228000000004</v>
      </c>
      <c r="AK750" t="s">
        <v>342</v>
      </c>
      <c r="AL750">
        <v>-87.894379999999998</v>
      </c>
      <c r="AS750">
        <v>1</v>
      </c>
      <c r="AT750" t="s">
        <v>118</v>
      </c>
      <c r="AU750" t="b">
        <v>1</v>
      </c>
      <c r="AV750">
        <v>2.81</v>
      </c>
      <c r="AW750">
        <v>2.625</v>
      </c>
      <c r="AX750">
        <v>1</v>
      </c>
      <c r="AZ750">
        <v>7205</v>
      </c>
      <c r="BA750">
        <v>1</v>
      </c>
      <c r="BB750" t="str">
        <f t="shared" si="35"/>
        <v xml:space="preserve">KAP400  </v>
      </c>
      <c r="BC750">
        <v>1</v>
      </c>
      <c r="BE750">
        <v>0</v>
      </c>
      <c r="BF750">
        <v>0</v>
      </c>
      <c r="BG750">
        <v>0</v>
      </c>
      <c r="BI750">
        <v>1</v>
      </c>
      <c r="BJ750">
        <v>1</v>
      </c>
      <c r="BK750">
        <v>1</v>
      </c>
      <c r="BL750">
        <v>0</v>
      </c>
      <c r="BO750">
        <v>0</v>
      </c>
      <c r="BP750">
        <v>0</v>
      </c>
      <c r="BW750" t="str">
        <f>"19:16:07.257"</f>
        <v>19:16:07.257</v>
      </c>
      <c r="BX750" t="s">
        <v>119</v>
      </c>
      <c r="BY750" t="s">
        <v>120</v>
      </c>
      <c r="CJ750">
        <v>0</v>
      </c>
      <c r="CK750">
        <v>0</v>
      </c>
      <c r="CL750">
        <v>0</v>
      </c>
      <c r="CM750">
        <v>2</v>
      </c>
      <c r="CN750">
        <v>0</v>
      </c>
      <c r="CO750">
        <v>7</v>
      </c>
      <c r="CP750" t="s">
        <v>121</v>
      </c>
      <c r="CQ750">
        <v>579</v>
      </c>
      <c r="CR750">
        <v>0</v>
      </c>
      <c r="CW750">
        <v>1821447</v>
      </c>
      <c r="CY750">
        <v>0</v>
      </c>
      <c r="CZ750">
        <v>0</v>
      </c>
      <c r="DA750">
        <v>0</v>
      </c>
      <c r="DB750">
        <v>1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</row>
    <row r="751" spans="1:113" x14ac:dyDescent="0.3">
      <c r="A751" t="str">
        <f>"06/16/2022 19:16:08.503"</f>
        <v>06/16/2022 19:16:08.503</v>
      </c>
      <c r="C751" t="str">
        <f t="shared" si="36"/>
        <v>FFBF5BC0</v>
      </c>
      <c r="D751" t="s">
        <v>113</v>
      </c>
      <c r="E751">
        <v>8</v>
      </c>
      <c r="H751">
        <v>206</v>
      </c>
      <c r="I751" t="s">
        <v>114</v>
      </c>
      <c r="J751" t="s">
        <v>115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>"19:16:08.203"</f>
        <v>19:16:08.203</v>
      </c>
      <c r="T751" t="str">
        <f>"19:16:08.203"</f>
        <v>19:16:08.203</v>
      </c>
      <c r="U751" t="str">
        <f t="shared" si="34"/>
        <v>AB63B2</v>
      </c>
      <c r="V751">
        <v>0</v>
      </c>
      <c r="W751">
        <v>0</v>
      </c>
      <c r="X751">
        <v>6</v>
      </c>
      <c r="Z751">
        <v>0</v>
      </c>
      <c r="AA751">
        <v>9</v>
      </c>
      <c r="AB751">
        <v>3</v>
      </c>
      <c r="AC751">
        <v>0</v>
      </c>
      <c r="AD751">
        <v>10</v>
      </c>
      <c r="AE751">
        <v>0</v>
      </c>
      <c r="AF751">
        <v>0</v>
      </c>
      <c r="AG751">
        <v>2</v>
      </c>
      <c r="AH751">
        <v>0</v>
      </c>
      <c r="AI751" t="s">
        <v>558</v>
      </c>
      <c r="AJ751">
        <v>41.971249999999998</v>
      </c>
      <c r="AK751" t="s">
        <v>342</v>
      </c>
      <c r="AL751">
        <v>-87.894379999999998</v>
      </c>
      <c r="AS751">
        <v>1</v>
      </c>
      <c r="AT751" t="s">
        <v>118</v>
      </c>
      <c r="AU751" t="b">
        <v>1</v>
      </c>
      <c r="AV751">
        <v>2.81</v>
      </c>
      <c r="AW751">
        <v>3.125</v>
      </c>
      <c r="AX751">
        <v>1</v>
      </c>
      <c r="AZ751">
        <v>7205</v>
      </c>
      <c r="BA751">
        <v>1</v>
      </c>
      <c r="BB751" t="str">
        <f t="shared" si="35"/>
        <v xml:space="preserve">KAP400  </v>
      </c>
      <c r="BC751">
        <v>1</v>
      </c>
      <c r="BE751">
        <v>0</v>
      </c>
      <c r="BF751">
        <v>0</v>
      </c>
      <c r="BG751">
        <v>0</v>
      </c>
      <c r="BI751">
        <v>1</v>
      </c>
      <c r="BJ751">
        <v>1</v>
      </c>
      <c r="BK751">
        <v>1</v>
      </c>
      <c r="BL751">
        <v>0</v>
      </c>
      <c r="BO751">
        <v>0</v>
      </c>
      <c r="BP751">
        <v>0</v>
      </c>
      <c r="BW751" t="str">
        <f>"19:16:08.204"</f>
        <v>19:16:08.204</v>
      </c>
      <c r="BX751" t="s">
        <v>119</v>
      </c>
      <c r="BY751" t="s">
        <v>120</v>
      </c>
      <c r="CJ751">
        <v>0</v>
      </c>
      <c r="CK751">
        <v>0</v>
      </c>
      <c r="CL751">
        <v>0</v>
      </c>
      <c r="CM751">
        <v>2</v>
      </c>
      <c r="CN751">
        <v>0</v>
      </c>
      <c r="CO751">
        <v>7</v>
      </c>
      <c r="CP751" t="s">
        <v>121</v>
      </c>
      <c r="CQ751">
        <v>579</v>
      </c>
      <c r="CR751">
        <v>0</v>
      </c>
      <c r="CW751">
        <v>1823149</v>
      </c>
      <c r="CY751">
        <v>0</v>
      </c>
      <c r="CZ751">
        <v>0</v>
      </c>
      <c r="DA751">
        <v>0</v>
      </c>
      <c r="DB751">
        <v>1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</row>
    <row r="752" spans="1:113" x14ac:dyDescent="0.3">
      <c r="A752" t="str">
        <f>"06/16/2022 19:16:09.847"</f>
        <v>06/16/2022 19:16:09.847</v>
      </c>
      <c r="C752" t="str">
        <f t="shared" si="36"/>
        <v>FFBF5BC0</v>
      </c>
      <c r="D752" t="s">
        <v>113</v>
      </c>
      <c r="E752">
        <v>8</v>
      </c>
      <c r="H752">
        <v>206</v>
      </c>
      <c r="I752" t="s">
        <v>114</v>
      </c>
      <c r="J752" t="s">
        <v>115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>"19:16:09.656"</f>
        <v>19:16:09.656</v>
      </c>
      <c r="T752" t="str">
        <f>"19:16:09.656"</f>
        <v>19:16:09.656</v>
      </c>
      <c r="U752" t="str">
        <f t="shared" si="34"/>
        <v>AB63B2</v>
      </c>
      <c r="V752">
        <v>0</v>
      </c>
      <c r="W752">
        <v>0</v>
      </c>
      <c r="X752">
        <v>6</v>
      </c>
      <c r="Z752">
        <v>0</v>
      </c>
      <c r="AA752">
        <v>9</v>
      </c>
      <c r="AB752">
        <v>3</v>
      </c>
      <c r="AC752">
        <v>0</v>
      </c>
      <c r="AD752">
        <v>10</v>
      </c>
      <c r="AE752">
        <v>0</v>
      </c>
      <c r="AF752">
        <v>0</v>
      </c>
      <c r="AG752">
        <v>2</v>
      </c>
      <c r="AH752">
        <v>0</v>
      </c>
      <c r="AI752" t="s">
        <v>714</v>
      </c>
      <c r="AJ752">
        <v>41.971271000000002</v>
      </c>
      <c r="AK752" t="s">
        <v>342</v>
      </c>
      <c r="AL752">
        <v>-87.894379999999998</v>
      </c>
      <c r="AS752">
        <v>1</v>
      </c>
      <c r="AT752" t="s">
        <v>118</v>
      </c>
      <c r="AU752" t="b">
        <v>1</v>
      </c>
      <c r="AV752">
        <v>2.81</v>
      </c>
      <c r="AW752">
        <v>3.625</v>
      </c>
      <c r="AX752">
        <v>1</v>
      </c>
      <c r="AZ752">
        <v>7205</v>
      </c>
      <c r="BA752">
        <v>1</v>
      </c>
      <c r="BB752" t="str">
        <f t="shared" si="35"/>
        <v xml:space="preserve">KAP400  </v>
      </c>
      <c r="BC752">
        <v>1</v>
      </c>
      <c r="BE752">
        <v>0</v>
      </c>
      <c r="BF752">
        <v>0</v>
      </c>
      <c r="BG752">
        <v>0</v>
      </c>
      <c r="BI752">
        <v>1</v>
      </c>
      <c r="BJ752">
        <v>1</v>
      </c>
      <c r="BK752">
        <v>1</v>
      </c>
      <c r="BL752">
        <v>0</v>
      </c>
      <c r="BO752">
        <v>0</v>
      </c>
      <c r="BP752">
        <v>0</v>
      </c>
      <c r="BW752" t="str">
        <f>"19:16:09.664"</f>
        <v>19:16:09.664</v>
      </c>
      <c r="BX752" t="s">
        <v>119</v>
      </c>
      <c r="BY752" t="s">
        <v>120</v>
      </c>
      <c r="CJ752">
        <v>0</v>
      </c>
      <c r="CK752">
        <v>0</v>
      </c>
      <c r="CL752">
        <v>0</v>
      </c>
      <c r="CM752">
        <v>2</v>
      </c>
      <c r="CN752">
        <v>0</v>
      </c>
      <c r="CO752">
        <v>7</v>
      </c>
      <c r="CP752" t="s">
        <v>121</v>
      </c>
      <c r="CQ752">
        <v>580</v>
      </c>
      <c r="CR752">
        <v>0</v>
      </c>
      <c r="CW752">
        <v>704674</v>
      </c>
      <c r="CY752">
        <v>0</v>
      </c>
      <c r="CZ752">
        <v>0</v>
      </c>
      <c r="DA752">
        <v>0</v>
      </c>
      <c r="DB752">
        <v>1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</row>
    <row r="753" spans="1:113" x14ac:dyDescent="0.3">
      <c r="A753" t="str">
        <f>"06/16/2022 19:16:10.909"</f>
        <v>06/16/2022 19:16:10.909</v>
      </c>
      <c r="C753" t="str">
        <f t="shared" si="36"/>
        <v>FFBF5BC0</v>
      </c>
      <c r="D753" t="s">
        <v>113</v>
      </c>
      <c r="E753">
        <v>8</v>
      </c>
      <c r="H753">
        <v>206</v>
      </c>
      <c r="I753" t="s">
        <v>114</v>
      </c>
      <c r="J753" t="s">
        <v>115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>"19:16:10.625"</f>
        <v>19:16:10.625</v>
      </c>
      <c r="T753" t="str">
        <f>"19:16:10.625"</f>
        <v>19:16:10.625</v>
      </c>
      <c r="U753" t="str">
        <f t="shared" si="34"/>
        <v>AB63B2</v>
      </c>
      <c r="V753">
        <v>0</v>
      </c>
      <c r="W753">
        <v>0</v>
      </c>
      <c r="X753">
        <v>6</v>
      </c>
      <c r="Z753">
        <v>0</v>
      </c>
      <c r="AA753">
        <v>9</v>
      </c>
      <c r="AB753">
        <v>3</v>
      </c>
      <c r="AC753">
        <v>0</v>
      </c>
      <c r="AD753">
        <v>10</v>
      </c>
      <c r="AE753">
        <v>0</v>
      </c>
      <c r="AF753">
        <v>0</v>
      </c>
      <c r="AG753">
        <v>2</v>
      </c>
      <c r="AH753">
        <v>0</v>
      </c>
      <c r="AI753" t="s">
        <v>557</v>
      </c>
      <c r="AJ753">
        <v>41.971291999999998</v>
      </c>
      <c r="AK753" t="s">
        <v>342</v>
      </c>
      <c r="AL753">
        <v>-87.894379999999998</v>
      </c>
      <c r="AS753">
        <v>1</v>
      </c>
      <c r="AT753" t="s">
        <v>118</v>
      </c>
      <c r="AU753" t="b">
        <v>1</v>
      </c>
      <c r="AV753">
        <v>2.81</v>
      </c>
      <c r="AW753">
        <v>3.625</v>
      </c>
      <c r="AX753">
        <v>1</v>
      </c>
      <c r="AZ753">
        <v>7205</v>
      </c>
      <c r="BA753">
        <v>1</v>
      </c>
      <c r="BB753" t="str">
        <f t="shared" si="35"/>
        <v xml:space="preserve">KAP400  </v>
      </c>
      <c r="BC753">
        <v>1</v>
      </c>
      <c r="BE753">
        <v>0</v>
      </c>
      <c r="BF753">
        <v>0</v>
      </c>
      <c r="BG753">
        <v>0</v>
      </c>
      <c r="BI753">
        <v>1</v>
      </c>
      <c r="BJ753">
        <v>1</v>
      </c>
      <c r="BK753">
        <v>1</v>
      </c>
      <c r="BL753">
        <v>0</v>
      </c>
      <c r="BO753">
        <v>0</v>
      </c>
      <c r="BP753">
        <v>0</v>
      </c>
      <c r="BW753" t="str">
        <f>"19:16:10.629"</f>
        <v>19:16:10.629</v>
      </c>
      <c r="BX753" t="s">
        <v>119</v>
      </c>
      <c r="BY753" t="s">
        <v>120</v>
      </c>
      <c r="CJ753">
        <v>0</v>
      </c>
      <c r="CK753">
        <v>0</v>
      </c>
      <c r="CL753">
        <v>0</v>
      </c>
      <c r="CM753">
        <v>2</v>
      </c>
      <c r="CN753">
        <v>0</v>
      </c>
      <c r="CO753">
        <v>7</v>
      </c>
      <c r="CP753" t="s">
        <v>121</v>
      </c>
      <c r="CQ753">
        <v>579</v>
      </c>
      <c r="CR753">
        <v>0</v>
      </c>
      <c r="CW753">
        <v>1827764</v>
      </c>
      <c r="CY753">
        <v>0</v>
      </c>
      <c r="CZ753">
        <v>0</v>
      </c>
      <c r="DA753">
        <v>0</v>
      </c>
      <c r="DB753">
        <v>1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</row>
    <row r="754" spans="1:113" x14ac:dyDescent="0.3">
      <c r="A754" t="str">
        <f>"06/16/2022 19:16:11.909"</f>
        <v>06/16/2022 19:16:11.909</v>
      </c>
      <c r="C754" t="str">
        <f t="shared" si="36"/>
        <v>FFBF5BC0</v>
      </c>
      <c r="D754" t="s">
        <v>113</v>
      </c>
      <c r="E754">
        <v>8</v>
      </c>
      <c r="H754">
        <v>206</v>
      </c>
      <c r="I754" t="s">
        <v>114</v>
      </c>
      <c r="J754" t="s">
        <v>115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>"19:16:11.688"</f>
        <v>19:16:11.688</v>
      </c>
      <c r="T754" t="str">
        <f>"19:16:11.688"</f>
        <v>19:16:11.688</v>
      </c>
      <c r="U754" t="str">
        <f t="shared" si="34"/>
        <v>AB63B2</v>
      </c>
      <c r="V754">
        <v>0</v>
      </c>
      <c r="W754">
        <v>0</v>
      </c>
      <c r="X754">
        <v>6</v>
      </c>
      <c r="Z754">
        <v>0</v>
      </c>
      <c r="AA754">
        <v>9</v>
      </c>
      <c r="AB754">
        <v>3</v>
      </c>
      <c r="AC754">
        <v>0</v>
      </c>
      <c r="AD754">
        <v>10</v>
      </c>
      <c r="AE754">
        <v>0</v>
      </c>
      <c r="AF754">
        <v>0</v>
      </c>
      <c r="AG754">
        <v>2</v>
      </c>
      <c r="AH754">
        <v>0</v>
      </c>
      <c r="AI754" t="s">
        <v>557</v>
      </c>
      <c r="AJ754">
        <v>41.971291999999998</v>
      </c>
      <c r="AK754" t="s">
        <v>342</v>
      </c>
      <c r="AL754">
        <v>-87.894379999999998</v>
      </c>
      <c r="AS754">
        <v>1</v>
      </c>
      <c r="AT754" t="s">
        <v>118</v>
      </c>
      <c r="AU754" t="b">
        <v>1</v>
      </c>
      <c r="AV754">
        <v>2.81</v>
      </c>
      <c r="AW754">
        <v>4.125</v>
      </c>
      <c r="AX754">
        <v>1</v>
      </c>
      <c r="AZ754">
        <v>7205</v>
      </c>
      <c r="BA754">
        <v>1</v>
      </c>
      <c r="BB754" t="str">
        <f t="shared" si="35"/>
        <v xml:space="preserve">KAP400  </v>
      </c>
      <c r="BC754">
        <v>1</v>
      </c>
      <c r="BE754">
        <v>0</v>
      </c>
      <c r="BF754">
        <v>0</v>
      </c>
      <c r="BG754">
        <v>0</v>
      </c>
      <c r="BI754">
        <v>1</v>
      </c>
      <c r="BJ754">
        <v>1</v>
      </c>
      <c r="BK754">
        <v>1</v>
      </c>
      <c r="BL754">
        <v>0</v>
      </c>
      <c r="BO754">
        <v>0</v>
      </c>
      <c r="BP754">
        <v>0</v>
      </c>
      <c r="BW754" t="str">
        <f>"19:16:11.692"</f>
        <v>19:16:11.692</v>
      </c>
      <c r="BX754" t="s">
        <v>119</v>
      </c>
      <c r="BY754" t="s">
        <v>120</v>
      </c>
      <c r="CJ754">
        <v>0</v>
      </c>
      <c r="CK754">
        <v>0</v>
      </c>
      <c r="CL754">
        <v>0</v>
      </c>
      <c r="CM754">
        <v>2</v>
      </c>
      <c r="CN754">
        <v>0</v>
      </c>
      <c r="CO754">
        <v>7</v>
      </c>
      <c r="CP754" t="s">
        <v>121</v>
      </c>
      <c r="CQ754">
        <v>579</v>
      </c>
      <c r="CR754">
        <v>0</v>
      </c>
      <c r="CW754">
        <v>1829780</v>
      </c>
      <c r="CY754">
        <v>0</v>
      </c>
      <c r="CZ754">
        <v>0</v>
      </c>
      <c r="DA754">
        <v>0</v>
      </c>
      <c r="DB754">
        <v>1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</row>
    <row r="755" spans="1:113" x14ac:dyDescent="0.3">
      <c r="A755" t="str">
        <f>"06/16/2022 19:16:12.909"</f>
        <v>06/16/2022 19:16:12.909</v>
      </c>
      <c r="C755" t="str">
        <f t="shared" si="36"/>
        <v>FFBF5BC0</v>
      </c>
      <c r="D755" t="s">
        <v>113</v>
      </c>
      <c r="E755">
        <v>8</v>
      </c>
      <c r="H755">
        <v>206</v>
      </c>
      <c r="I755" t="s">
        <v>114</v>
      </c>
      <c r="J755" t="s">
        <v>115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>"19:16:12.672"</f>
        <v>19:16:12.672</v>
      </c>
      <c r="T755" t="str">
        <f>"19:16:12.672"</f>
        <v>19:16:12.672</v>
      </c>
      <c r="U755" t="str">
        <f t="shared" si="34"/>
        <v>AB63B2</v>
      </c>
      <c r="V755">
        <v>0</v>
      </c>
      <c r="W755">
        <v>0</v>
      </c>
      <c r="X755">
        <v>6</v>
      </c>
      <c r="Z755">
        <v>0</v>
      </c>
      <c r="AA755">
        <v>9</v>
      </c>
      <c r="AB755">
        <v>3</v>
      </c>
      <c r="AC755">
        <v>0</v>
      </c>
      <c r="AD755">
        <v>10</v>
      </c>
      <c r="AE755">
        <v>0</v>
      </c>
      <c r="AF755">
        <v>0</v>
      </c>
      <c r="AG755">
        <v>2</v>
      </c>
      <c r="AH755">
        <v>0</v>
      </c>
      <c r="AI755" t="s">
        <v>556</v>
      </c>
      <c r="AJ755">
        <v>41.971314</v>
      </c>
      <c r="AK755" t="s">
        <v>342</v>
      </c>
      <c r="AL755">
        <v>-87.894379999999998</v>
      </c>
      <c r="AS755">
        <v>1</v>
      </c>
      <c r="AT755" t="s">
        <v>118</v>
      </c>
      <c r="AU755" t="b">
        <v>1</v>
      </c>
      <c r="AV755">
        <v>2.81</v>
      </c>
      <c r="AW755">
        <v>4.125</v>
      </c>
      <c r="AX755">
        <v>1</v>
      </c>
      <c r="AZ755">
        <v>7205</v>
      </c>
      <c r="BA755">
        <v>1</v>
      </c>
      <c r="BB755" t="str">
        <f t="shared" si="35"/>
        <v xml:space="preserve">KAP400  </v>
      </c>
      <c r="BC755">
        <v>1</v>
      </c>
      <c r="BE755">
        <v>0</v>
      </c>
      <c r="BF755">
        <v>0</v>
      </c>
      <c r="BG755">
        <v>0</v>
      </c>
      <c r="BI755">
        <v>1</v>
      </c>
      <c r="BJ755">
        <v>1</v>
      </c>
      <c r="BK755">
        <v>1</v>
      </c>
      <c r="BL755">
        <v>0</v>
      </c>
      <c r="BO755">
        <v>0</v>
      </c>
      <c r="BP755">
        <v>0</v>
      </c>
      <c r="BW755" t="str">
        <f>"19:16:12.674"</f>
        <v>19:16:12.674</v>
      </c>
      <c r="BX755" t="s">
        <v>119</v>
      </c>
      <c r="BY755" t="s">
        <v>120</v>
      </c>
      <c r="CJ755">
        <v>0</v>
      </c>
      <c r="CK755">
        <v>0</v>
      </c>
      <c r="CL755">
        <v>0</v>
      </c>
      <c r="CM755">
        <v>2</v>
      </c>
      <c r="CN755">
        <v>0</v>
      </c>
      <c r="CO755">
        <v>7</v>
      </c>
      <c r="CP755" t="s">
        <v>121</v>
      </c>
      <c r="CQ755">
        <v>579</v>
      </c>
      <c r="CR755">
        <v>0</v>
      </c>
      <c r="CW755">
        <v>1831639</v>
      </c>
      <c r="CY755">
        <v>0</v>
      </c>
      <c r="CZ755">
        <v>0</v>
      </c>
      <c r="DA755">
        <v>0</v>
      </c>
      <c r="DB755">
        <v>1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</row>
    <row r="756" spans="1:113" x14ac:dyDescent="0.3">
      <c r="A756" t="str">
        <f>"06/16/2022 19:16:13.956"</f>
        <v>06/16/2022 19:16:13.956</v>
      </c>
      <c r="C756" t="str">
        <f t="shared" si="36"/>
        <v>FFBF5BC0</v>
      </c>
      <c r="D756" t="s">
        <v>113</v>
      </c>
      <c r="E756">
        <v>8</v>
      </c>
      <c r="H756">
        <v>206</v>
      </c>
      <c r="I756" t="s">
        <v>114</v>
      </c>
      <c r="J756" t="s">
        <v>115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>"19:16:13.750"</f>
        <v>19:16:13.750</v>
      </c>
      <c r="T756" t="str">
        <f>"19:16:13.750"</f>
        <v>19:16:13.750</v>
      </c>
      <c r="U756" t="str">
        <f t="shared" si="34"/>
        <v>AB63B2</v>
      </c>
      <c r="V756">
        <v>0</v>
      </c>
      <c r="W756">
        <v>0</v>
      </c>
      <c r="X756">
        <v>6</v>
      </c>
      <c r="Z756">
        <v>0</v>
      </c>
      <c r="AA756">
        <v>9</v>
      </c>
      <c r="AB756">
        <v>3</v>
      </c>
      <c r="AC756">
        <v>0</v>
      </c>
      <c r="AD756">
        <v>10</v>
      </c>
      <c r="AE756">
        <v>0</v>
      </c>
      <c r="AF756">
        <v>0</v>
      </c>
      <c r="AG756">
        <v>2</v>
      </c>
      <c r="AH756">
        <v>0</v>
      </c>
      <c r="AI756" t="s">
        <v>715</v>
      </c>
      <c r="AJ756">
        <v>41.971335000000003</v>
      </c>
      <c r="AK756" t="s">
        <v>342</v>
      </c>
      <c r="AL756">
        <v>-87.894379999999998</v>
      </c>
      <c r="AS756">
        <v>1</v>
      </c>
      <c r="AT756" t="s">
        <v>118</v>
      </c>
      <c r="AU756" t="b">
        <v>1</v>
      </c>
      <c r="AV756">
        <v>2.81</v>
      </c>
      <c r="AW756">
        <v>4.625</v>
      </c>
      <c r="AX756">
        <v>1</v>
      </c>
      <c r="AZ756">
        <v>7205</v>
      </c>
      <c r="BA756">
        <v>1</v>
      </c>
      <c r="BB756" t="str">
        <f t="shared" si="35"/>
        <v xml:space="preserve">KAP400  </v>
      </c>
      <c r="BC756">
        <v>1</v>
      </c>
      <c r="BE756">
        <v>0</v>
      </c>
      <c r="BF756">
        <v>0</v>
      </c>
      <c r="BG756">
        <v>0</v>
      </c>
      <c r="BI756">
        <v>1</v>
      </c>
      <c r="BJ756">
        <v>1</v>
      </c>
      <c r="BK756">
        <v>1</v>
      </c>
      <c r="BL756">
        <v>0</v>
      </c>
      <c r="BO756">
        <v>0</v>
      </c>
      <c r="BP756">
        <v>0</v>
      </c>
      <c r="BW756" t="str">
        <f>"19:16:13.750"</f>
        <v>19:16:13.750</v>
      </c>
      <c r="BX756" t="s">
        <v>119</v>
      </c>
      <c r="BY756" t="s">
        <v>120</v>
      </c>
      <c r="CJ756">
        <v>0</v>
      </c>
      <c r="CK756">
        <v>0</v>
      </c>
      <c r="CL756">
        <v>0</v>
      </c>
      <c r="CM756">
        <v>2</v>
      </c>
      <c r="CN756">
        <v>0</v>
      </c>
      <c r="CO756">
        <v>7</v>
      </c>
      <c r="CP756" t="s">
        <v>121</v>
      </c>
      <c r="CQ756">
        <v>580</v>
      </c>
      <c r="CR756">
        <v>0</v>
      </c>
      <c r="CW756">
        <v>712181</v>
      </c>
      <c r="CY756">
        <v>0</v>
      </c>
      <c r="CZ756">
        <v>0</v>
      </c>
      <c r="DA756">
        <v>0</v>
      </c>
      <c r="DB756">
        <v>1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</row>
    <row r="757" spans="1:113" x14ac:dyDescent="0.3">
      <c r="A757" t="str">
        <f>"06/16/2022 19:16:14.909"</f>
        <v>06/16/2022 19:16:14.909</v>
      </c>
      <c r="C757" t="str">
        <f t="shared" si="36"/>
        <v>FFBF5BC0</v>
      </c>
      <c r="D757" t="s">
        <v>113</v>
      </c>
      <c r="E757">
        <v>8</v>
      </c>
      <c r="H757">
        <v>206</v>
      </c>
      <c r="I757" t="s">
        <v>114</v>
      </c>
      <c r="J757" t="s">
        <v>115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>"19:16:14.711"</f>
        <v>19:16:14.711</v>
      </c>
      <c r="T757" t="str">
        <f>"19:16:14.711"</f>
        <v>19:16:14.711</v>
      </c>
      <c r="U757" t="str">
        <f t="shared" si="34"/>
        <v>AB63B2</v>
      </c>
      <c r="V757">
        <v>0</v>
      </c>
      <c r="W757">
        <v>0</v>
      </c>
      <c r="X757">
        <v>6</v>
      </c>
      <c r="Z757">
        <v>0</v>
      </c>
      <c r="AA757">
        <v>9</v>
      </c>
      <c r="AB757">
        <v>3</v>
      </c>
      <c r="AC757">
        <v>0</v>
      </c>
      <c r="AD757">
        <v>10</v>
      </c>
      <c r="AE757">
        <v>0</v>
      </c>
      <c r="AF757">
        <v>0</v>
      </c>
      <c r="AG757">
        <v>2</v>
      </c>
      <c r="AH757">
        <v>0</v>
      </c>
      <c r="AI757" t="s">
        <v>555</v>
      </c>
      <c r="AJ757">
        <v>41.971356999999998</v>
      </c>
      <c r="AK757" t="s">
        <v>342</v>
      </c>
      <c r="AL757">
        <v>-87.894379999999998</v>
      </c>
      <c r="AS757">
        <v>1</v>
      </c>
      <c r="AT757" t="s">
        <v>118</v>
      </c>
      <c r="AU757" t="b">
        <v>1</v>
      </c>
      <c r="AV757">
        <v>2.81</v>
      </c>
      <c r="AW757">
        <v>5.125</v>
      </c>
      <c r="AX757">
        <v>1</v>
      </c>
      <c r="AZ757">
        <v>7205</v>
      </c>
      <c r="BA757">
        <v>1</v>
      </c>
      <c r="BB757" t="str">
        <f t="shared" si="35"/>
        <v xml:space="preserve">KAP400  </v>
      </c>
      <c r="BC757">
        <v>1</v>
      </c>
      <c r="BE757">
        <v>0</v>
      </c>
      <c r="BF757">
        <v>0</v>
      </c>
      <c r="BG757">
        <v>0</v>
      </c>
      <c r="BI757">
        <v>1</v>
      </c>
      <c r="BJ757">
        <v>1</v>
      </c>
      <c r="BK757">
        <v>1</v>
      </c>
      <c r="BL757">
        <v>0</v>
      </c>
      <c r="BO757">
        <v>0</v>
      </c>
      <c r="BP757">
        <v>0</v>
      </c>
      <c r="BW757" t="str">
        <f>"19:16:14.712"</f>
        <v>19:16:14.712</v>
      </c>
      <c r="BX757" t="s">
        <v>119</v>
      </c>
      <c r="BY757" t="s">
        <v>120</v>
      </c>
      <c r="CJ757">
        <v>0</v>
      </c>
      <c r="CK757">
        <v>0</v>
      </c>
      <c r="CL757">
        <v>0</v>
      </c>
      <c r="CM757">
        <v>2</v>
      </c>
      <c r="CN757">
        <v>0</v>
      </c>
      <c r="CO757">
        <v>7</v>
      </c>
      <c r="CP757" t="s">
        <v>121</v>
      </c>
      <c r="CQ757">
        <v>580</v>
      </c>
      <c r="CR757">
        <v>0</v>
      </c>
      <c r="CW757">
        <v>713944</v>
      </c>
      <c r="CY757">
        <v>0</v>
      </c>
      <c r="CZ757">
        <v>0</v>
      </c>
      <c r="DA757">
        <v>0</v>
      </c>
      <c r="DB757">
        <v>1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</row>
    <row r="758" spans="1:113" x14ac:dyDescent="0.3">
      <c r="A758" t="str">
        <f>"06/16/2022 19:16:15.893"</f>
        <v>06/16/2022 19:16:15.893</v>
      </c>
      <c r="C758" t="str">
        <f t="shared" si="36"/>
        <v>FFBF5BC0</v>
      </c>
      <c r="D758" t="s">
        <v>113</v>
      </c>
      <c r="E758">
        <v>8</v>
      </c>
      <c r="H758">
        <v>206</v>
      </c>
      <c r="I758" t="s">
        <v>114</v>
      </c>
      <c r="J758" t="s">
        <v>115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>"19:16:15.633"</f>
        <v>19:16:15.633</v>
      </c>
      <c r="T758" t="str">
        <f>"19:16:15.633"</f>
        <v>19:16:15.633</v>
      </c>
      <c r="U758" t="str">
        <f t="shared" si="34"/>
        <v>AB63B2</v>
      </c>
      <c r="V758">
        <v>0</v>
      </c>
      <c r="W758">
        <v>0</v>
      </c>
      <c r="X758">
        <v>6</v>
      </c>
      <c r="Z758">
        <v>0</v>
      </c>
      <c r="AA758">
        <v>9</v>
      </c>
      <c r="AB758">
        <v>3</v>
      </c>
      <c r="AC758">
        <v>0</v>
      </c>
      <c r="AD758">
        <v>10</v>
      </c>
      <c r="AE758">
        <v>0</v>
      </c>
      <c r="AF758">
        <v>0</v>
      </c>
      <c r="AG758">
        <v>2</v>
      </c>
      <c r="AH758">
        <v>0</v>
      </c>
      <c r="AI758" t="s">
        <v>716</v>
      </c>
      <c r="AJ758">
        <v>41.971378000000001</v>
      </c>
      <c r="AK758" t="s">
        <v>342</v>
      </c>
      <c r="AL758">
        <v>-87.894379999999998</v>
      </c>
      <c r="AS758">
        <v>1</v>
      </c>
      <c r="AT758" t="s">
        <v>118</v>
      </c>
      <c r="AU758" t="b">
        <v>1</v>
      </c>
      <c r="AV758">
        <v>2.81</v>
      </c>
      <c r="AW758">
        <v>5.125</v>
      </c>
      <c r="AX758">
        <v>1</v>
      </c>
      <c r="AZ758">
        <v>7205</v>
      </c>
      <c r="BA758">
        <v>1</v>
      </c>
      <c r="BB758" t="str">
        <f t="shared" si="35"/>
        <v xml:space="preserve">KAP400  </v>
      </c>
      <c r="BC758">
        <v>1</v>
      </c>
      <c r="BE758">
        <v>0</v>
      </c>
      <c r="BF758">
        <v>0</v>
      </c>
      <c r="BG758">
        <v>0</v>
      </c>
      <c r="BI758">
        <v>1</v>
      </c>
      <c r="BJ758">
        <v>1</v>
      </c>
      <c r="BK758">
        <v>1</v>
      </c>
      <c r="BL758">
        <v>0</v>
      </c>
      <c r="BO758">
        <v>0</v>
      </c>
      <c r="BP758">
        <v>0</v>
      </c>
      <c r="BW758" t="str">
        <f>"19:16:15.636"</f>
        <v>19:16:15.636</v>
      </c>
      <c r="BX758" t="s">
        <v>119</v>
      </c>
      <c r="BY758" t="s">
        <v>120</v>
      </c>
      <c r="CJ758">
        <v>0</v>
      </c>
      <c r="CK758">
        <v>0</v>
      </c>
      <c r="CL758">
        <v>0</v>
      </c>
      <c r="CM758">
        <v>2</v>
      </c>
      <c r="CN758">
        <v>0</v>
      </c>
      <c r="CO758">
        <v>7</v>
      </c>
      <c r="CP758" t="s">
        <v>121</v>
      </c>
      <c r="CQ758">
        <v>579</v>
      </c>
      <c r="CR758">
        <v>0</v>
      </c>
      <c r="CW758">
        <v>1837173</v>
      </c>
      <c r="CY758">
        <v>0</v>
      </c>
      <c r="CZ758">
        <v>0</v>
      </c>
      <c r="DA758">
        <v>0</v>
      </c>
      <c r="DB758">
        <v>1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</row>
    <row r="759" spans="1:113" x14ac:dyDescent="0.3">
      <c r="A759" t="str">
        <f>"06/16/2022 19:16:16.925"</f>
        <v>06/16/2022 19:16:16.925</v>
      </c>
      <c r="C759" t="str">
        <f t="shared" si="36"/>
        <v>FFBF5BC0</v>
      </c>
      <c r="D759" t="s">
        <v>113</v>
      </c>
      <c r="E759">
        <v>8</v>
      </c>
      <c r="H759">
        <v>206</v>
      </c>
      <c r="I759" t="s">
        <v>114</v>
      </c>
      <c r="J759" t="s">
        <v>115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>"19:16:16.680"</f>
        <v>19:16:16.680</v>
      </c>
      <c r="T759" t="str">
        <f>"19:16:16.680"</f>
        <v>19:16:16.680</v>
      </c>
      <c r="U759" t="str">
        <f t="shared" si="34"/>
        <v>AB63B2</v>
      </c>
      <c r="V759">
        <v>0</v>
      </c>
      <c r="W759">
        <v>0</v>
      </c>
      <c r="X759">
        <v>6</v>
      </c>
      <c r="Z759">
        <v>0</v>
      </c>
      <c r="AA759">
        <v>9</v>
      </c>
      <c r="AB759">
        <v>3</v>
      </c>
      <c r="AC759">
        <v>0</v>
      </c>
      <c r="AD759">
        <v>10</v>
      </c>
      <c r="AE759">
        <v>0</v>
      </c>
      <c r="AF759">
        <v>0</v>
      </c>
      <c r="AG759">
        <v>2</v>
      </c>
      <c r="AH759">
        <v>0</v>
      </c>
      <c r="AI759" t="s">
        <v>554</v>
      </c>
      <c r="AJ759">
        <v>41.971400000000003</v>
      </c>
      <c r="AK759" t="s">
        <v>342</v>
      </c>
      <c r="AL759">
        <v>-87.894379999999998</v>
      </c>
      <c r="AS759">
        <v>1</v>
      </c>
      <c r="AT759" t="s">
        <v>118</v>
      </c>
      <c r="AU759" t="b">
        <v>1</v>
      </c>
      <c r="AV759">
        <v>2.81</v>
      </c>
      <c r="AW759">
        <v>5.625</v>
      </c>
      <c r="AX759">
        <v>1</v>
      </c>
      <c r="AZ759">
        <v>7205</v>
      </c>
      <c r="BA759">
        <v>1</v>
      </c>
      <c r="BB759" t="str">
        <f t="shared" si="35"/>
        <v xml:space="preserve">KAP400  </v>
      </c>
      <c r="BC759">
        <v>1</v>
      </c>
      <c r="BE759">
        <v>0</v>
      </c>
      <c r="BF759">
        <v>0</v>
      </c>
      <c r="BG759">
        <v>0</v>
      </c>
      <c r="BI759">
        <v>1</v>
      </c>
      <c r="BJ759">
        <v>1</v>
      </c>
      <c r="BK759">
        <v>1</v>
      </c>
      <c r="BL759">
        <v>0</v>
      </c>
      <c r="BO759">
        <v>0</v>
      </c>
      <c r="BP759">
        <v>0</v>
      </c>
      <c r="BW759" t="str">
        <f>"19:16:16.681"</f>
        <v>19:16:16.681</v>
      </c>
      <c r="BX759" t="s">
        <v>119</v>
      </c>
      <c r="BY759" t="s">
        <v>120</v>
      </c>
      <c r="CJ759">
        <v>0</v>
      </c>
      <c r="CK759">
        <v>0</v>
      </c>
      <c r="CL759">
        <v>0</v>
      </c>
      <c r="CM759">
        <v>2</v>
      </c>
      <c r="CN759">
        <v>0</v>
      </c>
      <c r="CO759">
        <v>7</v>
      </c>
      <c r="CP759" t="s">
        <v>121</v>
      </c>
      <c r="CQ759">
        <v>579</v>
      </c>
      <c r="CR759">
        <v>0</v>
      </c>
      <c r="CW759">
        <v>1839201</v>
      </c>
      <c r="CY759">
        <v>0</v>
      </c>
      <c r="CZ759">
        <v>0</v>
      </c>
      <c r="DA759">
        <v>0</v>
      </c>
      <c r="DB759">
        <v>1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</row>
    <row r="760" spans="1:113" x14ac:dyDescent="0.3">
      <c r="A760" t="str">
        <f>"06/16/2022 19:16:18.065"</f>
        <v>06/16/2022 19:16:18.065</v>
      </c>
      <c r="C760" t="str">
        <f t="shared" si="36"/>
        <v>FFBF5BC0</v>
      </c>
      <c r="D760" t="s">
        <v>113</v>
      </c>
      <c r="E760">
        <v>8</v>
      </c>
      <c r="H760">
        <v>206</v>
      </c>
      <c r="I760" t="s">
        <v>114</v>
      </c>
      <c r="J760" t="s">
        <v>115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>"19:16:17.836"</f>
        <v>19:16:17.836</v>
      </c>
      <c r="T760" t="str">
        <f>"19:16:17.836"</f>
        <v>19:16:17.836</v>
      </c>
      <c r="U760" t="str">
        <f t="shared" si="34"/>
        <v>AB63B2</v>
      </c>
      <c r="V760">
        <v>0</v>
      </c>
      <c r="W760">
        <v>0</v>
      </c>
      <c r="X760">
        <v>6</v>
      </c>
      <c r="Z760">
        <v>0</v>
      </c>
      <c r="AA760">
        <v>9</v>
      </c>
      <c r="AB760">
        <v>3</v>
      </c>
      <c r="AC760">
        <v>0</v>
      </c>
      <c r="AD760">
        <v>10</v>
      </c>
      <c r="AE760">
        <v>0</v>
      </c>
      <c r="AF760">
        <v>0</v>
      </c>
      <c r="AG760">
        <v>2</v>
      </c>
      <c r="AH760">
        <v>0</v>
      </c>
      <c r="AI760" t="s">
        <v>717</v>
      </c>
      <c r="AJ760">
        <v>41.971420999999999</v>
      </c>
      <c r="AK760" t="s">
        <v>342</v>
      </c>
      <c r="AL760">
        <v>-87.894379999999998</v>
      </c>
      <c r="AS760">
        <v>1</v>
      </c>
      <c r="AT760" t="s">
        <v>118</v>
      </c>
      <c r="AU760" t="b">
        <v>1</v>
      </c>
      <c r="AV760">
        <v>2.81</v>
      </c>
      <c r="AW760">
        <v>6.125</v>
      </c>
      <c r="AX760">
        <v>1</v>
      </c>
      <c r="AZ760">
        <v>7205</v>
      </c>
      <c r="BA760">
        <v>1</v>
      </c>
      <c r="BB760" t="str">
        <f t="shared" si="35"/>
        <v xml:space="preserve">KAP400  </v>
      </c>
      <c r="BC760">
        <v>1</v>
      </c>
      <c r="BE760">
        <v>0</v>
      </c>
      <c r="BF760">
        <v>0</v>
      </c>
      <c r="BG760">
        <v>0</v>
      </c>
      <c r="BI760">
        <v>1</v>
      </c>
      <c r="BJ760">
        <v>1</v>
      </c>
      <c r="BK760">
        <v>1</v>
      </c>
      <c r="BL760">
        <v>0</v>
      </c>
      <c r="BO760">
        <v>0</v>
      </c>
      <c r="BP760">
        <v>0</v>
      </c>
      <c r="BW760" t="str">
        <f>"19:16:17.843"</f>
        <v>19:16:17.843</v>
      </c>
      <c r="BX760" t="s">
        <v>119</v>
      </c>
      <c r="BY760" t="s">
        <v>120</v>
      </c>
      <c r="CJ760">
        <v>0</v>
      </c>
      <c r="CK760">
        <v>0</v>
      </c>
      <c r="CL760">
        <v>0</v>
      </c>
      <c r="CM760">
        <v>2</v>
      </c>
      <c r="CN760">
        <v>0</v>
      </c>
      <c r="CO760">
        <v>7</v>
      </c>
      <c r="CP760" t="s">
        <v>121</v>
      </c>
      <c r="CQ760">
        <v>580</v>
      </c>
      <c r="CR760">
        <v>0</v>
      </c>
      <c r="CW760">
        <v>719622</v>
      </c>
      <c r="CY760">
        <v>0</v>
      </c>
      <c r="CZ760">
        <v>0</v>
      </c>
      <c r="DA760">
        <v>0</v>
      </c>
      <c r="DB760">
        <v>1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</row>
    <row r="761" spans="1:113" x14ac:dyDescent="0.3">
      <c r="A761" t="str">
        <f>"06/16/2022 19:16:19.144"</f>
        <v>06/16/2022 19:16:19.144</v>
      </c>
      <c r="C761" t="str">
        <f t="shared" si="36"/>
        <v>FFBF5BC0</v>
      </c>
      <c r="D761" t="s">
        <v>113</v>
      </c>
      <c r="E761">
        <v>8</v>
      </c>
      <c r="H761">
        <v>206</v>
      </c>
      <c r="I761" t="s">
        <v>114</v>
      </c>
      <c r="J761" t="s">
        <v>115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>"19:16:18.938"</f>
        <v>19:16:18.938</v>
      </c>
      <c r="T761" t="str">
        <f>"19:16:18.938"</f>
        <v>19:16:18.938</v>
      </c>
      <c r="U761" t="str">
        <f t="shared" si="34"/>
        <v>AB63B2</v>
      </c>
      <c r="V761">
        <v>0</v>
      </c>
      <c r="W761">
        <v>0</v>
      </c>
      <c r="X761">
        <v>6</v>
      </c>
      <c r="Z761">
        <v>0</v>
      </c>
      <c r="AA761">
        <v>9</v>
      </c>
      <c r="AB761">
        <v>3</v>
      </c>
      <c r="AC761">
        <v>0</v>
      </c>
      <c r="AD761">
        <v>10</v>
      </c>
      <c r="AE761">
        <v>0</v>
      </c>
      <c r="AF761">
        <v>0</v>
      </c>
      <c r="AG761">
        <v>2</v>
      </c>
      <c r="AH761">
        <v>0</v>
      </c>
      <c r="AI761" t="s">
        <v>552</v>
      </c>
      <c r="AJ761">
        <v>41.971463999999997</v>
      </c>
      <c r="AK761" t="s">
        <v>342</v>
      </c>
      <c r="AL761">
        <v>-87.894379999999998</v>
      </c>
      <c r="AS761">
        <v>1</v>
      </c>
      <c r="AT761" t="s">
        <v>118</v>
      </c>
      <c r="AU761" t="b">
        <v>1</v>
      </c>
      <c r="AV761">
        <v>2.81</v>
      </c>
      <c r="AW761">
        <v>6.125</v>
      </c>
      <c r="AX761">
        <v>1</v>
      </c>
      <c r="AZ761">
        <v>7205</v>
      </c>
      <c r="BA761">
        <v>1</v>
      </c>
      <c r="BB761" t="str">
        <f t="shared" si="35"/>
        <v xml:space="preserve">KAP400  </v>
      </c>
      <c r="BC761">
        <v>1</v>
      </c>
      <c r="BE761">
        <v>0</v>
      </c>
      <c r="BF761">
        <v>0</v>
      </c>
      <c r="BG761">
        <v>0</v>
      </c>
      <c r="BI761">
        <v>1</v>
      </c>
      <c r="BJ761">
        <v>1</v>
      </c>
      <c r="BK761">
        <v>1</v>
      </c>
      <c r="BL761">
        <v>0</v>
      </c>
      <c r="BO761">
        <v>0</v>
      </c>
      <c r="BP761">
        <v>0</v>
      </c>
      <c r="BW761" t="str">
        <f>"19:16:18.942"</f>
        <v>19:16:18.942</v>
      </c>
      <c r="BX761" t="s">
        <v>119</v>
      </c>
      <c r="BY761" t="s">
        <v>120</v>
      </c>
      <c r="CJ761">
        <v>0</v>
      </c>
      <c r="CK761">
        <v>0</v>
      </c>
      <c r="CL761">
        <v>0</v>
      </c>
      <c r="CM761">
        <v>2</v>
      </c>
      <c r="CN761">
        <v>0</v>
      </c>
      <c r="CO761">
        <v>7</v>
      </c>
      <c r="CP761" t="s">
        <v>121</v>
      </c>
      <c r="CQ761">
        <v>580</v>
      </c>
      <c r="CR761">
        <v>0</v>
      </c>
      <c r="CW761">
        <v>721592</v>
      </c>
      <c r="CY761">
        <v>0</v>
      </c>
      <c r="CZ761">
        <v>0</v>
      </c>
      <c r="DA761">
        <v>0</v>
      </c>
      <c r="DB761">
        <v>1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</row>
    <row r="762" spans="1:113" x14ac:dyDescent="0.3">
      <c r="A762" t="str">
        <f>"06/16/2022 19:16:20.097"</f>
        <v>06/16/2022 19:16:20.097</v>
      </c>
      <c r="C762" t="str">
        <f t="shared" si="36"/>
        <v>FFBF5BC0</v>
      </c>
      <c r="D762" t="s">
        <v>113</v>
      </c>
      <c r="E762">
        <v>8</v>
      </c>
      <c r="H762">
        <v>206</v>
      </c>
      <c r="I762" t="s">
        <v>114</v>
      </c>
      <c r="J762" t="s">
        <v>115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>"19:16:19.898"</f>
        <v>19:16:19.898</v>
      </c>
      <c r="T762" t="str">
        <f>"19:16:19.898"</f>
        <v>19:16:19.898</v>
      </c>
      <c r="U762" t="str">
        <f t="shared" si="34"/>
        <v>AB63B2</v>
      </c>
      <c r="V762">
        <v>0</v>
      </c>
      <c r="W762">
        <v>0</v>
      </c>
      <c r="X762">
        <v>6</v>
      </c>
      <c r="Z762">
        <v>0</v>
      </c>
      <c r="AA762">
        <v>9</v>
      </c>
      <c r="AB762">
        <v>3</v>
      </c>
      <c r="AC762">
        <v>0</v>
      </c>
      <c r="AD762">
        <v>10</v>
      </c>
      <c r="AE762">
        <v>0</v>
      </c>
      <c r="AF762">
        <v>0</v>
      </c>
      <c r="AG762">
        <v>2</v>
      </c>
      <c r="AH762">
        <v>0</v>
      </c>
      <c r="AI762" t="s">
        <v>551</v>
      </c>
      <c r="AJ762">
        <v>41.971485999999999</v>
      </c>
      <c r="AK762" t="s">
        <v>342</v>
      </c>
      <c r="AL762">
        <v>-87.894379999999998</v>
      </c>
      <c r="AS762">
        <v>1</v>
      </c>
      <c r="AT762" t="s">
        <v>118</v>
      </c>
      <c r="AU762" t="b">
        <v>1</v>
      </c>
      <c r="AV762">
        <v>2.81</v>
      </c>
      <c r="AW762">
        <v>6.625</v>
      </c>
      <c r="AX762">
        <v>1</v>
      </c>
      <c r="AZ762">
        <v>7205</v>
      </c>
      <c r="BA762">
        <v>1</v>
      </c>
      <c r="BB762" t="str">
        <f t="shared" si="35"/>
        <v xml:space="preserve">KAP400  </v>
      </c>
      <c r="BC762">
        <v>1</v>
      </c>
      <c r="BE762">
        <v>0</v>
      </c>
      <c r="BF762">
        <v>0</v>
      </c>
      <c r="BG762">
        <v>0</v>
      </c>
      <c r="BI762">
        <v>1</v>
      </c>
      <c r="BJ762">
        <v>1</v>
      </c>
      <c r="BK762">
        <v>1</v>
      </c>
      <c r="BL762">
        <v>0</v>
      </c>
      <c r="BO762">
        <v>0</v>
      </c>
      <c r="BP762">
        <v>0</v>
      </c>
      <c r="BW762" t="str">
        <f>"19:16:19.899"</f>
        <v>19:16:19.899</v>
      </c>
      <c r="BX762" t="s">
        <v>119</v>
      </c>
      <c r="BY762" t="s">
        <v>120</v>
      </c>
      <c r="CJ762">
        <v>0</v>
      </c>
      <c r="CK762">
        <v>0</v>
      </c>
      <c r="CL762">
        <v>0</v>
      </c>
      <c r="CM762">
        <v>2</v>
      </c>
      <c r="CN762">
        <v>0</v>
      </c>
      <c r="CO762">
        <v>7</v>
      </c>
      <c r="CP762" t="s">
        <v>121</v>
      </c>
      <c r="CQ762">
        <v>580</v>
      </c>
      <c r="CR762">
        <v>0</v>
      </c>
      <c r="CW762">
        <v>723253</v>
      </c>
      <c r="CY762">
        <v>0</v>
      </c>
      <c r="CZ762">
        <v>0</v>
      </c>
      <c r="DA762">
        <v>0</v>
      </c>
      <c r="DB762">
        <v>1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</row>
    <row r="763" spans="1:113" x14ac:dyDescent="0.3">
      <c r="A763" t="str">
        <f>"06/16/2022 19:16:21.191"</f>
        <v>06/16/2022 19:16:21.191</v>
      </c>
      <c r="C763" t="str">
        <f t="shared" si="36"/>
        <v>FFBF5BC0</v>
      </c>
      <c r="D763" t="s">
        <v>113</v>
      </c>
      <c r="E763">
        <v>8</v>
      </c>
      <c r="H763">
        <v>206</v>
      </c>
      <c r="I763" t="s">
        <v>114</v>
      </c>
      <c r="J763" t="s">
        <v>115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>"19:16:20.984"</f>
        <v>19:16:20.984</v>
      </c>
      <c r="T763" t="str">
        <f>"19:16:20.984"</f>
        <v>19:16:20.984</v>
      </c>
      <c r="U763" t="str">
        <f t="shared" si="34"/>
        <v>AB63B2</v>
      </c>
      <c r="V763">
        <v>0</v>
      </c>
      <c r="W763">
        <v>0</v>
      </c>
      <c r="X763">
        <v>6</v>
      </c>
      <c r="Z763">
        <v>0</v>
      </c>
      <c r="AA763">
        <v>9</v>
      </c>
      <c r="AB763">
        <v>3</v>
      </c>
      <c r="AC763">
        <v>0</v>
      </c>
      <c r="AD763">
        <v>10</v>
      </c>
      <c r="AE763">
        <v>0</v>
      </c>
      <c r="AF763">
        <v>0</v>
      </c>
      <c r="AG763">
        <v>2</v>
      </c>
      <c r="AH763">
        <v>0</v>
      </c>
      <c r="AI763" t="s">
        <v>718</v>
      </c>
      <c r="AJ763">
        <v>41.971528999999997</v>
      </c>
      <c r="AK763" t="s">
        <v>690</v>
      </c>
      <c r="AL763">
        <v>-87.894358999999994</v>
      </c>
      <c r="AS763">
        <v>1</v>
      </c>
      <c r="AT763" t="s">
        <v>118</v>
      </c>
      <c r="AU763" t="b">
        <v>1</v>
      </c>
      <c r="AV763">
        <v>2.81</v>
      </c>
      <c r="AW763">
        <v>7.125</v>
      </c>
      <c r="AX763">
        <v>1</v>
      </c>
      <c r="AZ763">
        <v>7205</v>
      </c>
      <c r="BA763">
        <v>1</v>
      </c>
      <c r="BB763" t="str">
        <f t="shared" si="35"/>
        <v xml:space="preserve">KAP400  </v>
      </c>
      <c r="BC763">
        <v>1</v>
      </c>
      <c r="BE763">
        <v>0</v>
      </c>
      <c r="BF763">
        <v>0</v>
      </c>
      <c r="BG763">
        <v>0</v>
      </c>
      <c r="BI763">
        <v>1</v>
      </c>
      <c r="BJ763">
        <v>1</v>
      </c>
      <c r="BK763">
        <v>1</v>
      </c>
      <c r="BL763">
        <v>0</v>
      </c>
      <c r="BO763">
        <v>0</v>
      </c>
      <c r="BP763">
        <v>0</v>
      </c>
      <c r="BW763" t="str">
        <f>"19:16:20.985"</f>
        <v>19:16:20.985</v>
      </c>
      <c r="BX763" t="s">
        <v>119</v>
      </c>
      <c r="BY763" t="s">
        <v>120</v>
      </c>
      <c r="CJ763">
        <v>0</v>
      </c>
      <c r="CK763">
        <v>0</v>
      </c>
      <c r="CL763">
        <v>0</v>
      </c>
      <c r="CM763">
        <v>2</v>
      </c>
      <c r="CN763">
        <v>0</v>
      </c>
      <c r="CO763">
        <v>7</v>
      </c>
      <c r="CP763" t="s">
        <v>121</v>
      </c>
      <c r="CQ763">
        <v>579</v>
      </c>
      <c r="CR763">
        <v>0</v>
      </c>
      <c r="CW763">
        <v>1847375</v>
      </c>
      <c r="CY763">
        <v>0</v>
      </c>
      <c r="CZ763">
        <v>0</v>
      </c>
      <c r="DA763">
        <v>0</v>
      </c>
      <c r="DB763">
        <v>1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</row>
    <row r="764" spans="1:113" x14ac:dyDescent="0.3">
      <c r="A764" t="str">
        <f>"06/16/2022 19:16:22.331"</f>
        <v>06/16/2022 19:16:22.331</v>
      </c>
      <c r="C764" t="str">
        <f t="shared" si="36"/>
        <v>FFBF5BC0</v>
      </c>
      <c r="D764" t="s">
        <v>113</v>
      </c>
      <c r="E764">
        <v>8</v>
      </c>
      <c r="H764">
        <v>206</v>
      </c>
      <c r="I764" t="s">
        <v>114</v>
      </c>
      <c r="J764" t="s">
        <v>115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>"19:16:22.055"</f>
        <v>19:16:22.055</v>
      </c>
      <c r="T764" t="str">
        <f>"19:16:22.055"</f>
        <v>19:16:22.055</v>
      </c>
      <c r="U764" t="str">
        <f t="shared" si="34"/>
        <v>AB63B2</v>
      </c>
      <c r="V764">
        <v>0</v>
      </c>
      <c r="W764">
        <v>0</v>
      </c>
      <c r="X764">
        <v>6</v>
      </c>
      <c r="Z764">
        <v>0</v>
      </c>
      <c r="AA764">
        <v>9</v>
      </c>
      <c r="AB764">
        <v>3</v>
      </c>
      <c r="AC764">
        <v>0</v>
      </c>
      <c r="AD764">
        <v>10</v>
      </c>
      <c r="AE764">
        <v>0</v>
      </c>
      <c r="AF764">
        <v>0</v>
      </c>
      <c r="AG764">
        <v>2</v>
      </c>
      <c r="AH764">
        <v>0</v>
      </c>
      <c r="AI764" t="s">
        <v>549</v>
      </c>
      <c r="AJ764">
        <v>41.971550000000001</v>
      </c>
      <c r="AK764" t="s">
        <v>690</v>
      </c>
      <c r="AL764">
        <v>-87.894358999999994</v>
      </c>
      <c r="AS764">
        <v>1</v>
      </c>
      <c r="AT764" t="s">
        <v>118</v>
      </c>
      <c r="AU764" t="b">
        <v>1</v>
      </c>
      <c r="AV764">
        <v>2.81</v>
      </c>
      <c r="AW764">
        <v>7.125</v>
      </c>
      <c r="AX764">
        <v>1</v>
      </c>
      <c r="AZ764">
        <v>7205</v>
      </c>
      <c r="BA764">
        <v>1</v>
      </c>
      <c r="BB764" t="str">
        <f t="shared" si="35"/>
        <v xml:space="preserve">KAP400  </v>
      </c>
      <c r="BC764">
        <v>1</v>
      </c>
      <c r="BE764">
        <v>0</v>
      </c>
      <c r="BF764">
        <v>0</v>
      </c>
      <c r="BG764">
        <v>0</v>
      </c>
      <c r="BI764">
        <v>1</v>
      </c>
      <c r="BJ764">
        <v>1</v>
      </c>
      <c r="BK764">
        <v>1</v>
      </c>
      <c r="BL764">
        <v>0</v>
      </c>
      <c r="BO764">
        <v>0</v>
      </c>
      <c r="BP764">
        <v>0</v>
      </c>
      <c r="BW764" t="str">
        <f>"19:16:22.060"</f>
        <v>19:16:22.060</v>
      </c>
      <c r="BX764" t="s">
        <v>119</v>
      </c>
      <c r="BY764" t="s">
        <v>120</v>
      </c>
      <c r="CJ764">
        <v>0</v>
      </c>
      <c r="CK764">
        <v>0</v>
      </c>
      <c r="CL764">
        <v>0</v>
      </c>
      <c r="CM764">
        <v>2</v>
      </c>
      <c r="CN764">
        <v>0</v>
      </c>
      <c r="CO764">
        <v>7</v>
      </c>
      <c r="CP764" t="s">
        <v>121</v>
      </c>
      <c r="CQ764">
        <v>579</v>
      </c>
      <c r="CR764">
        <v>0</v>
      </c>
      <c r="CW764">
        <v>1849438</v>
      </c>
      <c r="CY764">
        <v>0</v>
      </c>
      <c r="CZ764">
        <v>0</v>
      </c>
      <c r="DA764">
        <v>0</v>
      </c>
      <c r="DB764">
        <v>1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</row>
    <row r="765" spans="1:113" x14ac:dyDescent="0.3">
      <c r="A765" t="str">
        <f>"06/16/2022 19:16:23.425"</f>
        <v>06/16/2022 19:16:23.425</v>
      </c>
      <c r="C765" t="str">
        <f t="shared" si="36"/>
        <v>FFBF5BC0</v>
      </c>
      <c r="D765" t="s">
        <v>113</v>
      </c>
      <c r="E765">
        <v>8</v>
      </c>
      <c r="H765">
        <v>206</v>
      </c>
      <c r="I765" t="s">
        <v>114</v>
      </c>
      <c r="J765" t="s">
        <v>115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>"19:16:23.180"</f>
        <v>19:16:23.180</v>
      </c>
      <c r="T765" t="str">
        <f>"19:16:23.180"</f>
        <v>19:16:23.180</v>
      </c>
      <c r="U765" t="str">
        <f t="shared" si="34"/>
        <v>AB63B2</v>
      </c>
      <c r="V765">
        <v>0</v>
      </c>
      <c r="W765">
        <v>0</v>
      </c>
      <c r="X765">
        <v>6</v>
      </c>
      <c r="Z765">
        <v>0</v>
      </c>
      <c r="AA765">
        <v>9</v>
      </c>
      <c r="AB765">
        <v>3</v>
      </c>
      <c r="AC765">
        <v>0</v>
      </c>
      <c r="AD765">
        <v>10</v>
      </c>
      <c r="AE765">
        <v>0</v>
      </c>
      <c r="AF765">
        <v>0</v>
      </c>
      <c r="AG765">
        <v>2</v>
      </c>
      <c r="AH765">
        <v>0</v>
      </c>
      <c r="AI765" t="s">
        <v>547</v>
      </c>
      <c r="AJ765">
        <v>41.971592999999999</v>
      </c>
      <c r="AK765" t="s">
        <v>690</v>
      </c>
      <c r="AL765">
        <v>-87.894358999999994</v>
      </c>
      <c r="AS765">
        <v>1</v>
      </c>
      <c r="AT765" t="s">
        <v>118</v>
      </c>
      <c r="AU765" t="b">
        <v>1</v>
      </c>
      <c r="AV765">
        <v>2.81</v>
      </c>
      <c r="AW765">
        <v>7.625</v>
      </c>
      <c r="AX765">
        <v>1</v>
      </c>
      <c r="AZ765">
        <v>7205</v>
      </c>
      <c r="BA765">
        <v>1</v>
      </c>
      <c r="BB765" t="str">
        <f t="shared" si="35"/>
        <v xml:space="preserve">KAP400  </v>
      </c>
      <c r="BC765">
        <v>1</v>
      </c>
      <c r="BE765">
        <v>0</v>
      </c>
      <c r="BF765">
        <v>0</v>
      </c>
      <c r="BG765">
        <v>0</v>
      </c>
      <c r="BI765">
        <v>1</v>
      </c>
      <c r="BJ765">
        <v>1</v>
      </c>
      <c r="BK765">
        <v>1</v>
      </c>
      <c r="BL765">
        <v>0</v>
      </c>
      <c r="BO765">
        <v>0</v>
      </c>
      <c r="BP765">
        <v>0</v>
      </c>
      <c r="BW765" t="str">
        <f>"19:16:23.186"</f>
        <v>19:16:23.186</v>
      </c>
      <c r="BX765" t="s">
        <v>119</v>
      </c>
      <c r="BY765" t="s">
        <v>120</v>
      </c>
      <c r="CJ765">
        <v>0</v>
      </c>
      <c r="CK765">
        <v>0</v>
      </c>
      <c r="CL765">
        <v>0</v>
      </c>
      <c r="CM765">
        <v>2</v>
      </c>
      <c r="CN765">
        <v>0</v>
      </c>
      <c r="CO765">
        <v>7</v>
      </c>
      <c r="CP765" t="s">
        <v>121</v>
      </c>
      <c r="CQ765">
        <v>579</v>
      </c>
      <c r="CR765">
        <v>0</v>
      </c>
      <c r="CW765">
        <v>1851587</v>
      </c>
      <c r="CY765">
        <v>0</v>
      </c>
      <c r="CZ765">
        <v>0</v>
      </c>
      <c r="DA765">
        <v>0</v>
      </c>
      <c r="DB765">
        <v>1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</row>
    <row r="766" spans="1:113" x14ac:dyDescent="0.3">
      <c r="A766" t="str">
        <f>"06/16/2022 19:16:24.410"</f>
        <v>06/16/2022 19:16:24.410</v>
      </c>
      <c r="C766" t="str">
        <f t="shared" si="36"/>
        <v>FFBF5BC0</v>
      </c>
      <c r="D766" t="s">
        <v>113</v>
      </c>
      <c r="E766">
        <v>8</v>
      </c>
      <c r="H766">
        <v>206</v>
      </c>
      <c r="I766" t="s">
        <v>114</v>
      </c>
      <c r="J766" t="s">
        <v>115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>"19:16:24.148"</f>
        <v>19:16:24.148</v>
      </c>
      <c r="T766" t="str">
        <f>"19:16:24.148"</f>
        <v>19:16:24.148</v>
      </c>
      <c r="U766" t="str">
        <f t="shared" si="34"/>
        <v>AB63B2</v>
      </c>
      <c r="V766">
        <v>0</v>
      </c>
      <c r="W766">
        <v>0</v>
      </c>
      <c r="X766">
        <v>6</v>
      </c>
      <c r="Z766">
        <v>0</v>
      </c>
      <c r="AA766">
        <v>9</v>
      </c>
      <c r="AB766">
        <v>3</v>
      </c>
      <c r="AC766">
        <v>0</v>
      </c>
      <c r="AD766">
        <v>10</v>
      </c>
      <c r="AE766">
        <v>0</v>
      </c>
      <c r="AF766">
        <v>0</v>
      </c>
      <c r="AG766">
        <v>2</v>
      </c>
      <c r="AH766">
        <v>0</v>
      </c>
      <c r="AI766" t="s">
        <v>546</v>
      </c>
      <c r="AJ766">
        <v>41.971614000000002</v>
      </c>
      <c r="AK766" t="s">
        <v>690</v>
      </c>
      <c r="AL766">
        <v>-87.894358999999994</v>
      </c>
      <c r="AS766">
        <v>1</v>
      </c>
      <c r="AT766" t="s">
        <v>118</v>
      </c>
      <c r="AU766" t="b">
        <v>1</v>
      </c>
      <c r="AV766">
        <v>2.81</v>
      </c>
      <c r="AW766">
        <v>7.625</v>
      </c>
      <c r="AX766">
        <v>1</v>
      </c>
      <c r="AZ766">
        <v>7205</v>
      </c>
      <c r="BA766">
        <v>1</v>
      </c>
      <c r="BB766" t="str">
        <f t="shared" si="35"/>
        <v xml:space="preserve">KAP400  </v>
      </c>
      <c r="BC766">
        <v>1</v>
      </c>
      <c r="BE766">
        <v>0</v>
      </c>
      <c r="BF766">
        <v>0</v>
      </c>
      <c r="BG766">
        <v>0</v>
      </c>
      <c r="BI766">
        <v>1</v>
      </c>
      <c r="BJ766">
        <v>1</v>
      </c>
      <c r="BK766">
        <v>1</v>
      </c>
      <c r="BL766">
        <v>0</v>
      </c>
      <c r="BO766">
        <v>0</v>
      </c>
      <c r="BP766">
        <v>0</v>
      </c>
      <c r="BW766" t="str">
        <f>"19:16:24.154"</f>
        <v>19:16:24.154</v>
      </c>
      <c r="BX766" t="s">
        <v>119</v>
      </c>
      <c r="BY766" t="s">
        <v>120</v>
      </c>
      <c r="CJ766">
        <v>0</v>
      </c>
      <c r="CK766">
        <v>0</v>
      </c>
      <c r="CL766">
        <v>0</v>
      </c>
      <c r="CM766">
        <v>2</v>
      </c>
      <c r="CN766">
        <v>0</v>
      </c>
      <c r="CO766">
        <v>7</v>
      </c>
      <c r="CP766" t="s">
        <v>121</v>
      </c>
      <c r="CQ766">
        <v>579</v>
      </c>
      <c r="CR766">
        <v>0</v>
      </c>
      <c r="CW766">
        <v>1853385</v>
      </c>
      <c r="CY766">
        <v>0</v>
      </c>
      <c r="CZ766">
        <v>0</v>
      </c>
      <c r="DA766">
        <v>0</v>
      </c>
      <c r="DB766">
        <v>1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</row>
    <row r="767" spans="1:113" x14ac:dyDescent="0.3">
      <c r="A767" t="str">
        <f>"06/16/2022 19:16:25.394"</f>
        <v>06/16/2022 19:16:25.394</v>
      </c>
      <c r="C767" t="str">
        <f t="shared" si="36"/>
        <v>FFBF5BC0</v>
      </c>
      <c r="D767" t="s">
        <v>113</v>
      </c>
      <c r="E767">
        <v>8</v>
      </c>
      <c r="H767">
        <v>206</v>
      </c>
      <c r="I767" t="s">
        <v>114</v>
      </c>
      <c r="J767" t="s">
        <v>115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>"19:16:25.133"</f>
        <v>19:16:25.133</v>
      </c>
      <c r="T767" t="str">
        <f>"19:16:25.133"</f>
        <v>19:16:25.133</v>
      </c>
      <c r="U767" t="str">
        <f t="shared" si="34"/>
        <v>AB63B2</v>
      </c>
      <c r="V767">
        <v>0</v>
      </c>
      <c r="W767">
        <v>0</v>
      </c>
      <c r="X767">
        <v>6</v>
      </c>
      <c r="Z767">
        <v>0</v>
      </c>
      <c r="AA767">
        <v>9</v>
      </c>
      <c r="AB767">
        <v>3</v>
      </c>
      <c r="AC767">
        <v>0</v>
      </c>
      <c r="AD767">
        <v>10</v>
      </c>
      <c r="AE767">
        <v>0</v>
      </c>
      <c r="AF767">
        <v>0</v>
      </c>
      <c r="AG767">
        <v>2</v>
      </c>
      <c r="AH767">
        <v>0</v>
      </c>
      <c r="AI767" t="s">
        <v>544</v>
      </c>
      <c r="AJ767">
        <v>41.971657</v>
      </c>
      <c r="AK767" t="s">
        <v>690</v>
      </c>
      <c r="AL767">
        <v>-87.894358999999994</v>
      </c>
      <c r="AS767">
        <v>1</v>
      </c>
      <c r="AT767" t="s">
        <v>118</v>
      </c>
      <c r="AU767" t="b">
        <v>1</v>
      </c>
      <c r="AV767">
        <v>2.81</v>
      </c>
      <c r="AW767">
        <v>7.625</v>
      </c>
      <c r="AX767">
        <v>1</v>
      </c>
      <c r="AZ767">
        <v>7205</v>
      </c>
      <c r="BA767">
        <v>1</v>
      </c>
      <c r="BB767" t="str">
        <f t="shared" si="35"/>
        <v xml:space="preserve">KAP400  </v>
      </c>
      <c r="BC767">
        <v>1</v>
      </c>
      <c r="BE767">
        <v>0</v>
      </c>
      <c r="BF767">
        <v>0</v>
      </c>
      <c r="BG767">
        <v>0</v>
      </c>
      <c r="BI767">
        <v>1</v>
      </c>
      <c r="BJ767">
        <v>1</v>
      </c>
      <c r="BK767">
        <v>1</v>
      </c>
      <c r="BL767">
        <v>0</v>
      </c>
      <c r="BO767">
        <v>0</v>
      </c>
      <c r="BP767">
        <v>0</v>
      </c>
      <c r="BW767" t="str">
        <f>"19:16:25.139"</f>
        <v>19:16:25.139</v>
      </c>
      <c r="BX767" t="s">
        <v>119</v>
      </c>
      <c r="BY767" t="s">
        <v>120</v>
      </c>
      <c r="CJ767">
        <v>0</v>
      </c>
      <c r="CK767">
        <v>0</v>
      </c>
      <c r="CL767">
        <v>0</v>
      </c>
      <c r="CM767">
        <v>2</v>
      </c>
      <c r="CN767">
        <v>0</v>
      </c>
      <c r="CO767">
        <v>7</v>
      </c>
      <c r="CP767" t="s">
        <v>121</v>
      </c>
      <c r="CQ767">
        <v>579</v>
      </c>
      <c r="CR767">
        <v>0</v>
      </c>
      <c r="CW767">
        <v>1855226</v>
      </c>
      <c r="CY767">
        <v>0</v>
      </c>
      <c r="CZ767">
        <v>0</v>
      </c>
      <c r="DA767">
        <v>0</v>
      </c>
      <c r="DB767">
        <v>1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</row>
    <row r="768" spans="1:113" x14ac:dyDescent="0.3">
      <c r="A768" t="str">
        <f>"06/16/2022 19:16:26.909"</f>
        <v>06/16/2022 19:16:26.909</v>
      </c>
      <c r="C768" t="str">
        <f t="shared" si="36"/>
        <v>FFBF5BC0</v>
      </c>
      <c r="D768" t="s">
        <v>113</v>
      </c>
      <c r="E768">
        <v>8</v>
      </c>
      <c r="H768">
        <v>206</v>
      </c>
      <c r="I768" t="s">
        <v>114</v>
      </c>
      <c r="J768" t="s">
        <v>115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>"19:16:26.695"</f>
        <v>19:16:26.695</v>
      </c>
      <c r="T768" t="str">
        <f>"19:16:26.695"</f>
        <v>19:16:26.695</v>
      </c>
      <c r="U768" t="str">
        <f t="shared" si="34"/>
        <v>AB63B2</v>
      </c>
      <c r="V768">
        <v>0</v>
      </c>
      <c r="W768">
        <v>0</v>
      </c>
      <c r="X768">
        <v>6</v>
      </c>
      <c r="Z768">
        <v>0</v>
      </c>
      <c r="AA768">
        <v>9</v>
      </c>
      <c r="AB768">
        <v>3</v>
      </c>
      <c r="AC768">
        <v>0</v>
      </c>
      <c r="AD768">
        <v>10</v>
      </c>
      <c r="AE768">
        <v>0</v>
      </c>
      <c r="AF768">
        <v>0</v>
      </c>
      <c r="AG768">
        <v>2</v>
      </c>
      <c r="AH768">
        <v>0</v>
      </c>
      <c r="AI768" t="s">
        <v>542</v>
      </c>
      <c r="AJ768">
        <v>41.971699999999998</v>
      </c>
      <c r="AK768" t="s">
        <v>690</v>
      </c>
      <c r="AL768">
        <v>-87.894358999999994</v>
      </c>
      <c r="AS768">
        <v>1</v>
      </c>
      <c r="AT768" t="s">
        <v>118</v>
      </c>
      <c r="AU768" t="b">
        <v>1</v>
      </c>
      <c r="AV768">
        <v>2.81</v>
      </c>
      <c r="AW768">
        <v>8.125</v>
      </c>
      <c r="AX768">
        <v>1</v>
      </c>
      <c r="AZ768">
        <v>7205</v>
      </c>
      <c r="BA768">
        <v>1</v>
      </c>
      <c r="BB768" t="str">
        <f t="shared" si="35"/>
        <v xml:space="preserve">KAP400  </v>
      </c>
      <c r="BC768">
        <v>1</v>
      </c>
      <c r="BE768">
        <v>0</v>
      </c>
      <c r="BF768">
        <v>0</v>
      </c>
      <c r="BG768">
        <v>0</v>
      </c>
      <c r="BI768">
        <v>1</v>
      </c>
      <c r="BJ768">
        <v>1</v>
      </c>
      <c r="BK768">
        <v>1</v>
      </c>
      <c r="BL768">
        <v>0</v>
      </c>
      <c r="BO768">
        <v>0</v>
      </c>
      <c r="BP768">
        <v>0</v>
      </c>
      <c r="BW768" t="str">
        <f>"19:16:26.699"</f>
        <v>19:16:26.699</v>
      </c>
      <c r="BX768" t="s">
        <v>119</v>
      </c>
      <c r="BY768" t="s">
        <v>120</v>
      </c>
      <c r="CJ768">
        <v>0</v>
      </c>
      <c r="CK768">
        <v>0</v>
      </c>
      <c r="CL768">
        <v>0</v>
      </c>
      <c r="CM768">
        <v>2</v>
      </c>
      <c r="CN768">
        <v>0</v>
      </c>
      <c r="CO768">
        <v>7</v>
      </c>
      <c r="CP768" t="s">
        <v>121</v>
      </c>
      <c r="CQ768">
        <v>579</v>
      </c>
      <c r="CR768">
        <v>0</v>
      </c>
      <c r="CW768">
        <v>1858218</v>
      </c>
      <c r="CY768">
        <v>0</v>
      </c>
      <c r="CZ768">
        <v>0</v>
      </c>
      <c r="DA768">
        <v>0</v>
      </c>
      <c r="DB768">
        <v>1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</row>
    <row r="769" spans="1:113" x14ac:dyDescent="0.3">
      <c r="A769" t="str">
        <f>"06/16/2022 19:16:27.909"</f>
        <v>06/16/2022 19:16:27.909</v>
      </c>
      <c r="C769" t="str">
        <f t="shared" si="36"/>
        <v>FFBF5BC0</v>
      </c>
      <c r="D769" t="s">
        <v>113</v>
      </c>
      <c r="E769">
        <v>8</v>
      </c>
      <c r="H769">
        <v>206</v>
      </c>
      <c r="I769" t="s">
        <v>114</v>
      </c>
      <c r="J769" t="s">
        <v>115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>"19:16:27.680"</f>
        <v>19:16:27.680</v>
      </c>
      <c r="T769" t="str">
        <f>"19:16:27.680"</f>
        <v>19:16:27.680</v>
      </c>
      <c r="U769" t="str">
        <f t="shared" si="34"/>
        <v>AB63B2</v>
      </c>
      <c r="V769">
        <v>0</v>
      </c>
      <c r="W769">
        <v>0</v>
      </c>
      <c r="X769">
        <v>6</v>
      </c>
      <c r="Z769">
        <v>0</v>
      </c>
      <c r="AA769">
        <v>9</v>
      </c>
      <c r="AB769">
        <v>3</v>
      </c>
      <c r="AC769">
        <v>0</v>
      </c>
      <c r="AD769">
        <v>10</v>
      </c>
      <c r="AE769">
        <v>0</v>
      </c>
      <c r="AF769">
        <v>0</v>
      </c>
      <c r="AG769">
        <v>2</v>
      </c>
      <c r="AH769">
        <v>0</v>
      </c>
      <c r="AI769" t="s">
        <v>540</v>
      </c>
      <c r="AJ769">
        <v>41.971742999999996</v>
      </c>
      <c r="AK769" t="s">
        <v>690</v>
      </c>
      <c r="AL769">
        <v>-87.894358999999994</v>
      </c>
      <c r="AS769">
        <v>1</v>
      </c>
      <c r="AT769" t="s">
        <v>118</v>
      </c>
      <c r="AU769" t="b">
        <v>1</v>
      </c>
      <c r="AV769">
        <v>0</v>
      </c>
      <c r="AW769">
        <v>8.125</v>
      </c>
      <c r="AX769">
        <v>1</v>
      </c>
      <c r="AZ769">
        <v>7205</v>
      </c>
      <c r="BA769">
        <v>1</v>
      </c>
      <c r="BB769" t="str">
        <f t="shared" si="35"/>
        <v xml:space="preserve">KAP400  </v>
      </c>
      <c r="BC769">
        <v>1</v>
      </c>
      <c r="BE769">
        <v>0</v>
      </c>
      <c r="BF769">
        <v>0</v>
      </c>
      <c r="BG769">
        <v>0</v>
      </c>
      <c r="BI769">
        <v>1</v>
      </c>
      <c r="BJ769">
        <v>1</v>
      </c>
      <c r="BK769">
        <v>1</v>
      </c>
      <c r="BL769">
        <v>0</v>
      </c>
      <c r="BO769">
        <v>0</v>
      </c>
      <c r="BP769">
        <v>0</v>
      </c>
      <c r="BW769" t="str">
        <f>"19:16:27.683"</f>
        <v>19:16:27.683</v>
      </c>
      <c r="BX769" t="s">
        <v>119</v>
      </c>
      <c r="BY769" t="s">
        <v>120</v>
      </c>
      <c r="CJ769">
        <v>0</v>
      </c>
      <c r="CK769">
        <v>0</v>
      </c>
      <c r="CL769">
        <v>0</v>
      </c>
      <c r="CM769">
        <v>2</v>
      </c>
      <c r="CN769">
        <v>0</v>
      </c>
      <c r="CO769">
        <v>7</v>
      </c>
      <c r="CP769" t="s">
        <v>121</v>
      </c>
      <c r="CQ769">
        <v>579</v>
      </c>
      <c r="CR769">
        <v>0</v>
      </c>
      <c r="CW769">
        <v>1860096</v>
      </c>
      <c r="CY769">
        <v>0</v>
      </c>
      <c r="CZ769">
        <v>0</v>
      </c>
      <c r="DA769">
        <v>0</v>
      </c>
      <c r="DB769">
        <v>1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</row>
    <row r="770" spans="1:113" x14ac:dyDescent="0.3">
      <c r="A770" t="str">
        <f>"06/16/2022 19:16:28.909"</f>
        <v>06/16/2022 19:16:28.909</v>
      </c>
      <c r="C770" t="str">
        <f t="shared" si="36"/>
        <v>FFBF5BC0</v>
      </c>
      <c r="D770" t="s">
        <v>113</v>
      </c>
      <c r="E770">
        <v>8</v>
      </c>
      <c r="H770">
        <v>206</v>
      </c>
      <c r="I770" t="s">
        <v>114</v>
      </c>
      <c r="J770" t="s">
        <v>115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>"19:16:28.703"</f>
        <v>19:16:28.703</v>
      </c>
      <c r="T770" t="str">
        <f>"19:16:28.703"</f>
        <v>19:16:28.703</v>
      </c>
      <c r="U770" t="str">
        <f t="shared" ref="U770:U833" si="37">"AB63B2"</f>
        <v>AB63B2</v>
      </c>
      <c r="V770">
        <v>0</v>
      </c>
      <c r="W770">
        <v>0</v>
      </c>
      <c r="X770">
        <v>6</v>
      </c>
      <c r="Z770">
        <v>0</v>
      </c>
      <c r="AA770">
        <v>9</v>
      </c>
      <c r="AB770">
        <v>3</v>
      </c>
      <c r="AC770">
        <v>0</v>
      </c>
      <c r="AD770">
        <v>10</v>
      </c>
      <c r="AE770">
        <v>0</v>
      </c>
      <c r="AF770">
        <v>0</v>
      </c>
      <c r="AG770">
        <v>2</v>
      </c>
      <c r="AH770">
        <v>0</v>
      </c>
      <c r="AI770" t="s">
        <v>538</v>
      </c>
      <c r="AJ770">
        <v>41.971786000000002</v>
      </c>
      <c r="AK770" t="s">
        <v>690</v>
      </c>
      <c r="AL770">
        <v>-87.894358999999994</v>
      </c>
      <c r="AS770">
        <v>1</v>
      </c>
      <c r="AT770" t="s">
        <v>118</v>
      </c>
      <c r="AU770" t="b">
        <v>1</v>
      </c>
      <c r="AV770">
        <v>2.81</v>
      </c>
      <c r="AW770">
        <v>8.625</v>
      </c>
      <c r="AX770">
        <v>1</v>
      </c>
      <c r="AZ770">
        <v>7205</v>
      </c>
      <c r="BA770">
        <v>1</v>
      </c>
      <c r="BB770" t="str">
        <f t="shared" ref="BB770:BB833" si="38">"KAP400  "</f>
        <v xml:space="preserve">KAP400  </v>
      </c>
      <c r="BC770">
        <v>1</v>
      </c>
      <c r="BE770">
        <v>0</v>
      </c>
      <c r="BF770">
        <v>0</v>
      </c>
      <c r="BG770">
        <v>0</v>
      </c>
      <c r="BI770">
        <v>1</v>
      </c>
      <c r="BJ770">
        <v>1</v>
      </c>
      <c r="BK770">
        <v>1</v>
      </c>
      <c r="BL770">
        <v>0</v>
      </c>
      <c r="BO770">
        <v>0</v>
      </c>
      <c r="BP770">
        <v>0</v>
      </c>
      <c r="BW770" t="str">
        <f>"19:16:28.707"</f>
        <v>19:16:28.707</v>
      </c>
      <c r="BX770" t="s">
        <v>119</v>
      </c>
      <c r="BY770" t="s">
        <v>120</v>
      </c>
      <c r="CJ770">
        <v>0</v>
      </c>
      <c r="CK770">
        <v>0</v>
      </c>
      <c r="CL770">
        <v>0</v>
      </c>
      <c r="CM770">
        <v>2</v>
      </c>
      <c r="CN770">
        <v>0</v>
      </c>
      <c r="CO770">
        <v>7</v>
      </c>
      <c r="CP770" t="s">
        <v>121</v>
      </c>
      <c r="CQ770">
        <v>579</v>
      </c>
      <c r="CR770">
        <v>0</v>
      </c>
      <c r="CW770">
        <v>1861932</v>
      </c>
      <c r="CY770">
        <v>0</v>
      </c>
      <c r="CZ770">
        <v>0</v>
      </c>
      <c r="DA770">
        <v>0</v>
      </c>
      <c r="DB770">
        <v>1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</row>
    <row r="771" spans="1:113" x14ac:dyDescent="0.3">
      <c r="A771" t="str">
        <f>"06/16/2022 19:16:30.003"</f>
        <v>06/16/2022 19:16:30.003</v>
      </c>
      <c r="C771" t="str">
        <f t="shared" si="36"/>
        <v>FFBF5BC0</v>
      </c>
      <c r="D771" t="s">
        <v>113</v>
      </c>
      <c r="E771">
        <v>8</v>
      </c>
      <c r="H771">
        <v>206</v>
      </c>
      <c r="I771" t="s">
        <v>114</v>
      </c>
      <c r="J771" t="s">
        <v>115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>"19:16:29.734"</f>
        <v>19:16:29.734</v>
      </c>
      <c r="T771" t="str">
        <f>"19:16:29.734"</f>
        <v>19:16:29.734</v>
      </c>
      <c r="U771" t="str">
        <f t="shared" si="37"/>
        <v>AB63B2</v>
      </c>
      <c r="V771">
        <v>0</v>
      </c>
      <c r="W771">
        <v>0</v>
      </c>
      <c r="X771">
        <v>6</v>
      </c>
      <c r="Z771">
        <v>0</v>
      </c>
      <c r="AA771">
        <v>9</v>
      </c>
      <c r="AB771">
        <v>3</v>
      </c>
      <c r="AC771">
        <v>0</v>
      </c>
      <c r="AD771">
        <v>10</v>
      </c>
      <c r="AE771">
        <v>0</v>
      </c>
      <c r="AF771">
        <v>0</v>
      </c>
      <c r="AG771">
        <v>2</v>
      </c>
      <c r="AH771">
        <v>0</v>
      </c>
      <c r="AI771" t="s">
        <v>535</v>
      </c>
      <c r="AJ771">
        <v>41.971829</v>
      </c>
      <c r="AK771" t="s">
        <v>690</v>
      </c>
      <c r="AL771">
        <v>-87.894358999999994</v>
      </c>
      <c r="AS771">
        <v>1</v>
      </c>
      <c r="AT771" t="s">
        <v>118</v>
      </c>
      <c r="AU771" t="b">
        <v>1</v>
      </c>
      <c r="AV771">
        <v>2.81</v>
      </c>
      <c r="AW771">
        <v>8.625</v>
      </c>
      <c r="AX771">
        <v>1</v>
      </c>
      <c r="AZ771">
        <v>7205</v>
      </c>
      <c r="BA771">
        <v>1</v>
      </c>
      <c r="BB771" t="str">
        <f t="shared" si="38"/>
        <v xml:space="preserve">KAP400  </v>
      </c>
      <c r="BC771">
        <v>1</v>
      </c>
      <c r="BE771">
        <v>0</v>
      </c>
      <c r="BF771">
        <v>0</v>
      </c>
      <c r="BG771">
        <v>0</v>
      </c>
      <c r="BI771">
        <v>1</v>
      </c>
      <c r="BJ771">
        <v>1</v>
      </c>
      <c r="BK771">
        <v>1</v>
      </c>
      <c r="BL771">
        <v>0</v>
      </c>
      <c r="BO771">
        <v>0</v>
      </c>
      <c r="BP771">
        <v>0</v>
      </c>
      <c r="BW771" t="str">
        <f>"19:16:29.735"</f>
        <v>19:16:29.735</v>
      </c>
      <c r="BX771" t="s">
        <v>119</v>
      </c>
      <c r="BY771" t="s">
        <v>120</v>
      </c>
      <c r="CJ771">
        <v>0</v>
      </c>
      <c r="CK771">
        <v>0</v>
      </c>
      <c r="CL771">
        <v>0</v>
      </c>
      <c r="CM771">
        <v>2</v>
      </c>
      <c r="CN771">
        <v>0</v>
      </c>
      <c r="CO771">
        <v>7</v>
      </c>
      <c r="CP771" t="s">
        <v>121</v>
      </c>
      <c r="CQ771">
        <v>579</v>
      </c>
      <c r="CR771">
        <v>0</v>
      </c>
      <c r="CW771">
        <v>1863887</v>
      </c>
      <c r="CY771">
        <v>0</v>
      </c>
      <c r="CZ771">
        <v>0</v>
      </c>
      <c r="DA771">
        <v>0</v>
      </c>
      <c r="DB771">
        <v>1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</row>
    <row r="772" spans="1:113" x14ac:dyDescent="0.3">
      <c r="A772" t="str">
        <f>"06/16/2022 19:16:31.050"</f>
        <v>06/16/2022 19:16:31.050</v>
      </c>
      <c r="C772" t="str">
        <f t="shared" si="36"/>
        <v>FFBF5BC0</v>
      </c>
      <c r="D772" t="s">
        <v>113</v>
      </c>
      <c r="E772">
        <v>8</v>
      </c>
      <c r="H772">
        <v>206</v>
      </c>
      <c r="I772" t="s">
        <v>114</v>
      </c>
      <c r="J772" t="s">
        <v>115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>"19:16:30.734"</f>
        <v>19:16:30.734</v>
      </c>
      <c r="T772" t="str">
        <f>"19:16:30.734"</f>
        <v>19:16:30.734</v>
      </c>
      <c r="U772" t="str">
        <f t="shared" si="37"/>
        <v>AB63B2</v>
      </c>
      <c r="V772">
        <v>0</v>
      </c>
      <c r="W772">
        <v>0</v>
      </c>
      <c r="X772">
        <v>6</v>
      </c>
      <c r="Z772">
        <v>0</v>
      </c>
      <c r="AA772">
        <v>9</v>
      </c>
      <c r="AB772">
        <v>3</v>
      </c>
      <c r="AC772">
        <v>0</v>
      </c>
      <c r="AD772">
        <v>10</v>
      </c>
      <c r="AE772">
        <v>0</v>
      </c>
      <c r="AF772">
        <v>0</v>
      </c>
      <c r="AG772">
        <v>2</v>
      </c>
      <c r="AH772">
        <v>0</v>
      </c>
      <c r="AI772" t="s">
        <v>534</v>
      </c>
      <c r="AJ772">
        <v>41.971850000000003</v>
      </c>
      <c r="AK772" t="s">
        <v>690</v>
      </c>
      <c r="AL772">
        <v>-87.894358999999994</v>
      </c>
      <c r="AS772">
        <v>1</v>
      </c>
      <c r="AT772" t="s">
        <v>118</v>
      </c>
      <c r="AU772" t="b">
        <v>1</v>
      </c>
      <c r="AV772">
        <v>2.81</v>
      </c>
      <c r="AW772">
        <v>8.625</v>
      </c>
      <c r="AX772">
        <v>1</v>
      </c>
      <c r="AZ772">
        <v>7205</v>
      </c>
      <c r="BA772">
        <v>1</v>
      </c>
      <c r="BB772" t="str">
        <f t="shared" si="38"/>
        <v xml:space="preserve">KAP400  </v>
      </c>
      <c r="BC772">
        <v>1</v>
      </c>
      <c r="BE772">
        <v>0</v>
      </c>
      <c r="BF772">
        <v>0</v>
      </c>
      <c r="BG772">
        <v>0</v>
      </c>
      <c r="BI772">
        <v>1</v>
      </c>
      <c r="BJ772">
        <v>1</v>
      </c>
      <c r="BK772">
        <v>1</v>
      </c>
      <c r="BL772">
        <v>0</v>
      </c>
      <c r="BO772">
        <v>0</v>
      </c>
      <c r="BP772">
        <v>0</v>
      </c>
      <c r="BW772" t="str">
        <f>"19:16:30.736"</f>
        <v>19:16:30.736</v>
      </c>
      <c r="BX772" t="s">
        <v>119</v>
      </c>
      <c r="BY772" t="s">
        <v>120</v>
      </c>
      <c r="CJ772">
        <v>0</v>
      </c>
      <c r="CK772">
        <v>0</v>
      </c>
      <c r="CL772">
        <v>0</v>
      </c>
      <c r="CM772">
        <v>2</v>
      </c>
      <c r="CN772">
        <v>0</v>
      </c>
      <c r="CO772">
        <v>7</v>
      </c>
      <c r="CP772" t="s">
        <v>121</v>
      </c>
      <c r="CQ772">
        <v>579</v>
      </c>
      <c r="CR772">
        <v>0</v>
      </c>
      <c r="CW772">
        <v>1865745</v>
      </c>
      <c r="CY772">
        <v>0</v>
      </c>
      <c r="CZ772">
        <v>0</v>
      </c>
      <c r="DA772">
        <v>0</v>
      </c>
      <c r="DB772">
        <v>1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</row>
    <row r="773" spans="1:113" x14ac:dyDescent="0.3">
      <c r="A773" t="str">
        <f>"06/16/2022 19:16:32.018"</f>
        <v>06/16/2022 19:16:32.018</v>
      </c>
      <c r="C773" t="str">
        <f t="shared" si="36"/>
        <v>FFBF5BC0</v>
      </c>
      <c r="D773" t="s">
        <v>113</v>
      </c>
      <c r="E773">
        <v>8</v>
      </c>
      <c r="H773">
        <v>206</v>
      </c>
      <c r="I773" t="s">
        <v>114</v>
      </c>
      <c r="J773" t="s">
        <v>115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>"19:16:31.734"</f>
        <v>19:16:31.734</v>
      </c>
      <c r="T773" t="str">
        <f>"19:16:31.734"</f>
        <v>19:16:31.734</v>
      </c>
      <c r="U773" t="str">
        <f t="shared" si="37"/>
        <v>AB63B2</v>
      </c>
      <c r="V773">
        <v>0</v>
      </c>
      <c r="W773">
        <v>0</v>
      </c>
      <c r="X773">
        <v>6</v>
      </c>
      <c r="Z773">
        <v>0</v>
      </c>
      <c r="AA773">
        <v>9</v>
      </c>
      <c r="AB773">
        <v>3</v>
      </c>
      <c r="AC773">
        <v>0</v>
      </c>
      <c r="AD773">
        <v>10</v>
      </c>
      <c r="AE773">
        <v>0</v>
      </c>
      <c r="AF773">
        <v>0</v>
      </c>
      <c r="AG773">
        <v>2</v>
      </c>
      <c r="AH773">
        <v>0</v>
      </c>
      <c r="AI773" t="s">
        <v>719</v>
      </c>
      <c r="AJ773">
        <v>41.971915000000003</v>
      </c>
      <c r="AK773" t="s">
        <v>690</v>
      </c>
      <c r="AL773">
        <v>-87.894358999999994</v>
      </c>
      <c r="AS773">
        <v>1</v>
      </c>
      <c r="AT773" t="s">
        <v>118</v>
      </c>
      <c r="AU773" t="b">
        <v>1</v>
      </c>
      <c r="AV773">
        <v>2.81</v>
      </c>
      <c r="AW773">
        <v>8.625</v>
      </c>
      <c r="AX773">
        <v>1</v>
      </c>
      <c r="AZ773">
        <v>7205</v>
      </c>
      <c r="BA773">
        <v>1</v>
      </c>
      <c r="BB773" t="str">
        <f t="shared" si="38"/>
        <v xml:space="preserve">KAP400  </v>
      </c>
      <c r="BC773">
        <v>1</v>
      </c>
      <c r="BE773">
        <v>0</v>
      </c>
      <c r="BF773">
        <v>0</v>
      </c>
      <c r="BG773">
        <v>0</v>
      </c>
      <c r="BI773">
        <v>1</v>
      </c>
      <c r="BJ773">
        <v>1</v>
      </c>
      <c r="BK773">
        <v>1</v>
      </c>
      <c r="BL773">
        <v>0</v>
      </c>
      <c r="BO773">
        <v>0</v>
      </c>
      <c r="BP773">
        <v>0</v>
      </c>
      <c r="BW773" t="str">
        <f>"19:16:31.738"</f>
        <v>19:16:31.738</v>
      </c>
      <c r="BX773" t="s">
        <v>119</v>
      </c>
      <c r="BY773" t="s">
        <v>120</v>
      </c>
      <c r="CJ773">
        <v>0</v>
      </c>
      <c r="CK773">
        <v>0</v>
      </c>
      <c r="CL773">
        <v>0</v>
      </c>
      <c r="CM773">
        <v>2</v>
      </c>
      <c r="CN773">
        <v>0</v>
      </c>
      <c r="CO773">
        <v>7</v>
      </c>
      <c r="CP773" t="s">
        <v>121</v>
      </c>
      <c r="CQ773">
        <v>580</v>
      </c>
      <c r="CR773">
        <v>0</v>
      </c>
      <c r="CW773">
        <v>745091</v>
      </c>
      <c r="CY773">
        <v>0</v>
      </c>
      <c r="CZ773">
        <v>0</v>
      </c>
      <c r="DA773">
        <v>0</v>
      </c>
      <c r="DB773">
        <v>1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</row>
    <row r="774" spans="1:113" x14ac:dyDescent="0.3">
      <c r="A774" t="str">
        <f>"06/16/2022 19:16:33.628"</f>
        <v>06/16/2022 19:16:33.628</v>
      </c>
      <c r="C774" t="str">
        <f t="shared" si="36"/>
        <v>FFBF5BC0</v>
      </c>
      <c r="D774" t="s">
        <v>113</v>
      </c>
      <c r="E774">
        <v>8</v>
      </c>
      <c r="H774">
        <v>206</v>
      </c>
      <c r="I774" t="s">
        <v>114</v>
      </c>
      <c r="J774" t="s">
        <v>115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>"19:16:33.328"</f>
        <v>19:16:33.328</v>
      </c>
      <c r="T774" t="str">
        <f>"19:16:33.328"</f>
        <v>19:16:33.328</v>
      </c>
      <c r="U774" t="str">
        <f t="shared" si="37"/>
        <v>AB63B2</v>
      </c>
      <c r="V774">
        <v>0</v>
      </c>
      <c r="W774">
        <v>0</v>
      </c>
      <c r="X774">
        <v>6</v>
      </c>
      <c r="Z774">
        <v>0</v>
      </c>
      <c r="AA774">
        <v>9</v>
      </c>
      <c r="AB774">
        <v>3</v>
      </c>
      <c r="AC774">
        <v>0</v>
      </c>
      <c r="AD774">
        <v>10</v>
      </c>
      <c r="AE774">
        <v>0</v>
      </c>
      <c r="AF774">
        <v>0</v>
      </c>
      <c r="AG774">
        <v>2</v>
      </c>
      <c r="AH774">
        <v>0</v>
      </c>
      <c r="AI774" t="s">
        <v>527</v>
      </c>
      <c r="AJ774">
        <v>41.971958000000001</v>
      </c>
      <c r="AK774" t="s">
        <v>720</v>
      </c>
      <c r="AL774">
        <v>-87.894336999999993</v>
      </c>
      <c r="AS774">
        <v>1</v>
      </c>
      <c r="AT774" t="s">
        <v>118</v>
      </c>
      <c r="AU774" t="b">
        <v>1</v>
      </c>
      <c r="AV774">
        <v>2.81</v>
      </c>
      <c r="AW774">
        <v>9.125</v>
      </c>
      <c r="AX774">
        <v>1</v>
      </c>
      <c r="AZ774">
        <v>7205</v>
      </c>
      <c r="BA774">
        <v>1</v>
      </c>
      <c r="BB774" t="str">
        <f t="shared" si="38"/>
        <v xml:space="preserve">KAP400  </v>
      </c>
      <c r="BC774">
        <v>1</v>
      </c>
      <c r="BE774">
        <v>0</v>
      </c>
      <c r="BF774">
        <v>0</v>
      </c>
      <c r="BG774">
        <v>0</v>
      </c>
      <c r="BI774">
        <v>1</v>
      </c>
      <c r="BJ774">
        <v>1</v>
      </c>
      <c r="BK774">
        <v>1</v>
      </c>
      <c r="BL774">
        <v>0</v>
      </c>
      <c r="BO774">
        <v>0</v>
      </c>
      <c r="BP774">
        <v>0</v>
      </c>
      <c r="BW774" t="str">
        <f>"19:16:33.334"</f>
        <v>19:16:33.334</v>
      </c>
      <c r="BX774" t="s">
        <v>119</v>
      </c>
      <c r="BY774" t="s">
        <v>120</v>
      </c>
      <c r="CJ774">
        <v>0</v>
      </c>
      <c r="CK774">
        <v>0</v>
      </c>
      <c r="CL774">
        <v>0</v>
      </c>
      <c r="CM774">
        <v>2</v>
      </c>
      <c r="CN774">
        <v>0</v>
      </c>
      <c r="CO774">
        <v>7</v>
      </c>
      <c r="CP774" t="s">
        <v>121</v>
      </c>
      <c r="CQ774">
        <v>580</v>
      </c>
      <c r="CR774">
        <v>0</v>
      </c>
      <c r="CW774">
        <v>747919</v>
      </c>
      <c r="CY774">
        <v>0</v>
      </c>
      <c r="CZ774">
        <v>0</v>
      </c>
      <c r="DA774">
        <v>0</v>
      </c>
      <c r="DB774">
        <v>1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</row>
    <row r="775" spans="1:113" x14ac:dyDescent="0.3">
      <c r="A775" t="str">
        <f>"06/16/2022 19:16:34.581"</f>
        <v>06/16/2022 19:16:34.581</v>
      </c>
      <c r="C775" t="str">
        <f t="shared" si="36"/>
        <v>FFBF5BC0</v>
      </c>
      <c r="D775" t="s">
        <v>113</v>
      </c>
      <c r="E775">
        <v>8</v>
      </c>
      <c r="H775">
        <v>206</v>
      </c>
      <c r="I775" t="s">
        <v>114</v>
      </c>
      <c r="J775" t="s">
        <v>115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>"19:16:34.344"</f>
        <v>19:16:34.344</v>
      </c>
      <c r="T775" t="str">
        <f>"19:16:34.344"</f>
        <v>19:16:34.344</v>
      </c>
      <c r="U775" t="str">
        <f t="shared" si="37"/>
        <v>AB63B2</v>
      </c>
      <c r="V775">
        <v>0</v>
      </c>
      <c r="W775">
        <v>0</v>
      </c>
      <c r="X775">
        <v>6</v>
      </c>
      <c r="Z775">
        <v>0</v>
      </c>
      <c r="AA775">
        <v>9</v>
      </c>
      <c r="AB775">
        <v>3</v>
      </c>
      <c r="AC775">
        <v>0</v>
      </c>
      <c r="AD775">
        <v>10</v>
      </c>
      <c r="AE775">
        <v>0</v>
      </c>
      <c r="AF775">
        <v>0</v>
      </c>
      <c r="AG775">
        <v>2</v>
      </c>
      <c r="AH775">
        <v>0</v>
      </c>
      <c r="AI775" t="s">
        <v>520</v>
      </c>
      <c r="AJ775">
        <v>41.972000999999999</v>
      </c>
      <c r="AK775" t="s">
        <v>720</v>
      </c>
      <c r="AL775">
        <v>-87.894336999999993</v>
      </c>
      <c r="AS775">
        <v>1</v>
      </c>
      <c r="AT775" t="s">
        <v>118</v>
      </c>
      <c r="AU775" t="b">
        <v>1</v>
      </c>
      <c r="AV775">
        <v>2.81</v>
      </c>
      <c r="AW775">
        <v>9.625</v>
      </c>
      <c r="AX775">
        <v>1</v>
      </c>
      <c r="AZ775">
        <v>7205</v>
      </c>
      <c r="BA775">
        <v>1</v>
      </c>
      <c r="BB775" t="str">
        <f t="shared" si="38"/>
        <v xml:space="preserve">KAP400  </v>
      </c>
      <c r="BC775">
        <v>1</v>
      </c>
      <c r="BE775">
        <v>0</v>
      </c>
      <c r="BF775">
        <v>0</v>
      </c>
      <c r="BG775">
        <v>0</v>
      </c>
      <c r="BI775">
        <v>1</v>
      </c>
      <c r="BJ775">
        <v>1</v>
      </c>
      <c r="BK775">
        <v>1</v>
      </c>
      <c r="BL775">
        <v>0</v>
      </c>
      <c r="BO775">
        <v>0</v>
      </c>
      <c r="BP775">
        <v>0</v>
      </c>
      <c r="BW775" t="str">
        <f>"19:16:34.345"</f>
        <v>19:16:34.345</v>
      </c>
      <c r="BX775" t="s">
        <v>119</v>
      </c>
      <c r="BY775" t="s">
        <v>120</v>
      </c>
      <c r="CJ775">
        <v>0</v>
      </c>
      <c r="CK775">
        <v>0</v>
      </c>
      <c r="CL775">
        <v>0</v>
      </c>
      <c r="CM775">
        <v>2</v>
      </c>
      <c r="CN775">
        <v>0</v>
      </c>
      <c r="CO775">
        <v>7</v>
      </c>
      <c r="CP775" t="s">
        <v>121</v>
      </c>
      <c r="CQ775">
        <v>579</v>
      </c>
      <c r="CR775">
        <v>0</v>
      </c>
      <c r="CW775">
        <v>1872612</v>
      </c>
      <c r="CY775">
        <v>0</v>
      </c>
      <c r="CZ775">
        <v>0</v>
      </c>
      <c r="DA775">
        <v>0</v>
      </c>
      <c r="DB775">
        <v>1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</row>
    <row r="776" spans="1:113" x14ac:dyDescent="0.3">
      <c r="A776" t="str">
        <f>"06/16/2022 19:16:35.519"</f>
        <v>06/16/2022 19:16:35.519</v>
      </c>
      <c r="C776" t="str">
        <f t="shared" si="36"/>
        <v>FFBF5BC0</v>
      </c>
      <c r="D776" t="s">
        <v>113</v>
      </c>
      <c r="E776">
        <v>8</v>
      </c>
      <c r="H776">
        <v>206</v>
      </c>
      <c r="I776" t="s">
        <v>114</v>
      </c>
      <c r="J776" t="s">
        <v>115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>"19:16:35.320"</f>
        <v>19:16:35.320</v>
      </c>
      <c r="T776" t="str">
        <f>"19:16:35.320"</f>
        <v>19:16:35.320</v>
      </c>
      <c r="U776" t="str">
        <f t="shared" si="37"/>
        <v>AB63B2</v>
      </c>
      <c r="V776">
        <v>0</v>
      </c>
      <c r="W776">
        <v>0</v>
      </c>
      <c r="X776">
        <v>6</v>
      </c>
      <c r="Z776">
        <v>0</v>
      </c>
      <c r="AA776">
        <v>9</v>
      </c>
      <c r="AB776">
        <v>3</v>
      </c>
      <c r="AC776">
        <v>0</v>
      </c>
      <c r="AD776">
        <v>10</v>
      </c>
      <c r="AE776">
        <v>0</v>
      </c>
      <c r="AF776">
        <v>0</v>
      </c>
      <c r="AG776">
        <v>2</v>
      </c>
      <c r="AH776">
        <v>0</v>
      </c>
      <c r="AI776" t="s">
        <v>514</v>
      </c>
      <c r="AJ776">
        <v>41.972043999999997</v>
      </c>
      <c r="AK776" t="s">
        <v>720</v>
      </c>
      <c r="AL776">
        <v>-87.894336999999993</v>
      </c>
      <c r="AS776">
        <v>1</v>
      </c>
      <c r="AT776" t="s">
        <v>118</v>
      </c>
      <c r="AU776" t="b">
        <v>1</v>
      </c>
      <c r="AV776">
        <v>2.81</v>
      </c>
      <c r="AW776">
        <v>9.625</v>
      </c>
      <c r="AX776">
        <v>1</v>
      </c>
      <c r="AZ776">
        <v>7205</v>
      </c>
      <c r="BA776">
        <v>1</v>
      </c>
      <c r="BB776" t="str">
        <f t="shared" si="38"/>
        <v xml:space="preserve">KAP400  </v>
      </c>
      <c r="BC776">
        <v>1</v>
      </c>
      <c r="BE776">
        <v>0</v>
      </c>
      <c r="BF776">
        <v>0</v>
      </c>
      <c r="BG776">
        <v>0</v>
      </c>
      <c r="BI776">
        <v>1</v>
      </c>
      <c r="BJ776">
        <v>1</v>
      </c>
      <c r="BK776">
        <v>1</v>
      </c>
      <c r="BL776">
        <v>0</v>
      </c>
      <c r="BO776">
        <v>0</v>
      </c>
      <c r="BP776">
        <v>0</v>
      </c>
      <c r="BW776" t="str">
        <f>"19:16:35.323"</f>
        <v>19:16:35.323</v>
      </c>
      <c r="BX776" t="s">
        <v>119</v>
      </c>
      <c r="BY776" t="s">
        <v>120</v>
      </c>
      <c r="CJ776">
        <v>0</v>
      </c>
      <c r="CK776">
        <v>0</v>
      </c>
      <c r="CL776">
        <v>0</v>
      </c>
      <c r="CM776">
        <v>2</v>
      </c>
      <c r="CN776">
        <v>0</v>
      </c>
      <c r="CO776">
        <v>7</v>
      </c>
      <c r="CP776" t="s">
        <v>121</v>
      </c>
      <c r="CQ776">
        <v>580</v>
      </c>
      <c r="CR776">
        <v>0</v>
      </c>
      <c r="CW776">
        <v>751563</v>
      </c>
      <c r="CY776">
        <v>0</v>
      </c>
      <c r="CZ776">
        <v>0</v>
      </c>
      <c r="DA776">
        <v>0</v>
      </c>
      <c r="DB776">
        <v>1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</row>
    <row r="777" spans="1:113" x14ac:dyDescent="0.3">
      <c r="A777" t="str">
        <f>"06/16/2022 19:16:36.394"</f>
        <v>06/16/2022 19:16:36.394</v>
      </c>
      <c r="C777" t="str">
        <f t="shared" si="36"/>
        <v>FFBF5BC0</v>
      </c>
      <c r="D777" t="s">
        <v>113</v>
      </c>
      <c r="E777">
        <v>8</v>
      </c>
      <c r="H777">
        <v>206</v>
      </c>
      <c r="I777" t="s">
        <v>114</v>
      </c>
      <c r="J777" t="s">
        <v>115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>"19:16:36.195"</f>
        <v>19:16:36.195</v>
      </c>
      <c r="T777" t="str">
        <f>"19:16:36.195"</f>
        <v>19:16:36.195</v>
      </c>
      <c r="U777" t="str">
        <f t="shared" si="37"/>
        <v>AB63B2</v>
      </c>
      <c r="V777">
        <v>0</v>
      </c>
      <c r="W777">
        <v>0</v>
      </c>
      <c r="X777">
        <v>6</v>
      </c>
      <c r="Z777">
        <v>0</v>
      </c>
      <c r="AA777">
        <v>9</v>
      </c>
      <c r="AB777">
        <v>3</v>
      </c>
      <c r="AC777">
        <v>0</v>
      </c>
      <c r="AD777">
        <v>10</v>
      </c>
      <c r="AE777">
        <v>0</v>
      </c>
      <c r="AF777">
        <v>0</v>
      </c>
      <c r="AG777">
        <v>2</v>
      </c>
      <c r="AH777">
        <v>0</v>
      </c>
      <c r="AI777" t="s">
        <v>499</v>
      </c>
      <c r="AJ777">
        <v>41.972085999999997</v>
      </c>
      <c r="AK777" t="s">
        <v>720</v>
      </c>
      <c r="AL777">
        <v>-87.894336999999993</v>
      </c>
      <c r="AS777">
        <v>1</v>
      </c>
      <c r="AT777" t="s">
        <v>118</v>
      </c>
      <c r="AU777" t="b">
        <v>1</v>
      </c>
      <c r="AV777">
        <v>2.81</v>
      </c>
      <c r="AW777">
        <v>10.125</v>
      </c>
      <c r="AX777">
        <v>1</v>
      </c>
      <c r="AZ777">
        <v>7205</v>
      </c>
      <c r="BA777">
        <v>1</v>
      </c>
      <c r="BB777" t="str">
        <f t="shared" si="38"/>
        <v xml:space="preserve">KAP400  </v>
      </c>
      <c r="BC777">
        <v>1</v>
      </c>
      <c r="BE777">
        <v>0</v>
      </c>
      <c r="BF777">
        <v>0</v>
      </c>
      <c r="BG777">
        <v>0</v>
      </c>
      <c r="BI777">
        <v>1</v>
      </c>
      <c r="BJ777">
        <v>1</v>
      </c>
      <c r="BK777">
        <v>1</v>
      </c>
      <c r="BL777">
        <v>0</v>
      </c>
      <c r="BO777">
        <v>0</v>
      </c>
      <c r="BP777">
        <v>0</v>
      </c>
      <c r="BW777" t="str">
        <f>"19:16:36.198"</f>
        <v>19:16:36.198</v>
      </c>
      <c r="BX777" t="s">
        <v>119</v>
      </c>
      <c r="BY777" t="s">
        <v>120</v>
      </c>
      <c r="CJ777">
        <v>0</v>
      </c>
      <c r="CK777">
        <v>0</v>
      </c>
      <c r="CL777">
        <v>0</v>
      </c>
      <c r="CM777">
        <v>2</v>
      </c>
      <c r="CN777">
        <v>0</v>
      </c>
      <c r="CO777">
        <v>7</v>
      </c>
      <c r="CP777" t="s">
        <v>121</v>
      </c>
      <c r="CQ777">
        <v>579</v>
      </c>
      <c r="CR777">
        <v>0</v>
      </c>
      <c r="CW777">
        <v>1876174</v>
      </c>
      <c r="CY777">
        <v>0</v>
      </c>
      <c r="CZ777">
        <v>0</v>
      </c>
      <c r="DA777">
        <v>0</v>
      </c>
      <c r="DB777">
        <v>1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</row>
    <row r="778" spans="1:113" x14ac:dyDescent="0.3">
      <c r="A778" t="str">
        <f>"06/16/2022 19:16:37.457"</f>
        <v>06/16/2022 19:16:37.457</v>
      </c>
      <c r="C778" t="str">
        <f t="shared" si="36"/>
        <v>FFBF5BC0</v>
      </c>
      <c r="D778" t="s">
        <v>113</v>
      </c>
      <c r="E778">
        <v>8</v>
      </c>
      <c r="H778">
        <v>206</v>
      </c>
      <c r="I778" t="s">
        <v>114</v>
      </c>
      <c r="J778" t="s">
        <v>115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>"19:16:37.234"</f>
        <v>19:16:37.234</v>
      </c>
      <c r="T778" t="str">
        <f>"19:16:37.234"</f>
        <v>19:16:37.234</v>
      </c>
      <c r="U778" t="str">
        <f t="shared" si="37"/>
        <v>AB63B2</v>
      </c>
      <c r="V778">
        <v>0</v>
      </c>
      <c r="W778">
        <v>0</v>
      </c>
      <c r="X778">
        <v>6</v>
      </c>
      <c r="Z778">
        <v>0</v>
      </c>
      <c r="AA778">
        <v>9</v>
      </c>
      <c r="AB778">
        <v>3</v>
      </c>
      <c r="AC778">
        <v>0</v>
      </c>
      <c r="AD778">
        <v>10</v>
      </c>
      <c r="AE778">
        <v>0</v>
      </c>
      <c r="AF778">
        <v>0</v>
      </c>
      <c r="AG778">
        <v>2</v>
      </c>
      <c r="AH778">
        <v>0</v>
      </c>
      <c r="AI778" t="s">
        <v>494</v>
      </c>
      <c r="AJ778">
        <v>41.972129000000002</v>
      </c>
      <c r="AK778" t="s">
        <v>720</v>
      </c>
      <c r="AL778">
        <v>-87.894336999999993</v>
      </c>
      <c r="AS778">
        <v>1</v>
      </c>
      <c r="AT778" t="s">
        <v>118</v>
      </c>
      <c r="AU778" t="b">
        <v>1</v>
      </c>
      <c r="AV778">
        <v>2.81</v>
      </c>
      <c r="AW778">
        <v>10.125</v>
      </c>
      <c r="AX778">
        <v>1</v>
      </c>
      <c r="AZ778">
        <v>7205</v>
      </c>
      <c r="BA778">
        <v>1</v>
      </c>
      <c r="BB778" t="str">
        <f t="shared" si="38"/>
        <v xml:space="preserve">KAP400  </v>
      </c>
      <c r="BC778">
        <v>1</v>
      </c>
      <c r="BE778">
        <v>0</v>
      </c>
      <c r="BF778">
        <v>0</v>
      </c>
      <c r="BG778">
        <v>0</v>
      </c>
      <c r="BI778">
        <v>1</v>
      </c>
      <c r="BJ778">
        <v>1</v>
      </c>
      <c r="BK778">
        <v>1</v>
      </c>
      <c r="BL778">
        <v>0</v>
      </c>
      <c r="BO778">
        <v>0</v>
      </c>
      <c r="BP778">
        <v>0</v>
      </c>
      <c r="BW778" t="str">
        <f>"19:16:37.242"</f>
        <v>19:16:37.242</v>
      </c>
      <c r="BX778" t="s">
        <v>119</v>
      </c>
      <c r="BY778" t="s">
        <v>120</v>
      </c>
      <c r="CJ778">
        <v>0</v>
      </c>
      <c r="CK778">
        <v>0</v>
      </c>
      <c r="CL778">
        <v>0</v>
      </c>
      <c r="CM778">
        <v>2</v>
      </c>
      <c r="CN778">
        <v>0</v>
      </c>
      <c r="CO778">
        <v>7</v>
      </c>
      <c r="CP778" t="s">
        <v>121</v>
      </c>
      <c r="CQ778">
        <v>579</v>
      </c>
      <c r="CR778">
        <v>0</v>
      </c>
      <c r="CW778">
        <v>1878212</v>
      </c>
      <c r="CY778">
        <v>0</v>
      </c>
      <c r="CZ778">
        <v>0</v>
      </c>
      <c r="DA778">
        <v>0</v>
      </c>
      <c r="DB778">
        <v>1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</row>
    <row r="779" spans="1:113" x14ac:dyDescent="0.3">
      <c r="A779" t="str">
        <f>"06/16/2022 19:16:38.598"</f>
        <v>06/16/2022 19:16:38.598</v>
      </c>
      <c r="C779" t="str">
        <f t="shared" si="36"/>
        <v>FFBF5BC0</v>
      </c>
      <c r="D779" t="s">
        <v>113</v>
      </c>
      <c r="E779">
        <v>8</v>
      </c>
      <c r="H779">
        <v>206</v>
      </c>
      <c r="I779" t="s">
        <v>114</v>
      </c>
      <c r="J779" t="s">
        <v>115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>"19:16:38.250"</f>
        <v>19:16:38.250</v>
      </c>
      <c r="T779" t="str">
        <f>"19:16:38.250"</f>
        <v>19:16:38.250</v>
      </c>
      <c r="U779" t="str">
        <f t="shared" si="37"/>
        <v>AB63B2</v>
      </c>
      <c r="V779">
        <v>0</v>
      </c>
      <c r="W779">
        <v>0</v>
      </c>
      <c r="X779">
        <v>6</v>
      </c>
      <c r="Z779">
        <v>0</v>
      </c>
      <c r="AA779">
        <v>9</v>
      </c>
      <c r="AB779">
        <v>3</v>
      </c>
      <c r="AC779">
        <v>0</v>
      </c>
      <c r="AD779">
        <v>10</v>
      </c>
      <c r="AE779">
        <v>0</v>
      </c>
      <c r="AF779">
        <v>0</v>
      </c>
      <c r="AG779">
        <v>2</v>
      </c>
      <c r="AH779">
        <v>0</v>
      </c>
      <c r="AI779" t="s">
        <v>490</v>
      </c>
      <c r="AJ779">
        <v>41.972194000000002</v>
      </c>
      <c r="AK779" t="s">
        <v>720</v>
      </c>
      <c r="AL779">
        <v>-87.894336999999993</v>
      </c>
      <c r="AS779">
        <v>1</v>
      </c>
      <c r="AT779" t="s">
        <v>118</v>
      </c>
      <c r="AU779" t="b">
        <v>1</v>
      </c>
      <c r="AV779">
        <v>2.81</v>
      </c>
      <c r="AW779">
        <v>10.125</v>
      </c>
      <c r="AX779">
        <v>1</v>
      </c>
      <c r="AZ779">
        <v>7205</v>
      </c>
      <c r="BA779">
        <v>1</v>
      </c>
      <c r="BB779" t="str">
        <f t="shared" si="38"/>
        <v xml:space="preserve">KAP400  </v>
      </c>
      <c r="BC779">
        <v>1</v>
      </c>
      <c r="BE779">
        <v>0</v>
      </c>
      <c r="BF779">
        <v>0</v>
      </c>
      <c r="BG779">
        <v>0</v>
      </c>
      <c r="BI779">
        <v>1</v>
      </c>
      <c r="BJ779">
        <v>1</v>
      </c>
      <c r="BK779">
        <v>1</v>
      </c>
      <c r="BL779">
        <v>0</v>
      </c>
      <c r="BO779">
        <v>0</v>
      </c>
      <c r="BP779">
        <v>0</v>
      </c>
      <c r="BW779" t="str">
        <f>"19:16:38.253"</f>
        <v>19:16:38.253</v>
      </c>
      <c r="BX779" t="s">
        <v>119</v>
      </c>
      <c r="BY779" t="s">
        <v>120</v>
      </c>
      <c r="CJ779">
        <v>0</v>
      </c>
      <c r="CK779">
        <v>0</v>
      </c>
      <c r="CL779">
        <v>0</v>
      </c>
      <c r="CM779">
        <v>2</v>
      </c>
      <c r="CN779">
        <v>0</v>
      </c>
      <c r="CO779">
        <v>7</v>
      </c>
      <c r="CP779" t="s">
        <v>121</v>
      </c>
      <c r="CQ779">
        <v>579</v>
      </c>
      <c r="CR779">
        <v>0</v>
      </c>
      <c r="CW779">
        <v>1880011</v>
      </c>
      <c r="CY779">
        <v>0</v>
      </c>
      <c r="CZ779">
        <v>0</v>
      </c>
      <c r="DA779">
        <v>0</v>
      </c>
      <c r="DB779">
        <v>1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</row>
    <row r="780" spans="1:113" x14ac:dyDescent="0.3">
      <c r="A780" t="str">
        <f>"06/16/2022 19:16:39.551"</f>
        <v>06/16/2022 19:16:39.551</v>
      </c>
      <c r="C780" t="str">
        <f t="shared" si="36"/>
        <v>FFBF5BC0</v>
      </c>
      <c r="D780" t="s">
        <v>113</v>
      </c>
      <c r="E780">
        <v>8</v>
      </c>
      <c r="H780">
        <v>206</v>
      </c>
      <c r="I780" t="s">
        <v>114</v>
      </c>
      <c r="J780" t="s">
        <v>115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>"19:16:39.242"</f>
        <v>19:16:39.242</v>
      </c>
      <c r="T780" t="str">
        <f>"19:16:39.242"</f>
        <v>19:16:39.242</v>
      </c>
      <c r="U780" t="str">
        <f t="shared" si="37"/>
        <v>AB63B2</v>
      </c>
      <c r="V780">
        <v>0</v>
      </c>
      <c r="W780">
        <v>0</v>
      </c>
      <c r="X780">
        <v>6</v>
      </c>
      <c r="Z780">
        <v>0</v>
      </c>
      <c r="AA780">
        <v>9</v>
      </c>
      <c r="AB780">
        <v>3</v>
      </c>
      <c r="AC780">
        <v>0</v>
      </c>
      <c r="AD780">
        <v>10</v>
      </c>
      <c r="AE780">
        <v>0</v>
      </c>
      <c r="AF780">
        <v>0</v>
      </c>
      <c r="AG780">
        <v>2</v>
      </c>
      <c r="AH780">
        <v>0</v>
      </c>
      <c r="AI780" t="s">
        <v>486</v>
      </c>
      <c r="AJ780">
        <v>41.972237</v>
      </c>
      <c r="AK780" t="s">
        <v>720</v>
      </c>
      <c r="AL780">
        <v>-87.894336999999993</v>
      </c>
      <c r="AS780">
        <v>1</v>
      </c>
      <c r="AT780" t="s">
        <v>118</v>
      </c>
      <c r="AU780" t="b">
        <v>1</v>
      </c>
      <c r="AV780">
        <v>0</v>
      </c>
      <c r="AW780">
        <v>10.125</v>
      </c>
      <c r="AX780">
        <v>1</v>
      </c>
      <c r="AZ780">
        <v>7205</v>
      </c>
      <c r="BA780">
        <v>1</v>
      </c>
      <c r="BB780" t="str">
        <f t="shared" si="38"/>
        <v xml:space="preserve">KAP400  </v>
      </c>
      <c r="BC780">
        <v>1</v>
      </c>
      <c r="BE780">
        <v>0</v>
      </c>
      <c r="BF780">
        <v>0</v>
      </c>
      <c r="BG780">
        <v>0</v>
      </c>
      <c r="BI780">
        <v>1</v>
      </c>
      <c r="BJ780">
        <v>1</v>
      </c>
      <c r="BK780">
        <v>1</v>
      </c>
      <c r="BL780">
        <v>0</v>
      </c>
      <c r="BO780">
        <v>0</v>
      </c>
      <c r="BP780">
        <v>0</v>
      </c>
      <c r="BW780" t="str">
        <f>"19:16:39.242"</f>
        <v>19:16:39.242</v>
      </c>
      <c r="BX780" t="s">
        <v>119</v>
      </c>
      <c r="BY780" t="s">
        <v>120</v>
      </c>
      <c r="CJ780">
        <v>0</v>
      </c>
      <c r="CK780">
        <v>0</v>
      </c>
      <c r="CL780">
        <v>0</v>
      </c>
      <c r="CM780">
        <v>2</v>
      </c>
      <c r="CN780">
        <v>0</v>
      </c>
      <c r="CO780">
        <v>7</v>
      </c>
      <c r="CP780" t="s">
        <v>121</v>
      </c>
      <c r="CQ780">
        <v>580</v>
      </c>
      <c r="CR780">
        <v>0</v>
      </c>
      <c r="CW780">
        <v>758850</v>
      </c>
      <c r="CY780">
        <v>0</v>
      </c>
      <c r="CZ780">
        <v>0</v>
      </c>
      <c r="DA780">
        <v>0</v>
      </c>
      <c r="DB780">
        <v>1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</row>
    <row r="781" spans="1:113" x14ac:dyDescent="0.3">
      <c r="A781" t="str">
        <f>"06/16/2022 19:16:40.395"</f>
        <v>06/16/2022 19:16:40.395</v>
      </c>
      <c r="C781" t="str">
        <f t="shared" si="36"/>
        <v>FFBF5BC0</v>
      </c>
      <c r="D781" t="s">
        <v>113</v>
      </c>
      <c r="E781">
        <v>8</v>
      </c>
      <c r="H781">
        <v>206</v>
      </c>
      <c r="I781" t="s">
        <v>114</v>
      </c>
      <c r="J781" t="s">
        <v>115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>"19:16:40.172"</f>
        <v>19:16:40.172</v>
      </c>
      <c r="T781" t="str">
        <f>"19:16:40.172"</f>
        <v>19:16:40.172</v>
      </c>
      <c r="U781" t="str">
        <f t="shared" si="37"/>
        <v>AB63B2</v>
      </c>
      <c r="V781">
        <v>0</v>
      </c>
      <c r="W781">
        <v>0</v>
      </c>
      <c r="X781">
        <v>6</v>
      </c>
      <c r="Z781">
        <v>0</v>
      </c>
      <c r="AA781">
        <v>9</v>
      </c>
      <c r="AB781">
        <v>3</v>
      </c>
      <c r="AC781">
        <v>0</v>
      </c>
      <c r="AD781">
        <v>10</v>
      </c>
      <c r="AE781">
        <v>0</v>
      </c>
      <c r="AF781">
        <v>0</v>
      </c>
      <c r="AG781">
        <v>2</v>
      </c>
      <c r="AH781">
        <v>0</v>
      </c>
      <c r="AI781" t="s">
        <v>721</v>
      </c>
      <c r="AJ781">
        <v>41.972257999999997</v>
      </c>
      <c r="AK781" t="s">
        <v>720</v>
      </c>
      <c r="AL781">
        <v>-87.894336999999993</v>
      </c>
      <c r="AS781">
        <v>1</v>
      </c>
      <c r="AT781" t="s">
        <v>118</v>
      </c>
      <c r="AU781" t="b">
        <v>1</v>
      </c>
      <c r="AV781">
        <v>0</v>
      </c>
      <c r="AW781">
        <v>10.125</v>
      </c>
      <c r="AX781">
        <v>1</v>
      </c>
      <c r="AZ781">
        <v>7205</v>
      </c>
      <c r="BA781">
        <v>1</v>
      </c>
      <c r="BB781" t="str">
        <f t="shared" si="38"/>
        <v xml:space="preserve">KAP400  </v>
      </c>
      <c r="BC781">
        <v>1</v>
      </c>
      <c r="BE781">
        <v>0</v>
      </c>
      <c r="BF781">
        <v>0</v>
      </c>
      <c r="BG781">
        <v>0</v>
      </c>
      <c r="BI781">
        <v>1</v>
      </c>
      <c r="BJ781">
        <v>1</v>
      </c>
      <c r="BK781">
        <v>1</v>
      </c>
      <c r="BL781">
        <v>0</v>
      </c>
      <c r="BO781">
        <v>0</v>
      </c>
      <c r="BP781">
        <v>0</v>
      </c>
      <c r="BW781" t="str">
        <f>"19:16:40.176"</f>
        <v>19:16:40.176</v>
      </c>
      <c r="BX781" t="s">
        <v>119</v>
      </c>
      <c r="BY781" t="s">
        <v>120</v>
      </c>
      <c r="CJ781">
        <v>0</v>
      </c>
      <c r="CK781">
        <v>0</v>
      </c>
      <c r="CL781">
        <v>0</v>
      </c>
      <c r="CM781">
        <v>2</v>
      </c>
      <c r="CN781">
        <v>0</v>
      </c>
      <c r="CO781">
        <v>7</v>
      </c>
      <c r="CP781" t="s">
        <v>121</v>
      </c>
      <c r="CQ781">
        <v>579</v>
      </c>
      <c r="CR781">
        <v>0</v>
      </c>
      <c r="CW781">
        <v>1883668</v>
      </c>
      <c r="CY781">
        <v>0</v>
      </c>
      <c r="CZ781">
        <v>0</v>
      </c>
      <c r="DA781">
        <v>0</v>
      </c>
      <c r="DB781">
        <v>1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</row>
    <row r="782" spans="1:113" x14ac:dyDescent="0.3">
      <c r="A782" t="str">
        <f>"06/16/2022 19:16:41.457"</f>
        <v>06/16/2022 19:16:41.457</v>
      </c>
      <c r="C782" t="str">
        <f t="shared" si="36"/>
        <v>FFBF5BC0</v>
      </c>
      <c r="D782" t="s">
        <v>113</v>
      </c>
      <c r="E782">
        <v>8</v>
      </c>
      <c r="H782">
        <v>206</v>
      </c>
      <c r="I782" t="s">
        <v>114</v>
      </c>
      <c r="J782" t="s">
        <v>115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>"19:16:41.250"</f>
        <v>19:16:41.250</v>
      </c>
      <c r="T782" t="str">
        <f>"19:16:41.250"</f>
        <v>19:16:41.250</v>
      </c>
      <c r="U782" t="str">
        <f t="shared" si="37"/>
        <v>AB63B2</v>
      </c>
      <c r="V782">
        <v>0</v>
      </c>
      <c r="W782">
        <v>0</v>
      </c>
      <c r="X782">
        <v>6</v>
      </c>
      <c r="Z782">
        <v>0</v>
      </c>
      <c r="AA782">
        <v>9</v>
      </c>
      <c r="AB782">
        <v>3</v>
      </c>
      <c r="AC782">
        <v>0</v>
      </c>
      <c r="AD782">
        <v>10</v>
      </c>
      <c r="AE782">
        <v>0</v>
      </c>
      <c r="AF782">
        <v>0</v>
      </c>
      <c r="AG782">
        <v>2</v>
      </c>
      <c r="AH782">
        <v>0</v>
      </c>
      <c r="AI782" t="s">
        <v>722</v>
      </c>
      <c r="AJ782">
        <v>41.972321999999998</v>
      </c>
      <c r="AK782" t="s">
        <v>720</v>
      </c>
      <c r="AL782">
        <v>-87.894336999999993</v>
      </c>
      <c r="AS782">
        <v>1</v>
      </c>
      <c r="AT782" t="s">
        <v>118</v>
      </c>
      <c r="AU782" t="b">
        <v>1</v>
      </c>
      <c r="AV782">
        <v>0</v>
      </c>
      <c r="AW782">
        <v>10.125</v>
      </c>
      <c r="AX782">
        <v>1</v>
      </c>
      <c r="AZ782">
        <v>7205</v>
      </c>
      <c r="BA782">
        <v>1</v>
      </c>
      <c r="BB782" t="str">
        <f t="shared" si="38"/>
        <v xml:space="preserve">KAP400  </v>
      </c>
      <c r="BC782">
        <v>1</v>
      </c>
      <c r="BE782">
        <v>0</v>
      </c>
      <c r="BF782">
        <v>0</v>
      </c>
      <c r="BG782">
        <v>0</v>
      </c>
      <c r="BI782">
        <v>1</v>
      </c>
      <c r="BJ782">
        <v>1</v>
      </c>
      <c r="BK782">
        <v>1</v>
      </c>
      <c r="BL782">
        <v>0</v>
      </c>
      <c r="BO782">
        <v>0</v>
      </c>
      <c r="BP782">
        <v>0</v>
      </c>
      <c r="BW782" t="str">
        <f>"19:16:41.256"</f>
        <v>19:16:41.256</v>
      </c>
      <c r="BX782" t="s">
        <v>119</v>
      </c>
      <c r="BY782" t="s">
        <v>120</v>
      </c>
      <c r="CJ782">
        <v>0</v>
      </c>
      <c r="CK782">
        <v>0</v>
      </c>
      <c r="CL782">
        <v>0</v>
      </c>
      <c r="CM782">
        <v>2</v>
      </c>
      <c r="CN782">
        <v>0</v>
      </c>
      <c r="CO782">
        <v>7</v>
      </c>
      <c r="CP782" t="s">
        <v>121</v>
      </c>
      <c r="CQ782">
        <v>579</v>
      </c>
      <c r="CR782">
        <v>0</v>
      </c>
      <c r="CW782">
        <v>1885808</v>
      </c>
      <c r="CY782">
        <v>0</v>
      </c>
      <c r="CZ782">
        <v>0</v>
      </c>
      <c r="DA782">
        <v>0</v>
      </c>
      <c r="DB782">
        <v>1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</row>
    <row r="783" spans="1:113" x14ac:dyDescent="0.3">
      <c r="A783" t="str">
        <f>"06/16/2022 19:16:42.423"</f>
        <v>06/16/2022 19:16:42.423</v>
      </c>
      <c r="C783" t="str">
        <f t="shared" si="36"/>
        <v>FFBF5BC0</v>
      </c>
      <c r="D783" t="s">
        <v>113</v>
      </c>
      <c r="E783">
        <v>8</v>
      </c>
      <c r="H783">
        <v>206</v>
      </c>
      <c r="I783" t="s">
        <v>114</v>
      </c>
      <c r="J783" t="s">
        <v>115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>"19:16:42.219"</f>
        <v>19:16:42.219</v>
      </c>
      <c r="T783" t="str">
        <f>"19:16:42.219"</f>
        <v>19:16:42.219</v>
      </c>
      <c r="U783" t="str">
        <f t="shared" si="37"/>
        <v>AB63B2</v>
      </c>
      <c r="V783">
        <v>0</v>
      </c>
      <c r="W783">
        <v>0</v>
      </c>
      <c r="X783">
        <v>6</v>
      </c>
      <c r="Z783">
        <v>0</v>
      </c>
      <c r="AA783">
        <v>9</v>
      </c>
      <c r="AB783">
        <v>3</v>
      </c>
      <c r="AC783">
        <v>0</v>
      </c>
      <c r="AD783">
        <v>10</v>
      </c>
      <c r="AE783">
        <v>0</v>
      </c>
      <c r="AF783">
        <v>0</v>
      </c>
      <c r="AG783">
        <v>2</v>
      </c>
      <c r="AH783">
        <v>0</v>
      </c>
      <c r="AI783" t="s">
        <v>478</v>
      </c>
      <c r="AJ783">
        <v>41.972365000000003</v>
      </c>
      <c r="AK783" t="s">
        <v>720</v>
      </c>
      <c r="AL783">
        <v>-87.894336999999993</v>
      </c>
      <c r="AS783">
        <v>1</v>
      </c>
      <c r="AT783" t="s">
        <v>118</v>
      </c>
      <c r="AU783" t="b">
        <v>1</v>
      </c>
      <c r="AV783">
        <v>0</v>
      </c>
      <c r="AW783">
        <v>10.125</v>
      </c>
      <c r="AX783">
        <v>1</v>
      </c>
      <c r="AZ783">
        <v>7205</v>
      </c>
      <c r="BA783">
        <v>1</v>
      </c>
      <c r="BB783" t="str">
        <f t="shared" si="38"/>
        <v xml:space="preserve">KAP400  </v>
      </c>
      <c r="BC783">
        <v>1</v>
      </c>
      <c r="BE783">
        <v>0</v>
      </c>
      <c r="BF783">
        <v>0</v>
      </c>
      <c r="BG783">
        <v>0</v>
      </c>
      <c r="BI783">
        <v>1</v>
      </c>
      <c r="BJ783">
        <v>1</v>
      </c>
      <c r="BK783">
        <v>1</v>
      </c>
      <c r="BL783">
        <v>0</v>
      </c>
      <c r="BO783">
        <v>0</v>
      </c>
      <c r="BP783">
        <v>0</v>
      </c>
      <c r="BW783" t="str">
        <f>"19:16:42.226"</f>
        <v>19:16:42.226</v>
      </c>
      <c r="BX783" t="s">
        <v>119</v>
      </c>
      <c r="BY783" t="s">
        <v>120</v>
      </c>
      <c r="CJ783">
        <v>0</v>
      </c>
      <c r="CK783">
        <v>0</v>
      </c>
      <c r="CL783">
        <v>0</v>
      </c>
      <c r="CM783">
        <v>2</v>
      </c>
      <c r="CN783">
        <v>0</v>
      </c>
      <c r="CO783">
        <v>7</v>
      </c>
      <c r="CP783" t="s">
        <v>121</v>
      </c>
      <c r="CQ783">
        <v>579</v>
      </c>
      <c r="CR783">
        <v>0</v>
      </c>
      <c r="CW783">
        <v>1887600</v>
      </c>
      <c r="CY783">
        <v>0</v>
      </c>
      <c r="CZ783">
        <v>0</v>
      </c>
      <c r="DA783">
        <v>0</v>
      </c>
      <c r="DB783">
        <v>1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</row>
    <row r="784" spans="1:113" x14ac:dyDescent="0.3">
      <c r="A784" t="str">
        <f>"06/16/2022 19:16:43.496"</f>
        <v>06/16/2022 19:16:43.496</v>
      </c>
      <c r="C784" t="str">
        <f t="shared" ref="C784:C847" si="39">"FFBF5BC0"</f>
        <v>FFBF5BC0</v>
      </c>
      <c r="D784" t="s">
        <v>113</v>
      </c>
      <c r="E784">
        <v>8</v>
      </c>
      <c r="H784">
        <v>206</v>
      </c>
      <c r="I784" t="s">
        <v>114</v>
      </c>
      <c r="J784" t="s">
        <v>115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>"19:16:43.156"</f>
        <v>19:16:43.156</v>
      </c>
      <c r="T784" t="str">
        <f>"19:16:43.156"</f>
        <v>19:16:43.156</v>
      </c>
      <c r="U784" t="str">
        <f t="shared" si="37"/>
        <v>AB63B2</v>
      </c>
      <c r="V784">
        <v>0</v>
      </c>
      <c r="W784">
        <v>0</v>
      </c>
      <c r="X784">
        <v>6</v>
      </c>
      <c r="Z784">
        <v>0</v>
      </c>
      <c r="AA784">
        <v>9</v>
      </c>
      <c r="AB784">
        <v>3</v>
      </c>
      <c r="AC784">
        <v>0</v>
      </c>
      <c r="AD784">
        <v>10</v>
      </c>
      <c r="AE784">
        <v>0</v>
      </c>
      <c r="AF784">
        <v>0</v>
      </c>
      <c r="AG784">
        <v>2</v>
      </c>
      <c r="AH784">
        <v>0</v>
      </c>
      <c r="AI784" t="s">
        <v>723</v>
      </c>
      <c r="AJ784">
        <v>41.972386999999998</v>
      </c>
      <c r="AK784" t="s">
        <v>277</v>
      </c>
      <c r="AL784">
        <v>-87.894316000000003</v>
      </c>
      <c r="AS784">
        <v>1</v>
      </c>
      <c r="AT784" t="s">
        <v>118</v>
      </c>
      <c r="AU784" t="b">
        <v>1</v>
      </c>
      <c r="AV784">
        <v>0</v>
      </c>
      <c r="AW784">
        <v>10.125</v>
      </c>
      <c r="AX784">
        <v>1</v>
      </c>
      <c r="AZ784">
        <v>7205</v>
      </c>
      <c r="BA784">
        <v>1</v>
      </c>
      <c r="BB784" t="str">
        <f t="shared" si="38"/>
        <v xml:space="preserve">KAP400  </v>
      </c>
      <c r="BC784">
        <v>1</v>
      </c>
      <c r="BE784">
        <v>0</v>
      </c>
      <c r="BF784">
        <v>0</v>
      </c>
      <c r="BG784">
        <v>0</v>
      </c>
      <c r="BI784">
        <v>1</v>
      </c>
      <c r="BJ784">
        <v>1</v>
      </c>
      <c r="BK784">
        <v>1</v>
      </c>
      <c r="BL784">
        <v>0</v>
      </c>
      <c r="BO784">
        <v>0</v>
      </c>
      <c r="BP784">
        <v>0</v>
      </c>
      <c r="BW784" t="str">
        <f>"19:16:43.158"</f>
        <v>19:16:43.158</v>
      </c>
      <c r="BX784" t="s">
        <v>119</v>
      </c>
      <c r="BY784" t="s">
        <v>120</v>
      </c>
      <c r="CJ784">
        <v>0</v>
      </c>
      <c r="CK784">
        <v>0</v>
      </c>
      <c r="CL784">
        <v>0</v>
      </c>
      <c r="CM784">
        <v>2</v>
      </c>
      <c r="CN784">
        <v>0</v>
      </c>
      <c r="CO784">
        <v>7</v>
      </c>
      <c r="CP784" t="s">
        <v>121</v>
      </c>
      <c r="CQ784">
        <v>579</v>
      </c>
      <c r="CR784">
        <v>0</v>
      </c>
      <c r="CW784">
        <v>1889237</v>
      </c>
      <c r="CY784">
        <v>0</v>
      </c>
      <c r="CZ784">
        <v>0</v>
      </c>
      <c r="DA784">
        <v>0</v>
      </c>
      <c r="DB784">
        <v>1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</row>
    <row r="785" spans="1:113" x14ac:dyDescent="0.3">
      <c r="A785" t="str">
        <f>"06/16/2022 19:16:44.277"</f>
        <v>06/16/2022 19:16:44.277</v>
      </c>
      <c r="C785" t="str">
        <f t="shared" si="39"/>
        <v>FFBF5BC0</v>
      </c>
      <c r="D785" t="s">
        <v>113</v>
      </c>
      <c r="E785">
        <v>8</v>
      </c>
      <c r="H785">
        <v>206</v>
      </c>
      <c r="I785" t="s">
        <v>114</v>
      </c>
      <c r="J785" t="s">
        <v>115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>"19:16:44.078"</f>
        <v>19:16:44.078</v>
      </c>
      <c r="T785" t="str">
        <f>"19:16:44.078"</f>
        <v>19:16:44.078</v>
      </c>
      <c r="U785" t="str">
        <f t="shared" si="37"/>
        <v>AB63B2</v>
      </c>
      <c r="V785">
        <v>0</v>
      </c>
      <c r="W785">
        <v>0</v>
      </c>
      <c r="X785">
        <v>6</v>
      </c>
      <c r="Z785">
        <v>0</v>
      </c>
      <c r="AA785">
        <v>9</v>
      </c>
      <c r="AB785">
        <v>3</v>
      </c>
      <c r="AC785">
        <v>0</v>
      </c>
      <c r="AD785">
        <v>10</v>
      </c>
      <c r="AE785">
        <v>0</v>
      </c>
      <c r="AF785">
        <v>0</v>
      </c>
      <c r="AG785">
        <v>2</v>
      </c>
      <c r="AH785">
        <v>0</v>
      </c>
      <c r="AI785" t="s">
        <v>724</v>
      </c>
      <c r="AJ785">
        <v>41.972451</v>
      </c>
      <c r="AK785" t="s">
        <v>277</v>
      </c>
      <c r="AL785">
        <v>-87.894316000000003</v>
      </c>
      <c r="AS785">
        <v>1</v>
      </c>
      <c r="AT785" t="s">
        <v>118</v>
      </c>
      <c r="AU785" t="b">
        <v>1</v>
      </c>
      <c r="AV785">
        <v>2.81</v>
      </c>
      <c r="AW785">
        <v>9.625</v>
      </c>
      <c r="AX785">
        <v>1</v>
      </c>
      <c r="AZ785">
        <v>7205</v>
      </c>
      <c r="BA785">
        <v>1</v>
      </c>
      <c r="BB785" t="str">
        <f t="shared" si="38"/>
        <v xml:space="preserve">KAP400  </v>
      </c>
      <c r="BC785">
        <v>1</v>
      </c>
      <c r="BE785">
        <v>0</v>
      </c>
      <c r="BF785">
        <v>0</v>
      </c>
      <c r="BG785">
        <v>0</v>
      </c>
      <c r="BI785">
        <v>1</v>
      </c>
      <c r="BJ785">
        <v>1</v>
      </c>
      <c r="BK785">
        <v>1</v>
      </c>
      <c r="BL785">
        <v>0</v>
      </c>
      <c r="BO785">
        <v>0</v>
      </c>
      <c r="BP785">
        <v>0</v>
      </c>
      <c r="BW785" t="str">
        <f>"19:16:44.086"</f>
        <v>19:16:44.086</v>
      </c>
      <c r="BX785" t="s">
        <v>119</v>
      </c>
      <c r="BY785" t="s">
        <v>120</v>
      </c>
      <c r="CJ785">
        <v>0</v>
      </c>
      <c r="CK785">
        <v>0</v>
      </c>
      <c r="CL785">
        <v>0</v>
      </c>
      <c r="CM785">
        <v>2</v>
      </c>
      <c r="CN785">
        <v>0</v>
      </c>
      <c r="CO785">
        <v>7</v>
      </c>
      <c r="CP785" t="s">
        <v>121</v>
      </c>
      <c r="CQ785">
        <v>579</v>
      </c>
      <c r="CR785">
        <v>0</v>
      </c>
      <c r="CW785">
        <v>1890972</v>
      </c>
      <c r="CY785">
        <v>0</v>
      </c>
      <c r="CZ785">
        <v>0</v>
      </c>
      <c r="DA785">
        <v>0</v>
      </c>
      <c r="DB785">
        <v>1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</row>
    <row r="786" spans="1:113" x14ac:dyDescent="0.3">
      <c r="A786" t="str">
        <f>"06/16/2022 19:16:45.355"</f>
        <v>06/16/2022 19:16:45.355</v>
      </c>
      <c r="C786" t="str">
        <f t="shared" si="39"/>
        <v>FFBF5BC0</v>
      </c>
      <c r="D786" t="s">
        <v>113</v>
      </c>
      <c r="E786">
        <v>8</v>
      </c>
      <c r="H786">
        <v>206</v>
      </c>
      <c r="I786" t="s">
        <v>114</v>
      </c>
      <c r="J786" t="s">
        <v>115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>"19:16:45.094"</f>
        <v>19:16:45.094</v>
      </c>
      <c r="T786" t="str">
        <f>"19:16:45.094"</f>
        <v>19:16:45.094</v>
      </c>
      <c r="U786" t="str">
        <f t="shared" si="37"/>
        <v>AB63B2</v>
      </c>
      <c r="V786">
        <v>0</v>
      </c>
      <c r="W786">
        <v>0</v>
      </c>
      <c r="X786">
        <v>6</v>
      </c>
      <c r="Z786">
        <v>0</v>
      </c>
      <c r="AA786">
        <v>9</v>
      </c>
      <c r="AB786">
        <v>3</v>
      </c>
      <c r="AC786">
        <v>0</v>
      </c>
      <c r="AD786">
        <v>10</v>
      </c>
      <c r="AE786">
        <v>0</v>
      </c>
      <c r="AF786">
        <v>0</v>
      </c>
      <c r="AG786">
        <v>2</v>
      </c>
      <c r="AH786">
        <v>0</v>
      </c>
      <c r="AI786" t="s">
        <v>725</v>
      </c>
      <c r="AJ786">
        <v>41.972493999999998</v>
      </c>
      <c r="AK786" t="s">
        <v>277</v>
      </c>
      <c r="AL786">
        <v>-87.894316000000003</v>
      </c>
      <c r="AS786">
        <v>1</v>
      </c>
      <c r="AT786" t="s">
        <v>118</v>
      </c>
      <c r="AU786" t="b">
        <v>1</v>
      </c>
      <c r="AV786">
        <v>2.81</v>
      </c>
      <c r="AW786">
        <v>9.625</v>
      </c>
      <c r="AX786">
        <v>1</v>
      </c>
      <c r="AZ786">
        <v>7205</v>
      </c>
      <c r="BA786">
        <v>1</v>
      </c>
      <c r="BB786" t="str">
        <f t="shared" si="38"/>
        <v xml:space="preserve">KAP400  </v>
      </c>
      <c r="BC786">
        <v>1</v>
      </c>
      <c r="BE786">
        <v>0</v>
      </c>
      <c r="BF786">
        <v>0</v>
      </c>
      <c r="BG786">
        <v>0</v>
      </c>
      <c r="BI786">
        <v>1</v>
      </c>
      <c r="BJ786">
        <v>1</v>
      </c>
      <c r="BK786">
        <v>1</v>
      </c>
      <c r="BL786">
        <v>0</v>
      </c>
      <c r="BO786">
        <v>0</v>
      </c>
      <c r="BP786">
        <v>0</v>
      </c>
      <c r="BW786" t="str">
        <f>"19:16:45.095"</f>
        <v>19:16:45.095</v>
      </c>
      <c r="BX786" t="s">
        <v>119</v>
      </c>
      <c r="BY786" t="s">
        <v>120</v>
      </c>
      <c r="CJ786">
        <v>0</v>
      </c>
      <c r="CK786">
        <v>0</v>
      </c>
      <c r="CL786">
        <v>0</v>
      </c>
      <c r="CM786">
        <v>2</v>
      </c>
      <c r="CN786">
        <v>0</v>
      </c>
      <c r="CO786">
        <v>7</v>
      </c>
      <c r="CP786" t="s">
        <v>121</v>
      </c>
      <c r="CQ786">
        <v>579</v>
      </c>
      <c r="CR786">
        <v>0</v>
      </c>
      <c r="CW786">
        <v>1892957</v>
      </c>
      <c r="CY786">
        <v>0</v>
      </c>
      <c r="CZ786">
        <v>0</v>
      </c>
      <c r="DA786">
        <v>0</v>
      </c>
      <c r="DB786">
        <v>1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</row>
    <row r="787" spans="1:113" x14ac:dyDescent="0.3">
      <c r="A787" t="str">
        <f>"06/16/2022 19:16:46.246"</f>
        <v>06/16/2022 19:16:46.246</v>
      </c>
      <c r="C787" t="str">
        <f t="shared" si="39"/>
        <v>FFBF5BC0</v>
      </c>
      <c r="D787" t="s">
        <v>113</v>
      </c>
      <c r="E787">
        <v>8</v>
      </c>
      <c r="H787">
        <v>206</v>
      </c>
      <c r="I787" t="s">
        <v>114</v>
      </c>
      <c r="J787" t="s">
        <v>115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>"19:16:45.977"</f>
        <v>19:16:45.977</v>
      </c>
      <c r="T787" t="str">
        <f>"19:16:45.977"</f>
        <v>19:16:45.977</v>
      </c>
      <c r="U787" t="str">
        <f t="shared" si="37"/>
        <v>AB63B2</v>
      </c>
      <c r="V787">
        <v>0</v>
      </c>
      <c r="W787">
        <v>0</v>
      </c>
      <c r="X787">
        <v>6</v>
      </c>
      <c r="Z787">
        <v>0</v>
      </c>
      <c r="AA787">
        <v>9</v>
      </c>
      <c r="AB787">
        <v>3</v>
      </c>
      <c r="AC787">
        <v>0</v>
      </c>
      <c r="AD787">
        <v>10</v>
      </c>
      <c r="AE787">
        <v>0</v>
      </c>
      <c r="AF787">
        <v>0</v>
      </c>
      <c r="AG787">
        <v>2</v>
      </c>
      <c r="AH787">
        <v>0</v>
      </c>
      <c r="AI787" t="s">
        <v>470</v>
      </c>
      <c r="AJ787">
        <v>41.972515999999999</v>
      </c>
      <c r="AK787" t="s">
        <v>720</v>
      </c>
      <c r="AL787">
        <v>-87.894336999999993</v>
      </c>
      <c r="AS787">
        <v>1</v>
      </c>
      <c r="AT787" t="s">
        <v>118</v>
      </c>
      <c r="AU787" t="b">
        <v>1</v>
      </c>
      <c r="AV787">
        <v>2.81</v>
      </c>
      <c r="AW787">
        <v>9.625</v>
      </c>
      <c r="AX787">
        <v>1</v>
      </c>
      <c r="AZ787">
        <v>7205</v>
      </c>
      <c r="BA787">
        <v>1</v>
      </c>
      <c r="BB787" t="str">
        <f t="shared" si="38"/>
        <v xml:space="preserve">KAP400  </v>
      </c>
      <c r="BC787">
        <v>1</v>
      </c>
      <c r="BE787">
        <v>0</v>
      </c>
      <c r="BF787">
        <v>0</v>
      </c>
      <c r="BG787">
        <v>0</v>
      </c>
      <c r="BI787">
        <v>1</v>
      </c>
      <c r="BJ787">
        <v>1</v>
      </c>
      <c r="BK787">
        <v>1</v>
      </c>
      <c r="BL787">
        <v>0</v>
      </c>
      <c r="BO787">
        <v>0</v>
      </c>
      <c r="BP787">
        <v>0</v>
      </c>
      <c r="BW787" t="str">
        <f>"19:16:45.978"</f>
        <v>19:16:45.978</v>
      </c>
      <c r="BX787" t="s">
        <v>119</v>
      </c>
      <c r="BY787" t="s">
        <v>120</v>
      </c>
      <c r="CJ787">
        <v>0</v>
      </c>
      <c r="CK787">
        <v>0</v>
      </c>
      <c r="CL787">
        <v>0</v>
      </c>
      <c r="CM787">
        <v>2</v>
      </c>
      <c r="CN787">
        <v>0</v>
      </c>
      <c r="CO787">
        <v>7</v>
      </c>
      <c r="CP787" t="s">
        <v>121</v>
      </c>
      <c r="CQ787">
        <v>579</v>
      </c>
      <c r="CR787">
        <v>0</v>
      </c>
      <c r="CW787">
        <v>1894720</v>
      </c>
      <c r="CY787">
        <v>0</v>
      </c>
      <c r="CZ787">
        <v>0</v>
      </c>
      <c r="DA787">
        <v>0</v>
      </c>
      <c r="DB787">
        <v>1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</row>
    <row r="788" spans="1:113" x14ac:dyDescent="0.3">
      <c r="A788" t="str">
        <f>"06/16/2022 19:16:47.268"</f>
        <v>06/16/2022 19:16:47.268</v>
      </c>
      <c r="C788" t="str">
        <f t="shared" si="39"/>
        <v>FFBF5BC0</v>
      </c>
      <c r="D788" t="s">
        <v>113</v>
      </c>
      <c r="E788">
        <v>8</v>
      </c>
      <c r="H788">
        <v>206</v>
      </c>
      <c r="I788" t="s">
        <v>114</v>
      </c>
      <c r="J788" t="s">
        <v>115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>"19:16:46.906"</f>
        <v>19:16:46.906</v>
      </c>
      <c r="T788" t="str">
        <f>"19:16:46.906"</f>
        <v>19:16:46.906</v>
      </c>
      <c r="U788" t="str">
        <f t="shared" si="37"/>
        <v>AB63B2</v>
      </c>
      <c r="V788">
        <v>0</v>
      </c>
      <c r="W788">
        <v>0</v>
      </c>
      <c r="X788">
        <v>6</v>
      </c>
      <c r="Z788">
        <v>0</v>
      </c>
      <c r="AA788">
        <v>9</v>
      </c>
      <c r="AB788">
        <v>3</v>
      </c>
      <c r="AC788">
        <v>0</v>
      </c>
      <c r="AD788">
        <v>10</v>
      </c>
      <c r="AE788">
        <v>0</v>
      </c>
      <c r="AF788">
        <v>0</v>
      </c>
      <c r="AG788">
        <v>2</v>
      </c>
      <c r="AH788">
        <v>0</v>
      </c>
      <c r="AI788" t="s">
        <v>726</v>
      </c>
      <c r="AJ788">
        <v>41.972557999999999</v>
      </c>
      <c r="AK788" t="s">
        <v>277</v>
      </c>
      <c r="AL788">
        <v>-87.894316000000003</v>
      </c>
      <c r="AS788">
        <v>1</v>
      </c>
      <c r="AT788" t="s">
        <v>118</v>
      </c>
      <c r="AU788" t="b">
        <v>1</v>
      </c>
      <c r="AV788">
        <v>2.81</v>
      </c>
      <c r="AW788">
        <v>9.625</v>
      </c>
      <c r="AX788">
        <v>1</v>
      </c>
      <c r="AZ788">
        <v>7205</v>
      </c>
      <c r="BA788">
        <v>1</v>
      </c>
      <c r="BB788" t="str">
        <f t="shared" si="38"/>
        <v xml:space="preserve">KAP400  </v>
      </c>
      <c r="BC788">
        <v>1</v>
      </c>
      <c r="BE788">
        <v>0</v>
      </c>
      <c r="BF788">
        <v>0</v>
      </c>
      <c r="BG788">
        <v>0</v>
      </c>
      <c r="BI788">
        <v>1</v>
      </c>
      <c r="BJ788">
        <v>1</v>
      </c>
      <c r="BK788">
        <v>1</v>
      </c>
      <c r="BL788">
        <v>0</v>
      </c>
      <c r="BO788">
        <v>0</v>
      </c>
      <c r="BP788">
        <v>0</v>
      </c>
      <c r="BW788" t="str">
        <f>"19:16:46.912"</f>
        <v>19:16:46.912</v>
      </c>
      <c r="BX788" t="s">
        <v>119</v>
      </c>
      <c r="BY788" t="s">
        <v>120</v>
      </c>
      <c r="CJ788">
        <v>0</v>
      </c>
      <c r="CK788">
        <v>0</v>
      </c>
      <c r="CL788">
        <v>0</v>
      </c>
      <c r="CM788">
        <v>2</v>
      </c>
      <c r="CN788">
        <v>0</v>
      </c>
      <c r="CO788">
        <v>7</v>
      </c>
      <c r="CP788" t="s">
        <v>121</v>
      </c>
      <c r="CQ788">
        <v>579</v>
      </c>
      <c r="CR788">
        <v>0</v>
      </c>
      <c r="CW788">
        <v>1896424</v>
      </c>
      <c r="CY788">
        <v>0</v>
      </c>
      <c r="CZ788">
        <v>0</v>
      </c>
      <c r="DA788">
        <v>0</v>
      </c>
      <c r="DB788">
        <v>1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</row>
    <row r="789" spans="1:113" x14ac:dyDescent="0.3">
      <c r="A789" t="str">
        <f>"06/16/2022 19:16:48.206"</f>
        <v>06/16/2022 19:16:48.206</v>
      </c>
      <c r="C789" t="str">
        <f t="shared" si="39"/>
        <v>FFBF5BC0</v>
      </c>
      <c r="D789" t="s">
        <v>113</v>
      </c>
      <c r="E789">
        <v>8</v>
      </c>
      <c r="H789">
        <v>206</v>
      </c>
      <c r="I789" t="s">
        <v>114</v>
      </c>
      <c r="J789" t="s">
        <v>115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>"19:16:47.938"</f>
        <v>19:16:47.938</v>
      </c>
      <c r="T789" t="str">
        <f>"19:16:47.938"</f>
        <v>19:16:47.938</v>
      </c>
      <c r="U789" t="str">
        <f t="shared" si="37"/>
        <v>AB63B2</v>
      </c>
      <c r="V789">
        <v>0</v>
      </c>
      <c r="W789">
        <v>0</v>
      </c>
      <c r="X789">
        <v>6</v>
      </c>
      <c r="Z789">
        <v>0</v>
      </c>
      <c r="AA789">
        <v>9</v>
      </c>
      <c r="AB789">
        <v>3</v>
      </c>
      <c r="AC789">
        <v>0</v>
      </c>
      <c r="AD789">
        <v>10</v>
      </c>
      <c r="AE789">
        <v>0</v>
      </c>
      <c r="AF789">
        <v>0</v>
      </c>
      <c r="AG789">
        <v>2</v>
      </c>
      <c r="AH789">
        <v>0</v>
      </c>
      <c r="AI789" t="s">
        <v>464</v>
      </c>
      <c r="AJ789">
        <v>41.972600999999997</v>
      </c>
      <c r="AK789" t="s">
        <v>277</v>
      </c>
      <c r="AL789">
        <v>-87.894316000000003</v>
      </c>
      <c r="AS789">
        <v>1</v>
      </c>
      <c r="AT789" t="s">
        <v>118</v>
      </c>
      <c r="AU789" t="b">
        <v>1</v>
      </c>
      <c r="AV789">
        <v>2.81</v>
      </c>
      <c r="AW789">
        <v>9.625</v>
      </c>
      <c r="AX789">
        <v>1</v>
      </c>
      <c r="AZ789">
        <v>7205</v>
      </c>
      <c r="BA789">
        <v>1</v>
      </c>
      <c r="BB789" t="str">
        <f t="shared" si="38"/>
        <v xml:space="preserve">KAP400  </v>
      </c>
      <c r="BC789">
        <v>1</v>
      </c>
      <c r="BE789">
        <v>0</v>
      </c>
      <c r="BF789">
        <v>0</v>
      </c>
      <c r="BG789">
        <v>0</v>
      </c>
      <c r="BI789">
        <v>1</v>
      </c>
      <c r="BJ789">
        <v>1</v>
      </c>
      <c r="BK789">
        <v>1</v>
      </c>
      <c r="BL789">
        <v>0</v>
      </c>
      <c r="BO789">
        <v>0</v>
      </c>
      <c r="BP789">
        <v>0</v>
      </c>
      <c r="BW789" t="str">
        <f>"19:16:47.943"</f>
        <v>19:16:47.943</v>
      </c>
      <c r="BX789" t="s">
        <v>119</v>
      </c>
      <c r="BY789" t="s">
        <v>120</v>
      </c>
      <c r="CJ789">
        <v>0</v>
      </c>
      <c r="CK789">
        <v>0</v>
      </c>
      <c r="CL789">
        <v>0</v>
      </c>
      <c r="CM789">
        <v>2</v>
      </c>
      <c r="CN789">
        <v>0</v>
      </c>
      <c r="CO789">
        <v>7</v>
      </c>
      <c r="CP789" t="s">
        <v>121</v>
      </c>
      <c r="CQ789">
        <v>579</v>
      </c>
      <c r="CR789">
        <v>0</v>
      </c>
      <c r="CW789">
        <v>1898331</v>
      </c>
      <c r="CY789">
        <v>0</v>
      </c>
      <c r="CZ789">
        <v>0</v>
      </c>
      <c r="DA789">
        <v>0</v>
      </c>
      <c r="DB789">
        <v>1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</row>
    <row r="790" spans="1:113" x14ac:dyDescent="0.3">
      <c r="A790" t="str">
        <f>"06/16/2022 19:16:49.268"</f>
        <v>06/16/2022 19:16:49.268</v>
      </c>
      <c r="C790" t="str">
        <f t="shared" si="39"/>
        <v>FFBF5BC0</v>
      </c>
      <c r="D790" t="s">
        <v>113</v>
      </c>
      <c r="E790">
        <v>8</v>
      </c>
      <c r="H790">
        <v>206</v>
      </c>
      <c r="I790" t="s">
        <v>114</v>
      </c>
      <c r="J790" t="s">
        <v>115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>"19:16:48.992"</f>
        <v>19:16:48.992</v>
      </c>
      <c r="T790" t="str">
        <f>"19:16:48.992"</f>
        <v>19:16:48.992</v>
      </c>
      <c r="U790" t="str">
        <f t="shared" si="37"/>
        <v>AB63B2</v>
      </c>
      <c r="V790">
        <v>0</v>
      </c>
      <c r="W790">
        <v>0</v>
      </c>
      <c r="X790">
        <v>6</v>
      </c>
      <c r="Z790">
        <v>0</v>
      </c>
      <c r="AA790">
        <v>9</v>
      </c>
      <c r="AB790">
        <v>3</v>
      </c>
      <c r="AC790">
        <v>0</v>
      </c>
      <c r="AD790">
        <v>10</v>
      </c>
      <c r="AE790">
        <v>0</v>
      </c>
      <c r="AF790">
        <v>0</v>
      </c>
      <c r="AG790">
        <v>2</v>
      </c>
      <c r="AH790">
        <v>0</v>
      </c>
      <c r="AI790" t="s">
        <v>462</v>
      </c>
      <c r="AJ790">
        <v>41.972644000000003</v>
      </c>
      <c r="AK790" t="s">
        <v>277</v>
      </c>
      <c r="AL790">
        <v>-87.894316000000003</v>
      </c>
      <c r="AS790">
        <v>1</v>
      </c>
      <c r="AT790" t="s">
        <v>118</v>
      </c>
      <c r="AU790" t="b">
        <v>1</v>
      </c>
      <c r="AV790">
        <v>2.81</v>
      </c>
      <c r="AW790">
        <v>9.625</v>
      </c>
      <c r="AX790">
        <v>1</v>
      </c>
      <c r="AZ790">
        <v>7205</v>
      </c>
      <c r="BA790">
        <v>1</v>
      </c>
      <c r="BB790" t="str">
        <f t="shared" si="38"/>
        <v xml:space="preserve">KAP400  </v>
      </c>
      <c r="BC790">
        <v>1</v>
      </c>
      <c r="BE790">
        <v>0</v>
      </c>
      <c r="BF790">
        <v>0</v>
      </c>
      <c r="BG790">
        <v>0</v>
      </c>
      <c r="BI790">
        <v>1</v>
      </c>
      <c r="BJ790">
        <v>1</v>
      </c>
      <c r="BK790">
        <v>1</v>
      </c>
      <c r="BL790">
        <v>0</v>
      </c>
      <c r="BO790">
        <v>0</v>
      </c>
      <c r="BP790">
        <v>0</v>
      </c>
      <c r="BW790" t="str">
        <f>"19:16:48.993"</f>
        <v>19:16:48.993</v>
      </c>
      <c r="BX790" t="s">
        <v>119</v>
      </c>
      <c r="BY790" t="s">
        <v>120</v>
      </c>
      <c r="CJ790">
        <v>0</v>
      </c>
      <c r="CK790">
        <v>0</v>
      </c>
      <c r="CL790">
        <v>0</v>
      </c>
      <c r="CM790">
        <v>2</v>
      </c>
      <c r="CN790">
        <v>0</v>
      </c>
      <c r="CO790">
        <v>7</v>
      </c>
      <c r="CP790" t="s">
        <v>121</v>
      </c>
      <c r="CQ790">
        <v>579</v>
      </c>
      <c r="CR790">
        <v>0</v>
      </c>
      <c r="CW790">
        <v>1900273</v>
      </c>
      <c r="CY790">
        <v>0</v>
      </c>
      <c r="CZ790">
        <v>0</v>
      </c>
      <c r="DA790">
        <v>0</v>
      </c>
      <c r="DB790">
        <v>1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</row>
    <row r="791" spans="1:113" x14ac:dyDescent="0.3">
      <c r="A791" t="str">
        <f>"06/16/2022 19:16:50.190"</f>
        <v>06/16/2022 19:16:50.190</v>
      </c>
      <c r="C791" t="str">
        <f t="shared" si="39"/>
        <v>FFBF5BC0</v>
      </c>
      <c r="D791" t="s">
        <v>113</v>
      </c>
      <c r="E791">
        <v>8</v>
      </c>
      <c r="H791">
        <v>206</v>
      </c>
      <c r="I791" t="s">
        <v>114</v>
      </c>
      <c r="J791" t="s">
        <v>115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>"19:16:49.969"</f>
        <v>19:16:49.969</v>
      </c>
      <c r="T791" t="str">
        <f>"19:16:49.969"</f>
        <v>19:16:49.969</v>
      </c>
      <c r="U791" t="str">
        <f t="shared" si="37"/>
        <v>AB63B2</v>
      </c>
      <c r="V791">
        <v>0</v>
      </c>
      <c r="W791">
        <v>0</v>
      </c>
      <c r="X791">
        <v>6</v>
      </c>
      <c r="Z791">
        <v>0</v>
      </c>
      <c r="AA791">
        <v>9</v>
      </c>
      <c r="AB791">
        <v>3</v>
      </c>
      <c r="AC791">
        <v>0</v>
      </c>
      <c r="AD791">
        <v>10</v>
      </c>
      <c r="AE791">
        <v>0</v>
      </c>
      <c r="AF791">
        <v>0</v>
      </c>
      <c r="AG791">
        <v>2</v>
      </c>
      <c r="AH791">
        <v>0</v>
      </c>
      <c r="AI791" t="s">
        <v>727</v>
      </c>
      <c r="AJ791">
        <v>41.972687000000001</v>
      </c>
      <c r="AK791" t="s">
        <v>277</v>
      </c>
      <c r="AL791">
        <v>-87.894316000000003</v>
      </c>
      <c r="AS791">
        <v>1</v>
      </c>
      <c r="AT791" t="s">
        <v>118</v>
      </c>
      <c r="AU791" t="b">
        <v>1</v>
      </c>
      <c r="AV791">
        <v>2.81</v>
      </c>
      <c r="AW791">
        <v>9.625</v>
      </c>
      <c r="AX791">
        <v>1</v>
      </c>
      <c r="AZ791">
        <v>7205</v>
      </c>
      <c r="BA791">
        <v>1</v>
      </c>
      <c r="BB791" t="str">
        <f t="shared" si="38"/>
        <v xml:space="preserve">KAP400  </v>
      </c>
      <c r="BC791">
        <v>1</v>
      </c>
      <c r="BE791">
        <v>0</v>
      </c>
      <c r="BF791">
        <v>0</v>
      </c>
      <c r="BG791">
        <v>0</v>
      </c>
      <c r="BI791">
        <v>1</v>
      </c>
      <c r="BJ791">
        <v>1</v>
      </c>
      <c r="BK791">
        <v>1</v>
      </c>
      <c r="BL791">
        <v>0</v>
      </c>
      <c r="BO791">
        <v>0</v>
      </c>
      <c r="BP791">
        <v>0</v>
      </c>
      <c r="BW791" t="str">
        <f>"19:16:49.974"</f>
        <v>19:16:49.974</v>
      </c>
      <c r="BX791" t="s">
        <v>119</v>
      </c>
      <c r="BY791" t="s">
        <v>120</v>
      </c>
      <c r="CJ791">
        <v>0</v>
      </c>
      <c r="CK791">
        <v>0</v>
      </c>
      <c r="CL791">
        <v>0</v>
      </c>
      <c r="CM791">
        <v>2</v>
      </c>
      <c r="CN791">
        <v>0</v>
      </c>
      <c r="CO791">
        <v>7</v>
      </c>
      <c r="CP791" t="s">
        <v>121</v>
      </c>
      <c r="CQ791">
        <v>579</v>
      </c>
      <c r="CR791">
        <v>0</v>
      </c>
      <c r="CW791">
        <v>1902255</v>
      </c>
      <c r="CY791">
        <v>0</v>
      </c>
      <c r="CZ791">
        <v>0</v>
      </c>
      <c r="DA791">
        <v>0</v>
      </c>
      <c r="DB791">
        <v>1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</row>
    <row r="792" spans="1:113" x14ac:dyDescent="0.3">
      <c r="A792" t="str">
        <f>"06/16/2022 19:16:51.331"</f>
        <v>06/16/2022 19:16:51.331</v>
      </c>
      <c r="C792" t="str">
        <f t="shared" si="39"/>
        <v>FFBF5BC0</v>
      </c>
      <c r="D792" t="s">
        <v>113</v>
      </c>
      <c r="E792">
        <v>8</v>
      </c>
      <c r="H792">
        <v>206</v>
      </c>
      <c r="I792" t="s">
        <v>114</v>
      </c>
      <c r="J792" t="s">
        <v>115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>"19:16:51.109"</f>
        <v>19:16:51.109</v>
      </c>
      <c r="T792" t="str">
        <f>"19:16:51.109"</f>
        <v>19:16:51.109</v>
      </c>
      <c r="U792" t="str">
        <f t="shared" si="37"/>
        <v>AB63B2</v>
      </c>
      <c r="V792">
        <v>0</v>
      </c>
      <c r="W792">
        <v>0</v>
      </c>
      <c r="X792">
        <v>6</v>
      </c>
      <c r="Z792">
        <v>0</v>
      </c>
      <c r="AA792">
        <v>9</v>
      </c>
      <c r="AB792">
        <v>3</v>
      </c>
      <c r="AC792">
        <v>0</v>
      </c>
      <c r="AD792">
        <v>10</v>
      </c>
      <c r="AE792">
        <v>0</v>
      </c>
      <c r="AF792">
        <v>0</v>
      </c>
      <c r="AG792">
        <v>2</v>
      </c>
      <c r="AH792">
        <v>0</v>
      </c>
      <c r="AI792" t="s">
        <v>456</v>
      </c>
      <c r="AJ792">
        <v>41.972729999999999</v>
      </c>
      <c r="AK792" t="s">
        <v>277</v>
      </c>
      <c r="AL792">
        <v>-87.894316000000003</v>
      </c>
      <c r="AS792">
        <v>1</v>
      </c>
      <c r="AT792" t="s">
        <v>118</v>
      </c>
      <c r="AU792" t="b">
        <v>1</v>
      </c>
      <c r="AV792">
        <v>2.81</v>
      </c>
      <c r="AW792">
        <v>9.625</v>
      </c>
      <c r="AX792">
        <v>1</v>
      </c>
      <c r="AZ792">
        <v>7205</v>
      </c>
      <c r="BA792">
        <v>1</v>
      </c>
      <c r="BB792" t="str">
        <f t="shared" si="38"/>
        <v xml:space="preserve">KAP400  </v>
      </c>
      <c r="BC792">
        <v>1</v>
      </c>
      <c r="BE792">
        <v>0</v>
      </c>
      <c r="BF792">
        <v>0</v>
      </c>
      <c r="BG792">
        <v>0</v>
      </c>
      <c r="BI792">
        <v>1</v>
      </c>
      <c r="BJ792">
        <v>1</v>
      </c>
      <c r="BK792">
        <v>1</v>
      </c>
      <c r="BL792">
        <v>0</v>
      </c>
      <c r="BO792">
        <v>0</v>
      </c>
      <c r="BP792">
        <v>0</v>
      </c>
      <c r="BW792" t="str">
        <f>"19:16:51.110"</f>
        <v>19:16:51.110</v>
      </c>
      <c r="BX792" t="s">
        <v>119</v>
      </c>
      <c r="BY792" t="s">
        <v>120</v>
      </c>
      <c r="CJ792">
        <v>0</v>
      </c>
      <c r="CK792">
        <v>0</v>
      </c>
      <c r="CL792">
        <v>0</v>
      </c>
      <c r="CM792">
        <v>2</v>
      </c>
      <c r="CN792">
        <v>0</v>
      </c>
      <c r="CO792">
        <v>7</v>
      </c>
      <c r="CP792" t="s">
        <v>121</v>
      </c>
      <c r="CQ792">
        <v>579</v>
      </c>
      <c r="CR792">
        <v>0</v>
      </c>
      <c r="CW792">
        <v>1904393</v>
      </c>
      <c r="CY792">
        <v>0</v>
      </c>
      <c r="CZ792">
        <v>0</v>
      </c>
      <c r="DA792">
        <v>0</v>
      </c>
      <c r="DB792">
        <v>1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</row>
    <row r="793" spans="1:113" x14ac:dyDescent="0.3">
      <c r="A793" t="str">
        <f>"06/16/2022 19:16:52.534"</f>
        <v>06/16/2022 19:16:52.534</v>
      </c>
      <c r="C793" t="str">
        <f t="shared" si="39"/>
        <v>FFBF5BC0</v>
      </c>
      <c r="D793" t="s">
        <v>113</v>
      </c>
      <c r="E793">
        <v>8</v>
      </c>
      <c r="H793">
        <v>206</v>
      </c>
      <c r="I793" t="s">
        <v>114</v>
      </c>
      <c r="J793" t="s">
        <v>115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>"19:16:52.195"</f>
        <v>19:16:52.195</v>
      </c>
      <c r="T793" t="str">
        <f>"19:16:52.195"</f>
        <v>19:16:52.195</v>
      </c>
      <c r="U793" t="str">
        <f t="shared" si="37"/>
        <v>AB63B2</v>
      </c>
      <c r="V793">
        <v>0</v>
      </c>
      <c r="W793">
        <v>0</v>
      </c>
      <c r="X793">
        <v>6</v>
      </c>
      <c r="Z793">
        <v>0</v>
      </c>
      <c r="AA793">
        <v>9</v>
      </c>
      <c r="AB793">
        <v>3</v>
      </c>
      <c r="AC793">
        <v>0</v>
      </c>
      <c r="AD793">
        <v>10</v>
      </c>
      <c r="AE793">
        <v>0</v>
      </c>
      <c r="AF793">
        <v>0</v>
      </c>
      <c r="AG793">
        <v>2</v>
      </c>
      <c r="AH793">
        <v>0</v>
      </c>
      <c r="AI793" t="s">
        <v>452</v>
      </c>
      <c r="AJ793">
        <v>41.972794999999998</v>
      </c>
      <c r="AK793" t="s">
        <v>277</v>
      </c>
      <c r="AL793">
        <v>-87.894316000000003</v>
      </c>
      <c r="AS793">
        <v>1</v>
      </c>
      <c r="AT793" t="s">
        <v>118</v>
      </c>
      <c r="AU793" t="b">
        <v>1</v>
      </c>
      <c r="AV793">
        <v>2.81</v>
      </c>
      <c r="AW793">
        <v>9.625</v>
      </c>
      <c r="AX793">
        <v>1</v>
      </c>
      <c r="AZ793">
        <v>7205</v>
      </c>
      <c r="BA793">
        <v>1</v>
      </c>
      <c r="BB793" t="str">
        <f t="shared" si="38"/>
        <v xml:space="preserve">KAP400  </v>
      </c>
      <c r="BC793">
        <v>1</v>
      </c>
      <c r="BE793">
        <v>0</v>
      </c>
      <c r="BF793">
        <v>0</v>
      </c>
      <c r="BG793">
        <v>0</v>
      </c>
      <c r="BI793">
        <v>1</v>
      </c>
      <c r="BJ793">
        <v>1</v>
      </c>
      <c r="BK793">
        <v>1</v>
      </c>
      <c r="BL793">
        <v>0</v>
      </c>
      <c r="BO793">
        <v>0</v>
      </c>
      <c r="BP793">
        <v>0</v>
      </c>
      <c r="BW793" t="str">
        <f>"19:16:52.199"</f>
        <v>19:16:52.199</v>
      </c>
      <c r="BX793" t="s">
        <v>119</v>
      </c>
      <c r="BY793" t="s">
        <v>120</v>
      </c>
      <c r="CJ793">
        <v>0</v>
      </c>
      <c r="CK793">
        <v>0</v>
      </c>
      <c r="CL793">
        <v>0</v>
      </c>
      <c r="CM793">
        <v>2</v>
      </c>
      <c r="CN793">
        <v>0</v>
      </c>
      <c r="CO793">
        <v>7</v>
      </c>
      <c r="CP793" t="s">
        <v>121</v>
      </c>
      <c r="CQ793">
        <v>579</v>
      </c>
      <c r="CR793">
        <v>0</v>
      </c>
      <c r="CW793">
        <v>1906331</v>
      </c>
      <c r="CY793">
        <v>0</v>
      </c>
      <c r="CZ793">
        <v>0</v>
      </c>
      <c r="DA793">
        <v>0</v>
      </c>
      <c r="DB793">
        <v>1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</row>
    <row r="794" spans="1:113" x14ac:dyDescent="0.3">
      <c r="A794" t="str">
        <f>"06/16/2022 19:16:53.644"</f>
        <v>06/16/2022 19:16:53.644</v>
      </c>
      <c r="C794" t="str">
        <f t="shared" si="39"/>
        <v>FFBF5BC0</v>
      </c>
      <c r="D794" t="s">
        <v>113</v>
      </c>
      <c r="E794">
        <v>8</v>
      </c>
      <c r="H794">
        <v>206</v>
      </c>
      <c r="I794" t="s">
        <v>114</v>
      </c>
      <c r="J794" t="s">
        <v>115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>"19:16:53.203"</f>
        <v>19:16:53.203</v>
      </c>
      <c r="T794" t="str">
        <f>"19:16:53.203"</f>
        <v>19:16:53.203</v>
      </c>
      <c r="U794" t="str">
        <f t="shared" si="37"/>
        <v>AB63B2</v>
      </c>
      <c r="V794">
        <v>0</v>
      </c>
      <c r="W794">
        <v>0</v>
      </c>
      <c r="X794">
        <v>6</v>
      </c>
      <c r="Z794">
        <v>0</v>
      </c>
      <c r="AA794">
        <v>9</v>
      </c>
      <c r="AB794">
        <v>3</v>
      </c>
      <c r="AC794">
        <v>0</v>
      </c>
      <c r="AD794">
        <v>10</v>
      </c>
      <c r="AE794">
        <v>0</v>
      </c>
      <c r="AF794">
        <v>0</v>
      </c>
      <c r="AG794">
        <v>2</v>
      </c>
      <c r="AH794">
        <v>0</v>
      </c>
      <c r="AI794" t="s">
        <v>450</v>
      </c>
      <c r="AJ794">
        <v>41.972816000000002</v>
      </c>
      <c r="AK794" t="s">
        <v>277</v>
      </c>
      <c r="AL794">
        <v>-87.894316000000003</v>
      </c>
      <c r="AS794">
        <v>1</v>
      </c>
      <c r="AT794" t="s">
        <v>118</v>
      </c>
      <c r="AU794" t="b">
        <v>1</v>
      </c>
      <c r="AV794">
        <v>2.81</v>
      </c>
      <c r="AW794">
        <v>9.125</v>
      </c>
      <c r="AX794">
        <v>1</v>
      </c>
      <c r="AZ794">
        <v>7205</v>
      </c>
      <c r="BA794">
        <v>1</v>
      </c>
      <c r="BB794" t="str">
        <f t="shared" si="38"/>
        <v xml:space="preserve">KAP400  </v>
      </c>
      <c r="BC794">
        <v>1</v>
      </c>
      <c r="BE794">
        <v>0</v>
      </c>
      <c r="BF794">
        <v>0</v>
      </c>
      <c r="BG794">
        <v>0</v>
      </c>
      <c r="BI794">
        <v>1</v>
      </c>
      <c r="BJ794">
        <v>1</v>
      </c>
      <c r="BK794">
        <v>1</v>
      </c>
      <c r="BL794">
        <v>0</v>
      </c>
      <c r="BO794">
        <v>0</v>
      </c>
      <c r="BP794">
        <v>0</v>
      </c>
      <c r="BW794" t="str">
        <f>"19:16:53.205"</f>
        <v>19:16:53.205</v>
      </c>
      <c r="BX794" t="s">
        <v>119</v>
      </c>
      <c r="BY794" t="s">
        <v>120</v>
      </c>
      <c r="CJ794">
        <v>0</v>
      </c>
      <c r="CK794">
        <v>0</v>
      </c>
      <c r="CL794">
        <v>0</v>
      </c>
      <c r="CM794">
        <v>2</v>
      </c>
      <c r="CN794">
        <v>0</v>
      </c>
      <c r="CO794">
        <v>7</v>
      </c>
      <c r="CP794" t="s">
        <v>121</v>
      </c>
      <c r="CQ794">
        <v>579</v>
      </c>
      <c r="CR794">
        <v>0</v>
      </c>
      <c r="CW794">
        <v>1908165</v>
      </c>
      <c r="CY794">
        <v>0</v>
      </c>
      <c r="CZ794">
        <v>0</v>
      </c>
      <c r="DA794">
        <v>0</v>
      </c>
      <c r="DB794">
        <v>1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</row>
    <row r="795" spans="1:113" x14ac:dyDescent="0.3">
      <c r="A795" t="str">
        <f>"06/16/2022 19:16:54.456"</f>
        <v>06/16/2022 19:16:54.456</v>
      </c>
      <c r="C795" t="str">
        <f t="shared" si="39"/>
        <v>FFBF5BC0</v>
      </c>
      <c r="D795" t="s">
        <v>113</v>
      </c>
      <c r="E795">
        <v>8</v>
      </c>
      <c r="H795">
        <v>206</v>
      </c>
      <c r="I795" t="s">
        <v>114</v>
      </c>
      <c r="J795" t="s">
        <v>115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>"19:16:54.227"</f>
        <v>19:16:54.227</v>
      </c>
      <c r="T795" t="str">
        <f>"19:16:54.227"</f>
        <v>19:16:54.227</v>
      </c>
      <c r="U795" t="str">
        <f t="shared" si="37"/>
        <v>AB63B2</v>
      </c>
      <c r="V795">
        <v>0</v>
      </c>
      <c r="W795">
        <v>0</v>
      </c>
      <c r="X795">
        <v>6</v>
      </c>
      <c r="Z795">
        <v>0</v>
      </c>
      <c r="AA795">
        <v>9</v>
      </c>
      <c r="AB795">
        <v>3</v>
      </c>
      <c r="AC795">
        <v>0</v>
      </c>
      <c r="AD795">
        <v>10</v>
      </c>
      <c r="AE795">
        <v>0</v>
      </c>
      <c r="AF795">
        <v>0</v>
      </c>
      <c r="AG795">
        <v>2</v>
      </c>
      <c r="AH795">
        <v>0</v>
      </c>
      <c r="AI795" t="s">
        <v>446</v>
      </c>
      <c r="AJ795">
        <v>41.972880000000004</v>
      </c>
      <c r="AK795" t="s">
        <v>277</v>
      </c>
      <c r="AL795">
        <v>-87.894316000000003</v>
      </c>
      <c r="AS795">
        <v>1</v>
      </c>
      <c r="AT795" t="s">
        <v>118</v>
      </c>
      <c r="AU795" t="b">
        <v>1</v>
      </c>
      <c r="AV795">
        <v>2.81</v>
      </c>
      <c r="AW795">
        <v>9.125</v>
      </c>
      <c r="AX795">
        <v>1</v>
      </c>
      <c r="AZ795">
        <v>7205</v>
      </c>
      <c r="BA795">
        <v>1</v>
      </c>
      <c r="BB795" t="str">
        <f t="shared" si="38"/>
        <v xml:space="preserve">KAP400  </v>
      </c>
      <c r="BC795">
        <v>1</v>
      </c>
      <c r="BE795">
        <v>0</v>
      </c>
      <c r="BF795">
        <v>0</v>
      </c>
      <c r="BG795">
        <v>0</v>
      </c>
      <c r="BI795">
        <v>1</v>
      </c>
      <c r="BJ795">
        <v>1</v>
      </c>
      <c r="BK795">
        <v>1</v>
      </c>
      <c r="BL795">
        <v>0</v>
      </c>
      <c r="BO795">
        <v>0</v>
      </c>
      <c r="BP795">
        <v>0</v>
      </c>
      <c r="BW795" t="str">
        <f>"19:16:54.231"</f>
        <v>19:16:54.231</v>
      </c>
      <c r="BX795" t="s">
        <v>119</v>
      </c>
      <c r="BY795" t="s">
        <v>120</v>
      </c>
      <c r="CJ795">
        <v>0</v>
      </c>
      <c r="CK795">
        <v>0</v>
      </c>
      <c r="CL795">
        <v>0</v>
      </c>
      <c r="CM795">
        <v>2</v>
      </c>
      <c r="CN795">
        <v>0</v>
      </c>
      <c r="CO795">
        <v>7</v>
      </c>
      <c r="CP795" t="s">
        <v>121</v>
      </c>
      <c r="CQ795">
        <v>580</v>
      </c>
      <c r="CR795">
        <v>0</v>
      </c>
      <c r="CW795">
        <v>785923</v>
      </c>
      <c r="CY795">
        <v>0</v>
      </c>
      <c r="CZ795">
        <v>0</v>
      </c>
      <c r="DA795">
        <v>0</v>
      </c>
      <c r="DB795">
        <v>1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</row>
    <row r="796" spans="1:113" x14ac:dyDescent="0.3">
      <c r="A796" t="str">
        <f>"06/16/2022 19:16:55.253"</f>
        <v>06/16/2022 19:16:55.253</v>
      </c>
      <c r="C796" t="str">
        <f t="shared" si="39"/>
        <v>FFBF5BC0</v>
      </c>
      <c r="D796" t="s">
        <v>113</v>
      </c>
      <c r="E796">
        <v>8</v>
      </c>
      <c r="H796">
        <v>206</v>
      </c>
      <c r="I796" t="s">
        <v>114</v>
      </c>
      <c r="J796" t="s">
        <v>115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>"19:16:55.039"</f>
        <v>19:16:55.039</v>
      </c>
      <c r="T796" t="str">
        <f>"19:16:55.039"</f>
        <v>19:16:55.039</v>
      </c>
      <c r="U796" t="str">
        <f t="shared" si="37"/>
        <v>AB63B2</v>
      </c>
      <c r="V796">
        <v>0</v>
      </c>
      <c r="W796">
        <v>0</v>
      </c>
      <c r="X796">
        <v>6</v>
      </c>
      <c r="Z796">
        <v>0</v>
      </c>
      <c r="AA796">
        <v>9</v>
      </c>
      <c r="AB796">
        <v>3</v>
      </c>
      <c r="AC796">
        <v>0</v>
      </c>
      <c r="AD796">
        <v>10</v>
      </c>
      <c r="AE796">
        <v>0</v>
      </c>
      <c r="AF796">
        <v>0</v>
      </c>
      <c r="AG796">
        <v>2</v>
      </c>
      <c r="AH796">
        <v>0</v>
      </c>
      <c r="AI796" t="s">
        <v>444</v>
      </c>
      <c r="AJ796">
        <v>41.972901999999998</v>
      </c>
      <c r="AK796" t="s">
        <v>277</v>
      </c>
      <c r="AL796">
        <v>-87.894316000000003</v>
      </c>
      <c r="AS796">
        <v>1</v>
      </c>
      <c r="AT796" t="s">
        <v>118</v>
      </c>
      <c r="AU796" t="b">
        <v>1</v>
      </c>
      <c r="AV796">
        <v>2.81</v>
      </c>
      <c r="AW796">
        <v>9.125</v>
      </c>
      <c r="AX796">
        <v>1</v>
      </c>
      <c r="AZ796">
        <v>7205</v>
      </c>
      <c r="BA796">
        <v>1</v>
      </c>
      <c r="BB796" t="str">
        <f t="shared" si="38"/>
        <v xml:space="preserve">KAP400  </v>
      </c>
      <c r="BC796">
        <v>1</v>
      </c>
      <c r="BE796">
        <v>0</v>
      </c>
      <c r="BF796">
        <v>0</v>
      </c>
      <c r="BG796">
        <v>0</v>
      </c>
      <c r="BI796">
        <v>1</v>
      </c>
      <c r="BJ796">
        <v>1</v>
      </c>
      <c r="BK796">
        <v>1</v>
      </c>
      <c r="BL796">
        <v>0</v>
      </c>
      <c r="BO796">
        <v>0</v>
      </c>
      <c r="BP796">
        <v>0</v>
      </c>
      <c r="BW796" t="str">
        <f>"19:16:55.042"</f>
        <v>19:16:55.042</v>
      </c>
      <c r="BX796" t="s">
        <v>119</v>
      </c>
      <c r="BY796" t="s">
        <v>120</v>
      </c>
      <c r="CJ796">
        <v>0</v>
      </c>
      <c r="CK796">
        <v>0</v>
      </c>
      <c r="CL796">
        <v>0</v>
      </c>
      <c r="CM796">
        <v>2</v>
      </c>
      <c r="CN796">
        <v>0</v>
      </c>
      <c r="CO796">
        <v>6</v>
      </c>
      <c r="CP796" t="s">
        <v>121</v>
      </c>
      <c r="CQ796">
        <v>579</v>
      </c>
      <c r="CR796">
        <v>0</v>
      </c>
      <c r="CW796">
        <v>1911666</v>
      </c>
      <c r="CY796">
        <v>0</v>
      </c>
      <c r="CZ796">
        <v>0</v>
      </c>
      <c r="DA796">
        <v>0</v>
      </c>
      <c r="DB796">
        <v>1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</row>
    <row r="797" spans="1:113" x14ac:dyDescent="0.3">
      <c r="A797" t="str">
        <f>"06/16/2022 19:16:56.191"</f>
        <v>06/16/2022 19:16:56.191</v>
      </c>
      <c r="C797" t="str">
        <f t="shared" si="39"/>
        <v>FFBF5BC0</v>
      </c>
      <c r="D797" t="s">
        <v>113</v>
      </c>
      <c r="E797">
        <v>8</v>
      </c>
      <c r="H797">
        <v>206</v>
      </c>
      <c r="I797" t="s">
        <v>114</v>
      </c>
      <c r="J797" t="s">
        <v>115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>"19:16:56.000"</f>
        <v>19:16:56.000</v>
      </c>
      <c r="T797" t="str">
        <f>"19:16:56.000"</f>
        <v>19:16:56.000</v>
      </c>
      <c r="U797" t="str">
        <f t="shared" si="37"/>
        <v>AB63B2</v>
      </c>
      <c r="V797">
        <v>0</v>
      </c>
      <c r="W797">
        <v>0</v>
      </c>
      <c r="X797">
        <v>6</v>
      </c>
      <c r="Z797">
        <v>0</v>
      </c>
      <c r="AA797">
        <v>9</v>
      </c>
      <c r="AB797">
        <v>3</v>
      </c>
      <c r="AC797">
        <v>0</v>
      </c>
      <c r="AD797">
        <v>10</v>
      </c>
      <c r="AE797">
        <v>0</v>
      </c>
      <c r="AF797">
        <v>0</v>
      </c>
      <c r="AG797">
        <v>2</v>
      </c>
      <c r="AH797">
        <v>0</v>
      </c>
      <c r="AI797" t="s">
        <v>442</v>
      </c>
      <c r="AJ797">
        <v>41.972945000000003</v>
      </c>
      <c r="AK797" t="s">
        <v>728</v>
      </c>
      <c r="AL797">
        <v>-87.894294000000002</v>
      </c>
      <c r="AS797">
        <v>1</v>
      </c>
      <c r="AT797" t="s">
        <v>118</v>
      </c>
      <c r="AU797" t="b">
        <v>1</v>
      </c>
      <c r="AV797">
        <v>0</v>
      </c>
      <c r="AW797">
        <v>8.625</v>
      </c>
      <c r="AX797">
        <v>1</v>
      </c>
      <c r="AZ797">
        <v>7205</v>
      </c>
      <c r="BA797">
        <v>1</v>
      </c>
      <c r="BB797" t="str">
        <f t="shared" si="38"/>
        <v xml:space="preserve">KAP400  </v>
      </c>
      <c r="BC797">
        <v>1</v>
      </c>
      <c r="BE797">
        <v>0</v>
      </c>
      <c r="BF797">
        <v>0</v>
      </c>
      <c r="BG797">
        <v>0</v>
      </c>
      <c r="BI797">
        <v>1</v>
      </c>
      <c r="BJ797">
        <v>1</v>
      </c>
      <c r="BK797">
        <v>1</v>
      </c>
      <c r="BL797">
        <v>0</v>
      </c>
      <c r="BO797">
        <v>0</v>
      </c>
      <c r="BP797">
        <v>0</v>
      </c>
      <c r="BW797" t="str">
        <f>"19:16:56.005"</f>
        <v>19:16:56.005</v>
      </c>
      <c r="BX797" t="s">
        <v>119</v>
      </c>
      <c r="BY797" t="s">
        <v>120</v>
      </c>
      <c r="CJ797">
        <v>0</v>
      </c>
      <c r="CK797">
        <v>0</v>
      </c>
      <c r="CL797">
        <v>0</v>
      </c>
      <c r="CM797">
        <v>2</v>
      </c>
      <c r="CN797">
        <v>0</v>
      </c>
      <c r="CO797">
        <v>6</v>
      </c>
      <c r="CP797" t="s">
        <v>121</v>
      </c>
      <c r="CQ797">
        <v>582</v>
      </c>
      <c r="CR797">
        <v>0</v>
      </c>
      <c r="CW797">
        <v>6552336</v>
      </c>
      <c r="CY797">
        <v>0</v>
      </c>
      <c r="CZ797">
        <v>0</v>
      </c>
      <c r="DA797">
        <v>0</v>
      </c>
      <c r="DB797">
        <v>1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</row>
    <row r="798" spans="1:113" x14ac:dyDescent="0.3">
      <c r="A798" t="str">
        <f>"06/16/2022 19:16:57.331"</f>
        <v>06/16/2022 19:16:57.331</v>
      </c>
      <c r="C798" t="str">
        <f t="shared" si="39"/>
        <v>FFBF5BC0</v>
      </c>
      <c r="D798" t="s">
        <v>113</v>
      </c>
      <c r="E798">
        <v>8</v>
      </c>
      <c r="H798">
        <v>206</v>
      </c>
      <c r="I798" t="s">
        <v>114</v>
      </c>
      <c r="J798" t="s">
        <v>115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>"19:16:57.102"</f>
        <v>19:16:57.102</v>
      </c>
      <c r="T798" t="str">
        <f>"19:16:57.102"</f>
        <v>19:16:57.102</v>
      </c>
      <c r="U798" t="str">
        <f t="shared" si="37"/>
        <v>AB63B2</v>
      </c>
      <c r="V798">
        <v>0</v>
      </c>
      <c r="W798">
        <v>0</v>
      </c>
      <c r="X798">
        <v>6</v>
      </c>
      <c r="Z798">
        <v>0</v>
      </c>
      <c r="AA798">
        <v>9</v>
      </c>
      <c r="AB798">
        <v>3</v>
      </c>
      <c r="AC798">
        <v>0</v>
      </c>
      <c r="AD798">
        <v>10</v>
      </c>
      <c r="AE798">
        <v>0</v>
      </c>
      <c r="AF798">
        <v>0</v>
      </c>
      <c r="AG798">
        <v>2</v>
      </c>
      <c r="AH798">
        <v>0</v>
      </c>
      <c r="AI798" t="s">
        <v>729</v>
      </c>
      <c r="AJ798">
        <v>41.972988000000001</v>
      </c>
      <c r="AK798" t="s">
        <v>277</v>
      </c>
      <c r="AL798">
        <v>-87.894316000000003</v>
      </c>
      <c r="AS798">
        <v>1</v>
      </c>
      <c r="AT798" t="s">
        <v>118</v>
      </c>
      <c r="AU798" t="b">
        <v>1</v>
      </c>
      <c r="AV798">
        <v>0</v>
      </c>
      <c r="AW798">
        <v>8.625</v>
      </c>
      <c r="AX798">
        <v>1</v>
      </c>
      <c r="AZ798">
        <v>7205</v>
      </c>
      <c r="BA798">
        <v>1</v>
      </c>
      <c r="BB798" t="str">
        <f t="shared" si="38"/>
        <v xml:space="preserve">KAP400  </v>
      </c>
      <c r="BC798">
        <v>1</v>
      </c>
      <c r="BE798">
        <v>0</v>
      </c>
      <c r="BF798">
        <v>0</v>
      </c>
      <c r="BG798">
        <v>0</v>
      </c>
      <c r="BI798">
        <v>1</v>
      </c>
      <c r="BJ798">
        <v>1</v>
      </c>
      <c r="BK798">
        <v>1</v>
      </c>
      <c r="BL798">
        <v>0</v>
      </c>
      <c r="BO798">
        <v>0</v>
      </c>
      <c r="BP798">
        <v>0</v>
      </c>
      <c r="BW798" t="str">
        <f>"19:16:57.108"</f>
        <v>19:16:57.108</v>
      </c>
      <c r="BX798" t="s">
        <v>119</v>
      </c>
      <c r="BY798" t="s">
        <v>120</v>
      </c>
      <c r="CJ798">
        <v>0</v>
      </c>
      <c r="CK798">
        <v>0</v>
      </c>
      <c r="CL798">
        <v>0</v>
      </c>
      <c r="CM798">
        <v>2</v>
      </c>
      <c r="CN798">
        <v>0</v>
      </c>
      <c r="CO798">
        <v>7</v>
      </c>
      <c r="CP798" t="s">
        <v>121</v>
      </c>
      <c r="CQ798">
        <v>579</v>
      </c>
      <c r="CR798">
        <v>0</v>
      </c>
      <c r="CW798">
        <v>1915416</v>
      </c>
      <c r="CY798">
        <v>0</v>
      </c>
      <c r="CZ798">
        <v>0</v>
      </c>
      <c r="DA798">
        <v>0</v>
      </c>
      <c r="DB798">
        <v>1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</row>
    <row r="799" spans="1:113" x14ac:dyDescent="0.3">
      <c r="A799" t="str">
        <f>"06/16/2022 19:16:58.378"</f>
        <v>06/16/2022 19:16:58.378</v>
      </c>
      <c r="C799" t="str">
        <f t="shared" si="39"/>
        <v>FFBF5BC0</v>
      </c>
      <c r="D799" t="s">
        <v>113</v>
      </c>
      <c r="E799">
        <v>8</v>
      </c>
      <c r="H799">
        <v>206</v>
      </c>
      <c r="I799" t="s">
        <v>114</v>
      </c>
      <c r="J799" t="s">
        <v>115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>"19:16:57.984"</f>
        <v>19:16:57.984</v>
      </c>
      <c r="T799" t="str">
        <f>"19:16:57.984"</f>
        <v>19:16:57.984</v>
      </c>
      <c r="U799" t="str">
        <f t="shared" si="37"/>
        <v>AB63B2</v>
      </c>
      <c r="V799">
        <v>0</v>
      </c>
      <c r="W799">
        <v>0</v>
      </c>
      <c r="X799">
        <v>6</v>
      </c>
      <c r="Z799">
        <v>0</v>
      </c>
      <c r="AA799">
        <v>9</v>
      </c>
      <c r="AB799">
        <v>3</v>
      </c>
      <c r="AC799">
        <v>0</v>
      </c>
      <c r="AD799">
        <v>10</v>
      </c>
      <c r="AE799">
        <v>0</v>
      </c>
      <c r="AF799">
        <v>0</v>
      </c>
      <c r="AG799">
        <v>2</v>
      </c>
      <c r="AH799">
        <v>0</v>
      </c>
      <c r="AI799" t="s">
        <v>437</v>
      </c>
      <c r="AJ799">
        <v>41.973008999999998</v>
      </c>
      <c r="AK799" t="s">
        <v>728</v>
      </c>
      <c r="AL799">
        <v>-87.894294000000002</v>
      </c>
      <c r="AS799">
        <v>1</v>
      </c>
      <c r="AT799" t="s">
        <v>118</v>
      </c>
      <c r="AU799" t="b">
        <v>1</v>
      </c>
      <c r="AV799">
        <v>0</v>
      </c>
      <c r="AW799">
        <v>8.625</v>
      </c>
      <c r="AX799">
        <v>1</v>
      </c>
      <c r="AZ799">
        <v>7205</v>
      </c>
      <c r="BA799">
        <v>1</v>
      </c>
      <c r="BB799" t="str">
        <f t="shared" si="38"/>
        <v xml:space="preserve">KAP400  </v>
      </c>
      <c r="BC799">
        <v>1</v>
      </c>
      <c r="BE799">
        <v>0</v>
      </c>
      <c r="BF799">
        <v>0</v>
      </c>
      <c r="BG799">
        <v>0</v>
      </c>
      <c r="BI799">
        <v>1</v>
      </c>
      <c r="BJ799">
        <v>1</v>
      </c>
      <c r="BK799">
        <v>1</v>
      </c>
      <c r="BL799">
        <v>0</v>
      </c>
      <c r="BO799">
        <v>0</v>
      </c>
      <c r="BP799">
        <v>0</v>
      </c>
      <c r="BW799" t="str">
        <f>"19:16:57.989"</f>
        <v>19:16:57.989</v>
      </c>
      <c r="BX799" t="s">
        <v>119</v>
      </c>
      <c r="BY799" t="s">
        <v>120</v>
      </c>
      <c r="CJ799">
        <v>0</v>
      </c>
      <c r="CK799">
        <v>0</v>
      </c>
      <c r="CL799">
        <v>0</v>
      </c>
      <c r="CM799">
        <v>2</v>
      </c>
      <c r="CN799">
        <v>0</v>
      </c>
      <c r="CO799">
        <v>7</v>
      </c>
      <c r="CP799" t="s">
        <v>121</v>
      </c>
      <c r="CQ799">
        <v>579</v>
      </c>
      <c r="CR799">
        <v>0</v>
      </c>
      <c r="CW799">
        <v>1917038</v>
      </c>
      <c r="CY799">
        <v>0</v>
      </c>
      <c r="CZ799">
        <v>0</v>
      </c>
      <c r="DA799">
        <v>0</v>
      </c>
      <c r="DB799">
        <v>1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</row>
    <row r="800" spans="1:113" x14ac:dyDescent="0.3">
      <c r="A800" t="str">
        <f>"06/16/2022 19:16:59.160"</f>
        <v>06/16/2022 19:16:59.160</v>
      </c>
      <c r="C800" t="str">
        <f t="shared" si="39"/>
        <v>FFBF5BC0</v>
      </c>
      <c r="D800" t="s">
        <v>113</v>
      </c>
      <c r="E800">
        <v>8</v>
      </c>
      <c r="H800">
        <v>206</v>
      </c>
      <c r="I800" t="s">
        <v>114</v>
      </c>
      <c r="J800" t="s">
        <v>115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>"19:16:58.891"</f>
        <v>19:16:58.891</v>
      </c>
      <c r="T800" t="str">
        <f>"19:16:58.891"</f>
        <v>19:16:58.891</v>
      </c>
      <c r="U800" t="str">
        <f t="shared" si="37"/>
        <v>AB63B2</v>
      </c>
      <c r="V800">
        <v>0</v>
      </c>
      <c r="W800">
        <v>0</v>
      </c>
      <c r="X800">
        <v>6</v>
      </c>
      <c r="Z800">
        <v>0</v>
      </c>
      <c r="AA800">
        <v>9</v>
      </c>
      <c r="AB800">
        <v>3</v>
      </c>
      <c r="AC800">
        <v>0</v>
      </c>
      <c r="AD800">
        <v>10</v>
      </c>
      <c r="AE800">
        <v>0</v>
      </c>
      <c r="AF800">
        <v>0</v>
      </c>
      <c r="AG800">
        <v>2</v>
      </c>
      <c r="AH800">
        <v>0</v>
      </c>
      <c r="AI800" t="s">
        <v>435</v>
      </c>
      <c r="AJ800">
        <v>41.973052000000003</v>
      </c>
      <c r="AK800" t="s">
        <v>277</v>
      </c>
      <c r="AL800">
        <v>-87.894316000000003</v>
      </c>
      <c r="AS800">
        <v>1</v>
      </c>
      <c r="AT800" t="s">
        <v>118</v>
      </c>
      <c r="AU800" t="b">
        <v>1</v>
      </c>
      <c r="AV800">
        <v>0</v>
      </c>
      <c r="AW800">
        <v>8.125</v>
      </c>
      <c r="AX800">
        <v>1</v>
      </c>
      <c r="AZ800">
        <v>7205</v>
      </c>
      <c r="BA800">
        <v>1</v>
      </c>
      <c r="BB800" t="str">
        <f t="shared" si="38"/>
        <v xml:space="preserve">KAP400  </v>
      </c>
      <c r="BC800">
        <v>1</v>
      </c>
      <c r="BE800">
        <v>0</v>
      </c>
      <c r="BF800">
        <v>0</v>
      </c>
      <c r="BG800">
        <v>0</v>
      </c>
      <c r="BI800">
        <v>1</v>
      </c>
      <c r="BJ800">
        <v>1</v>
      </c>
      <c r="BK800">
        <v>1</v>
      </c>
      <c r="BL800">
        <v>0</v>
      </c>
      <c r="BO800">
        <v>0</v>
      </c>
      <c r="BP800">
        <v>0</v>
      </c>
      <c r="BW800" t="str">
        <f>"19:16:58.897"</f>
        <v>19:16:58.897</v>
      </c>
      <c r="BX800" t="s">
        <v>119</v>
      </c>
      <c r="BY800" t="s">
        <v>120</v>
      </c>
      <c r="CJ800">
        <v>0</v>
      </c>
      <c r="CK800">
        <v>0</v>
      </c>
      <c r="CL800">
        <v>0</v>
      </c>
      <c r="CM800">
        <v>2</v>
      </c>
      <c r="CN800">
        <v>0</v>
      </c>
      <c r="CO800">
        <v>7</v>
      </c>
      <c r="CP800" t="s">
        <v>121</v>
      </c>
      <c r="CQ800">
        <v>579</v>
      </c>
      <c r="CR800">
        <v>0</v>
      </c>
      <c r="CW800">
        <v>1918747</v>
      </c>
      <c r="CY800">
        <v>0</v>
      </c>
      <c r="CZ800">
        <v>0</v>
      </c>
      <c r="DA800">
        <v>0</v>
      </c>
      <c r="DB800">
        <v>1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</row>
    <row r="801" spans="1:113" x14ac:dyDescent="0.3">
      <c r="A801" t="str">
        <f>"06/16/2022 19:17:00.535"</f>
        <v>06/16/2022 19:17:00.535</v>
      </c>
      <c r="C801" t="str">
        <f t="shared" si="39"/>
        <v>FFBF5BC0</v>
      </c>
      <c r="D801" t="s">
        <v>113</v>
      </c>
      <c r="E801">
        <v>8</v>
      </c>
      <c r="H801">
        <v>206</v>
      </c>
      <c r="I801" t="s">
        <v>114</v>
      </c>
      <c r="J801" t="s">
        <v>115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>"19:17:00.297"</f>
        <v>19:17:00.297</v>
      </c>
      <c r="T801" t="str">
        <f>"19:17:00.297"</f>
        <v>19:17:00.297</v>
      </c>
      <c r="U801" t="str">
        <f t="shared" si="37"/>
        <v>AB63B2</v>
      </c>
      <c r="V801">
        <v>0</v>
      </c>
      <c r="W801">
        <v>0</v>
      </c>
      <c r="X801">
        <v>6</v>
      </c>
      <c r="Z801">
        <v>0</v>
      </c>
      <c r="AA801">
        <v>9</v>
      </c>
      <c r="AB801">
        <v>3</v>
      </c>
      <c r="AC801">
        <v>0</v>
      </c>
      <c r="AD801">
        <v>10</v>
      </c>
      <c r="AE801">
        <v>0</v>
      </c>
      <c r="AF801">
        <v>0</v>
      </c>
      <c r="AG801">
        <v>2</v>
      </c>
      <c r="AH801">
        <v>0</v>
      </c>
      <c r="AI801" t="s">
        <v>730</v>
      </c>
      <c r="AJ801">
        <v>41.973095000000001</v>
      </c>
      <c r="AK801" t="s">
        <v>277</v>
      </c>
      <c r="AL801">
        <v>-87.894316000000003</v>
      </c>
      <c r="AS801">
        <v>1</v>
      </c>
      <c r="AT801" t="s">
        <v>118</v>
      </c>
      <c r="AU801" t="b">
        <v>1</v>
      </c>
      <c r="AV801">
        <v>0</v>
      </c>
      <c r="AW801">
        <v>8.125</v>
      </c>
      <c r="AX801">
        <v>1</v>
      </c>
      <c r="AZ801">
        <v>7205</v>
      </c>
      <c r="BA801">
        <v>1</v>
      </c>
      <c r="BB801" t="str">
        <f t="shared" si="38"/>
        <v xml:space="preserve">KAP400  </v>
      </c>
      <c r="BC801">
        <v>1</v>
      </c>
      <c r="BE801">
        <v>0</v>
      </c>
      <c r="BF801">
        <v>0</v>
      </c>
      <c r="BG801">
        <v>0</v>
      </c>
      <c r="BI801">
        <v>1</v>
      </c>
      <c r="BJ801">
        <v>1</v>
      </c>
      <c r="BK801">
        <v>1</v>
      </c>
      <c r="BL801">
        <v>0</v>
      </c>
      <c r="BO801">
        <v>0</v>
      </c>
      <c r="BP801">
        <v>0</v>
      </c>
      <c r="BW801" t="str">
        <f>"19:17:00.300"</f>
        <v>19:17:00.300</v>
      </c>
      <c r="BX801" t="s">
        <v>119</v>
      </c>
      <c r="BY801" t="s">
        <v>120</v>
      </c>
      <c r="CJ801">
        <v>0</v>
      </c>
      <c r="CK801">
        <v>0</v>
      </c>
      <c r="CL801">
        <v>0</v>
      </c>
      <c r="CM801">
        <v>2</v>
      </c>
      <c r="CN801">
        <v>0</v>
      </c>
      <c r="CO801">
        <v>6</v>
      </c>
      <c r="CP801" t="s">
        <v>121</v>
      </c>
      <c r="CQ801">
        <v>581</v>
      </c>
      <c r="CR801">
        <v>0</v>
      </c>
      <c r="CW801">
        <v>15650440</v>
      </c>
      <c r="CY801">
        <v>0</v>
      </c>
      <c r="CZ801">
        <v>0</v>
      </c>
      <c r="DA801">
        <v>0</v>
      </c>
      <c r="DB801">
        <v>1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</row>
    <row r="802" spans="1:113" x14ac:dyDescent="0.3">
      <c r="A802" t="str">
        <f>"06/16/2022 19:17:01.629"</f>
        <v>06/16/2022 19:17:01.629</v>
      </c>
      <c r="C802" t="str">
        <f t="shared" si="39"/>
        <v>FFBF5BC0</v>
      </c>
      <c r="D802" t="s">
        <v>113</v>
      </c>
      <c r="E802">
        <v>8</v>
      </c>
      <c r="H802">
        <v>206</v>
      </c>
      <c r="I802" t="s">
        <v>114</v>
      </c>
      <c r="J802" t="s">
        <v>115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>"19:17:01.375"</f>
        <v>19:17:01.375</v>
      </c>
      <c r="T802" t="str">
        <f>"19:17:01.375"</f>
        <v>19:17:01.375</v>
      </c>
      <c r="U802" t="str">
        <f t="shared" si="37"/>
        <v>AB63B2</v>
      </c>
      <c r="V802">
        <v>0</v>
      </c>
      <c r="W802">
        <v>0</v>
      </c>
      <c r="X802">
        <v>6</v>
      </c>
      <c r="Z802">
        <v>0</v>
      </c>
      <c r="AA802">
        <v>9</v>
      </c>
      <c r="AB802">
        <v>3</v>
      </c>
      <c r="AC802">
        <v>0</v>
      </c>
      <c r="AD802">
        <v>10</v>
      </c>
      <c r="AE802">
        <v>0</v>
      </c>
      <c r="AF802">
        <v>0</v>
      </c>
      <c r="AG802">
        <v>2</v>
      </c>
      <c r="AH802">
        <v>0</v>
      </c>
      <c r="AI802" t="s">
        <v>731</v>
      </c>
      <c r="AJ802">
        <v>41.973137999999999</v>
      </c>
      <c r="AK802" t="s">
        <v>728</v>
      </c>
      <c r="AL802">
        <v>-87.894294000000002</v>
      </c>
      <c r="AS802">
        <v>1</v>
      </c>
      <c r="AT802" t="s">
        <v>118</v>
      </c>
      <c r="AU802" t="b">
        <v>1</v>
      </c>
      <c r="AV802">
        <v>0</v>
      </c>
      <c r="AW802">
        <v>7.625</v>
      </c>
      <c r="AX802">
        <v>1</v>
      </c>
      <c r="AZ802">
        <v>7205</v>
      </c>
      <c r="BA802">
        <v>1</v>
      </c>
      <c r="BB802" t="str">
        <f t="shared" si="38"/>
        <v xml:space="preserve">KAP400  </v>
      </c>
      <c r="BC802">
        <v>1</v>
      </c>
      <c r="BE802">
        <v>0</v>
      </c>
      <c r="BF802">
        <v>0</v>
      </c>
      <c r="BG802">
        <v>0</v>
      </c>
      <c r="BI802">
        <v>1</v>
      </c>
      <c r="BJ802">
        <v>1</v>
      </c>
      <c r="BK802">
        <v>1</v>
      </c>
      <c r="BL802">
        <v>0</v>
      </c>
      <c r="BO802">
        <v>0</v>
      </c>
      <c r="BP802">
        <v>0</v>
      </c>
      <c r="BW802" t="str">
        <f>"19:17:01.379"</f>
        <v>19:17:01.379</v>
      </c>
      <c r="BX802" t="s">
        <v>119</v>
      </c>
      <c r="BY802" t="s">
        <v>120</v>
      </c>
      <c r="CJ802">
        <v>0</v>
      </c>
      <c r="CK802">
        <v>0</v>
      </c>
      <c r="CL802">
        <v>0</v>
      </c>
      <c r="CM802">
        <v>2</v>
      </c>
      <c r="CN802">
        <v>0</v>
      </c>
      <c r="CO802">
        <v>6</v>
      </c>
      <c r="CP802" t="s">
        <v>121</v>
      </c>
      <c r="CQ802">
        <v>581</v>
      </c>
      <c r="CR802">
        <v>0</v>
      </c>
      <c r="CW802">
        <v>15651945</v>
      </c>
      <c r="CY802">
        <v>0</v>
      </c>
      <c r="CZ802">
        <v>0</v>
      </c>
      <c r="DA802">
        <v>0</v>
      </c>
      <c r="DB802">
        <v>1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</row>
    <row r="803" spans="1:113" x14ac:dyDescent="0.3">
      <c r="A803" t="str">
        <f>"06/16/2022 19:17:02.847"</f>
        <v>06/16/2022 19:17:02.847</v>
      </c>
      <c r="C803" t="str">
        <f t="shared" si="39"/>
        <v>FFBF5BC0</v>
      </c>
      <c r="D803" t="s">
        <v>113</v>
      </c>
      <c r="E803">
        <v>8</v>
      </c>
      <c r="H803">
        <v>206</v>
      </c>
      <c r="I803" t="s">
        <v>114</v>
      </c>
      <c r="J803" t="s">
        <v>115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>"19:17:02.492"</f>
        <v>19:17:02.492</v>
      </c>
      <c r="T803" t="str">
        <f>"19:17:02.492"</f>
        <v>19:17:02.492</v>
      </c>
      <c r="U803" t="str">
        <f t="shared" si="37"/>
        <v>AB63B2</v>
      </c>
      <c r="V803">
        <v>0</v>
      </c>
      <c r="W803">
        <v>0</v>
      </c>
      <c r="X803">
        <v>6</v>
      </c>
      <c r="Z803">
        <v>0</v>
      </c>
      <c r="AA803">
        <v>9</v>
      </c>
      <c r="AB803">
        <v>3</v>
      </c>
      <c r="AC803">
        <v>0</v>
      </c>
      <c r="AD803">
        <v>10</v>
      </c>
      <c r="AE803">
        <v>0</v>
      </c>
      <c r="AF803">
        <v>0</v>
      </c>
      <c r="AG803">
        <v>2</v>
      </c>
      <c r="AH803">
        <v>0</v>
      </c>
      <c r="AI803" t="s">
        <v>732</v>
      </c>
      <c r="AJ803">
        <v>41.973180999999997</v>
      </c>
      <c r="AK803" t="s">
        <v>277</v>
      </c>
      <c r="AL803">
        <v>-87.894316000000003</v>
      </c>
      <c r="AS803">
        <v>1</v>
      </c>
      <c r="AT803" t="s">
        <v>118</v>
      </c>
      <c r="AU803" t="b">
        <v>1</v>
      </c>
      <c r="AV803">
        <v>0</v>
      </c>
      <c r="AW803">
        <v>7.625</v>
      </c>
      <c r="AX803">
        <v>1</v>
      </c>
      <c r="AZ803">
        <v>7205</v>
      </c>
      <c r="BA803">
        <v>1</v>
      </c>
      <c r="BB803" t="str">
        <f t="shared" si="38"/>
        <v xml:space="preserve">KAP400  </v>
      </c>
      <c r="BC803">
        <v>1</v>
      </c>
      <c r="BE803">
        <v>0</v>
      </c>
      <c r="BF803">
        <v>0</v>
      </c>
      <c r="BG803">
        <v>0</v>
      </c>
      <c r="BI803">
        <v>1</v>
      </c>
      <c r="BJ803">
        <v>1</v>
      </c>
      <c r="BK803">
        <v>1</v>
      </c>
      <c r="BL803">
        <v>0</v>
      </c>
      <c r="BO803">
        <v>0</v>
      </c>
      <c r="BP803">
        <v>0</v>
      </c>
      <c r="BW803" t="str">
        <f>"19:17:02.498"</f>
        <v>19:17:02.498</v>
      </c>
      <c r="BX803" t="s">
        <v>119</v>
      </c>
      <c r="BY803" t="s">
        <v>120</v>
      </c>
      <c r="CJ803">
        <v>0</v>
      </c>
      <c r="CK803">
        <v>0</v>
      </c>
      <c r="CL803">
        <v>0</v>
      </c>
      <c r="CM803">
        <v>2</v>
      </c>
      <c r="CN803">
        <v>0</v>
      </c>
      <c r="CO803">
        <v>6</v>
      </c>
      <c r="CP803" t="s">
        <v>121</v>
      </c>
      <c r="CQ803">
        <v>581</v>
      </c>
      <c r="CR803">
        <v>0</v>
      </c>
      <c r="CW803">
        <v>15653461</v>
      </c>
      <c r="CY803">
        <v>0</v>
      </c>
      <c r="CZ803">
        <v>0</v>
      </c>
      <c r="DA803">
        <v>0</v>
      </c>
      <c r="DB803">
        <v>1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</row>
    <row r="804" spans="1:113" x14ac:dyDescent="0.3">
      <c r="A804" t="str">
        <f>"06/16/2022 19:17:03.738"</f>
        <v>06/16/2022 19:17:03.738</v>
      </c>
      <c r="C804" t="str">
        <f t="shared" si="39"/>
        <v>FFBF5BC0</v>
      </c>
      <c r="D804" t="s">
        <v>113</v>
      </c>
      <c r="E804">
        <v>8</v>
      </c>
      <c r="H804">
        <v>206</v>
      </c>
      <c r="I804" t="s">
        <v>114</v>
      </c>
      <c r="J804" t="s">
        <v>115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>"19:17:03.477"</f>
        <v>19:17:03.477</v>
      </c>
      <c r="T804" t="str">
        <f>"19:17:03.477"</f>
        <v>19:17:03.477</v>
      </c>
      <c r="U804" t="str">
        <f t="shared" si="37"/>
        <v>AB63B2</v>
      </c>
      <c r="V804">
        <v>0</v>
      </c>
      <c r="W804">
        <v>0</v>
      </c>
      <c r="X804">
        <v>6</v>
      </c>
      <c r="Z804">
        <v>0</v>
      </c>
      <c r="AA804">
        <v>9</v>
      </c>
      <c r="AB804">
        <v>3</v>
      </c>
      <c r="AC804">
        <v>0</v>
      </c>
      <c r="AD804">
        <v>10</v>
      </c>
      <c r="AE804">
        <v>0</v>
      </c>
      <c r="AF804">
        <v>0</v>
      </c>
      <c r="AG804">
        <v>2</v>
      </c>
      <c r="AH804">
        <v>0</v>
      </c>
      <c r="AI804" t="s">
        <v>427</v>
      </c>
      <c r="AJ804">
        <v>41.973202000000001</v>
      </c>
      <c r="AK804" t="s">
        <v>277</v>
      </c>
      <c r="AL804">
        <v>-87.894316000000003</v>
      </c>
      <c r="AS804">
        <v>1</v>
      </c>
      <c r="AT804" t="s">
        <v>118</v>
      </c>
      <c r="AU804" t="b">
        <v>1</v>
      </c>
      <c r="AV804">
        <v>0</v>
      </c>
      <c r="AW804">
        <v>7.625</v>
      </c>
      <c r="AX804">
        <v>1</v>
      </c>
      <c r="AZ804">
        <v>7205</v>
      </c>
      <c r="BA804">
        <v>1</v>
      </c>
      <c r="BB804" t="str">
        <f t="shared" si="38"/>
        <v xml:space="preserve">KAP400  </v>
      </c>
      <c r="BC804">
        <v>1</v>
      </c>
      <c r="BE804">
        <v>0</v>
      </c>
      <c r="BF804">
        <v>0</v>
      </c>
      <c r="BG804">
        <v>0</v>
      </c>
      <c r="BI804">
        <v>1</v>
      </c>
      <c r="BJ804">
        <v>1</v>
      </c>
      <c r="BK804">
        <v>1</v>
      </c>
      <c r="BL804">
        <v>0</v>
      </c>
      <c r="BO804">
        <v>0</v>
      </c>
      <c r="BP804">
        <v>0</v>
      </c>
      <c r="BW804" t="str">
        <f>"19:17:03.483"</f>
        <v>19:17:03.483</v>
      </c>
      <c r="BX804" t="s">
        <v>119</v>
      </c>
      <c r="BY804" t="s">
        <v>120</v>
      </c>
      <c r="CJ804">
        <v>0</v>
      </c>
      <c r="CK804">
        <v>0</v>
      </c>
      <c r="CL804">
        <v>0</v>
      </c>
      <c r="CM804">
        <v>2</v>
      </c>
      <c r="CN804">
        <v>0</v>
      </c>
      <c r="CO804">
        <v>7</v>
      </c>
      <c r="CP804" t="s">
        <v>121</v>
      </c>
      <c r="CQ804">
        <v>580</v>
      </c>
      <c r="CR804">
        <v>0</v>
      </c>
      <c r="CW804">
        <v>802766</v>
      </c>
      <c r="CY804">
        <v>0</v>
      </c>
      <c r="CZ804">
        <v>0</v>
      </c>
      <c r="DA804">
        <v>0</v>
      </c>
      <c r="DB804">
        <v>1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</row>
    <row r="805" spans="1:113" x14ac:dyDescent="0.3">
      <c r="A805" t="str">
        <f>"06/16/2022 19:17:18.206"</f>
        <v>06/16/2022 19:17:18.206</v>
      </c>
      <c r="C805" t="str">
        <f t="shared" si="39"/>
        <v>FFBF5BC0</v>
      </c>
      <c r="D805" t="s">
        <v>113</v>
      </c>
      <c r="E805">
        <v>8</v>
      </c>
      <c r="H805">
        <v>206</v>
      </c>
      <c r="I805" t="s">
        <v>114</v>
      </c>
      <c r="J805" t="s">
        <v>115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>"19:17:18.016"</f>
        <v>19:17:18.016</v>
      </c>
      <c r="T805" t="str">
        <f>"19:17:18.016"</f>
        <v>19:17:18.016</v>
      </c>
      <c r="U805" t="str">
        <f t="shared" si="37"/>
        <v>AB63B2</v>
      </c>
      <c r="V805">
        <v>0</v>
      </c>
      <c r="W805">
        <v>0</v>
      </c>
      <c r="X805">
        <v>6</v>
      </c>
      <c r="Z805">
        <v>0</v>
      </c>
      <c r="AA805">
        <v>9</v>
      </c>
      <c r="AB805">
        <v>3</v>
      </c>
      <c r="AC805">
        <v>0</v>
      </c>
      <c r="AD805">
        <v>10</v>
      </c>
      <c r="AE805">
        <v>0</v>
      </c>
      <c r="AF805">
        <v>0</v>
      </c>
      <c r="AG805">
        <v>2</v>
      </c>
      <c r="AH805">
        <v>0</v>
      </c>
      <c r="AI805" t="s">
        <v>413</v>
      </c>
      <c r="AJ805">
        <v>41.973759999999999</v>
      </c>
      <c r="AK805" t="s">
        <v>728</v>
      </c>
      <c r="AL805">
        <v>-87.894294000000002</v>
      </c>
      <c r="AS805">
        <v>1</v>
      </c>
      <c r="AT805" t="s">
        <v>118</v>
      </c>
      <c r="AU805" t="b">
        <v>1</v>
      </c>
      <c r="AV805">
        <v>0</v>
      </c>
      <c r="AW805">
        <v>10.625</v>
      </c>
      <c r="AX805">
        <v>1</v>
      </c>
      <c r="AZ805">
        <v>7205</v>
      </c>
      <c r="BA805">
        <v>1</v>
      </c>
      <c r="BB805" t="str">
        <f t="shared" si="38"/>
        <v xml:space="preserve">KAP400  </v>
      </c>
      <c r="BC805">
        <v>1</v>
      </c>
      <c r="BE805">
        <v>0</v>
      </c>
      <c r="BF805">
        <v>0</v>
      </c>
      <c r="BG805">
        <v>0</v>
      </c>
      <c r="BI805">
        <v>1</v>
      </c>
      <c r="BJ805">
        <v>1</v>
      </c>
      <c r="BK805">
        <v>1</v>
      </c>
      <c r="BL805">
        <v>0</v>
      </c>
      <c r="BO805">
        <v>0</v>
      </c>
      <c r="BP805">
        <v>0</v>
      </c>
      <c r="BW805" t="str">
        <f>"19:17:18.019"</f>
        <v>19:17:18.019</v>
      </c>
      <c r="BX805" t="s">
        <v>119</v>
      </c>
      <c r="BY805" t="s">
        <v>120</v>
      </c>
      <c r="CJ805">
        <v>0</v>
      </c>
      <c r="CK805">
        <v>0</v>
      </c>
      <c r="CL805">
        <v>0</v>
      </c>
      <c r="CM805">
        <v>2</v>
      </c>
      <c r="CN805">
        <v>0</v>
      </c>
      <c r="CO805">
        <v>6</v>
      </c>
      <c r="CP805" t="s">
        <v>121</v>
      </c>
      <c r="CQ805">
        <v>582</v>
      </c>
      <c r="CR805">
        <v>0</v>
      </c>
      <c r="CW805">
        <v>6581103</v>
      </c>
      <c r="CY805">
        <v>0</v>
      </c>
      <c r="CZ805">
        <v>0</v>
      </c>
      <c r="DA805">
        <v>0</v>
      </c>
      <c r="DB805">
        <v>1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</row>
    <row r="806" spans="1:113" x14ac:dyDescent="0.3">
      <c r="A806" t="str">
        <f>"06/16/2022 19:17:19.128"</f>
        <v>06/16/2022 19:17:19.128</v>
      </c>
      <c r="C806" t="str">
        <f t="shared" si="39"/>
        <v>FFBF5BC0</v>
      </c>
      <c r="D806" t="s">
        <v>113</v>
      </c>
      <c r="E806">
        <v>8</v>
      </c>
      <c r="H806">
        <v>206</v>
      </c>
      <c r="I806" t="s">
        <v>114</v>
      </c>
      <c r="J806" t="s">
        <v>115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>"19:17:18.844"</f>
        <v>19:17:18.844</v>
      </c>
      <c r="T806" t="str">
        <f>"19:17:18.844"</f>
        <v>19:17:18.844</v>
      </c>
      <c r="U806" t="str">
        <f t="shared" si="37"/>
        <v>AB63B2</v>
      </c>
      <c r="V806">
        <v>0</v>
      </c>
      <c r="W806">
        <v>0</v>
      </c>
      <c r="X806">
        <v>6</v>
      </c>
      <c r="Z806">
        <v>0</v>
      </c>
      <c r="AA806">
        <v>9</v>
      </c>
      <c r="AB806">
        <v>3</v>
      </c>
      <c r="AC806">
        <v>0</v>
      </c>
      <c r="AD806">
        <v>10</v>
      </c>
      <c r="AE806">
        <v>0</v>
      </c>
      <c r="AF806">
        <v>0</v>
      </c>
      <c r="AG806">
        <v>2</v>
      </c>
      <c r="AH806">
        <v>0</v>
      </c>
      <c r="AI806" t="s">
        <v>733</v>
      </c>
      <c r="AJ806">
        <v>41.973802999999997</v>
      </c>
      <c r="AK806" t="s">
        <v>728</v>
      </c>
      <c r="AL806">
        <v>-87.894294000000002</v>
      </c>
      <c r="AS806">
        <v>1</v>
      </c>
      <c r="AT806" t="s">
        <v>118</v>
      </c>
      <c r="AU806" t="b">
        <v>1</v>
      </c>
      <c r="AV806">
        <v>0</v>
      </c>
      <c r="AW806">
        <v>10.625</v>
      </c>
      <c r="AX806">
        <v>1</v>
      </c>
      <c r="AZ806">
        <v>7205</v>
      </c>
      <c r="BA806">
        <v>1</v>
      </c>
      <c r="BB806" t="str">
        <f t="shared" si="38"/>
        <v xml:space="preserve">KAP400  </v>
      </c>
      <c r="BC806">
        <v>1</v>
      </c>
      <c r="BE806">
        <v>0</v>
      </c>
      <c r="BF806">
        <v>0</v>
      </c>
      <c r="BG806">
        <v>0</v>
      </c>
      <c r="BI806">
        <v>1</v>
      </c>
      <c r="BJ806">
        <v>1</v>
      </c>
      <c r="BK806">
        <v>1</v>
      </c>
      <c r="BL806">
        <v>0</v>
      </c>
      <c r="BO806">
        <v>0</v>
      </c>
      <c r="BP806">
        <v>0</v>
      </c>
      <c r="BW806" t="str">
        <f>"19:17:18.847"</f>
        <v>19:17:18.847</v>
      </c>
      <c r="BX806" t="s">
        <v>119</v>
      </c>
      <c r="BY806" t="s">
        <v>120</v>
      </c>
      <c r="CJ806">
        <v>0</v>
      </c>
      <c r="CK806">
        <v>0</v>
      </c>
      <c r="CL806">
        <v>0</v>
      </c>
      <c r="CM806">
        <v>2</v>
      </c>
      <c r="CN806">
        <v>0</v>
      </c>
      <c r="CO806">
        <v>6</v>
      </c>
      <c r="CP806" t="s">
        <v>121</v>
      </c>
      <c r="CQ806">
        <v>582</v>
      </c>
      <c r="CR806">
        <v>0</v>
      </c>
      <c r="CW806">
        <v>6582177</v>
      </c>
      <c r="CY806">
        <v>0</v>
      </c>
      <c r="CZ806">
        <v>0</v>
      </c>
      <c r="DA806">
        <v>0</v>
      </c>
      <c r="DB806">
        <v>1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</row>
    <row r="807" spans="1:113" x14ac:dyDescent="0.3">
      <c r="A807" t="str">
        <f>"06/16/2022 19:17:20.065"</f>
        <v>06/16/2022 19:17:20.065</v>
      </c>
      <c r="C807" t="str">
        <f t="shared" si="39"/>
        <v>FFBF5BC0</v>
      </c>
      <c r="D807" t="s">
        <v>113</v>
      </c>
      <c r="E807">
        <v>8</v>
      </c>
      <c r="H807">
        <v>206</v>
      </c>
      <c r="I807" t="s">
        <v>114</v>
      </c>
      <c r="J807" t="s">
        <v>115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>"19:17:19.875"</f>
        <v>19:17:19.875</v>
      </c>
      <c r="T807" t="str">
        <f>"19:17:19.875"</f>
        <v>19:17:19.875</v>
      </c>
      <c r="U807" t="str">
        <f t="shared" si="37"/>
        <v>AB63B2</v>
      </c>
      <c r="V807">
        <v>0</v>
      </c>
      <c r="W807">
        <v>0</v>
      </c>
      <c r="X807">
        <v>6</v>
      </c>
      <c r="Z807">
        <v>0</v>
      </c>
      <c r="AA807">
        <v>9</v>
      </c>
      <c r="AB807">
        <v>3</v>
      </c>
      <c r="AC807">
        <v>0</v>
      </c>
      <c r="AD807">
        <v>10</v>
      </c>
      <c r="AE807">
        <v>0</v>
      </c>
      <c r="AF807">
        <v>0</v>
      </c>
      <c r="AG807">
        <v>2</v>
      </c>
      <c r="AH807">
        <v>0</v>
      </c>
      <c r="AI807" t="s">
        <v>734</v>
      </c>
      <c r="AJ807">
        <v>41.973866999999998</v>
      </c>
      <c r="AK807" t="s">
        <v>277</v>
      </c>
      <c r="AL807">
        <v>-87.894316000000003</v>
      </c>
      <c r="AS807">
        <v>1</v>
      </c>
      <c r="AT807" t="s">
        <v>118</v>
      </c>
      <c r="AU807" t="b">
        <v>1</v>
      </c>
      <c r="AV807">
        <v>0</v>
      </c>
      <c r="AW807">
        <v>11.125</v>
      </c>
      <c r="AX807">
        <v>1</v>
      </c>
      <c r="AZ807">
        <v>7205</v>
      </c>
      <c r="BA807">
        <v>1</v>
      </c>
      <c r="BB807" t="str">
        <f t="shared" si="38"/>
        <v xml:space="preserve">KAP400  </v>
      </c>
      <c r="BC807">
        <v>1</v>
      </c>
      <c r="BE807">
        <v>0</v>
      </c>
      <c r="BF807">
        <v>0</v>
      </c>
      <c r="BG807">
        <v>0</v>
      </c>
      <c r="BI807">
        <v>1</v>
      </c>
      <c r="BJ807">
        <v>1</v>
      </c>
      <c r="BK807">
        <v>1</v>
      </c>
      <c r="BL807">
        <v>0</v>
      </c>
      <c r="BO807">
        <v>0</v>
      </c>
      <c r="BP807">
        <v>0</v>
      </c>
      <c r="BW807" t="str">
        <f>"19:17:19.877"</f>
        <v>19:17:19.877</v>
      </c>
      <c r="BX807" t="s">
        <v>119</v>
      </c>
      <c r="BY807" t="s">
        <v>120</v>
      </c>
      <c r="CJ807">
        <v>0</v>
      </c>
      <c r="CK807">
        <v>0</v>
      </c>
      <c r="CL807">
        <v>0</v>
      </c>
      <c r="CM807">
        <v>2</v>
      </c>
      <c r="CN807">
        <v>0</v>
      </c>
      <c r="CO807">
        <v>7</v>
      </c>
      <c r="CP807" t="s">
        <v>121</v>
      </c>
      <c r="CQ807">
        <v>580</v>
      </c>
      <c r="CR807">
        <v>0</v>
      </c>
      <c r="CW807">
        <v>831817</v>
      </c>
      <c r="CY807">
        <v>0</v>
      </c>
      <c r="CZ807">
        <v>0</v>
      </c>
      <c r="DA807">
        <v>0</v>
      </c>
      <c r="DB807">
        <v>1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</row>
    <row r="808" spans="1:113" x14ac:dyDescent="0.3">
      <c r="A808" t="str">
        <f>"06/16/2022 19:17:21.285"</f>
        <v>06/16/2022 19:17:21.285</v>
      </c>
      <c r="C808" t="str">
        <f t="shared" si="39"/>
        <v>FFBF5BC0</v>
      </c>
      <c r="D808" t="s">
        <v>113</v>
      </c>
      <c r="E808">
        <v>8</v>
      </c>
      <c r="H808">
        <v>206</v>
      </c>
      <c r="I808" t="s">
        <v>114</v>
      </c>
      <c r="J808" t="s">
        <v>115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>"19:17:20.961"</f>
        <v>19:17:20.961</v>
      </c>
      <c r="T808" t="str">
        <f>"19:17:20.961"</f>
        <v>19:17:20.961</v>
      </c>
      <c r="U808" t="str">
        <f t="shared" si="37"/>
        <v>AB63B2</v>
      </c>
      <c r="V808">
        <v>0</v>
      </c>
      <c r="W808">
        <v>0</v>
      </c>
      <c r="X808">
        <v>6</v>
      </c>
      <c r="Z808">
        <v>0</v>
      </c>
      <c r="AA808">
        <v>9</v>
      </c>
      <c r="AB808">
        <v>3</v>
      </c>
      <c r="AC808">
        <v>0</v>
      </c>
      <c r="AD808">
        <v>10</v>
      </c>
      <c r="AE808">
        <v>0</v>
      </c>
      <c r="AF808">
        <v>0</v>
      </c>
      <c r="AG808">
        <v>2</v>
      </c>
      <c r="AH808">
        <v>0</v>
      </c>
      <c r="AI808" t="s">
        <v>735</v>
      </c>
      <c r="AJ808">
        <v>41.973909999999997</v>
      </c>
      <c r="AK808" t="s">
        <v>277</v>
      </c>
      <c r="AL808">
        <v>-87.894316000000003</v>
      </c>
      <c r="AS808">
        <v>1</v>
      </c>
      <c r="AT808" t="s">
        <v>118</v>
      </c>
      <c r="AU808" t="b">
        <v>1</v>
      </c>
      <c r="AV808">
        <v>0</v>
      </c>
      <c r="AW808">
        <v>11.625</v>
      </c>
      <c r="AX808">
        <v>1</v>
      </c>
      <c r="AZ808">
        <v>7205</v>
      </c>
      <c r="BA808">
        <v>1</v>
      </c>
      <c r="BB808" t="str">
        <f t="shared" si="38"/>
        <v xml:space="preserve">KAP400  </v>
      </c>
      <c r="BC808">
        <v>1</v>
      </c>
      <c r="BE808">
        <v>0</v>
      </c>
      <c r="BF808">
        <v>0</v>
      </c>
      <c r="BG808">
        <v>0</v>
      </c>
      <c r="BI808">
        <v>1</v>
      </c>
      <c r="BJ808">
        <v>1</v>
      </c>
      <c r="BK808">
        <v>1</v>
      </c>
      <c r="BL808">
        <v>0</v>
      </c>
      <c r="BO808">
        <v>0</v>
      </c>
      <c r="BP808">
        <v>0</v>
      </c>
      <c r="BW808" t="str">
        <f>"19:17:20.965"</f>
        <v>19:17:20.965</v>
      </c>
      <c r="BX808" t="s">
        <v>119</v>
      </c>
      <c r="BY808" t="s">
        <v>120</v>
      </c>
      <c r="CJ808">
        <v>0</v>
      </c>
      <c r="CK808">
        <v>0</v>
      </c>
      <c r="CL808">
        <v>0</v>
      </c>
      <c r="CM808">
        <v>2</v>
      </c>
      <c r="CN808">
        <v>0</v>
      </c>
      <c r="CO808">
        <v>5</v>
      </c>
      <c r="CP808" t="s">
        <v>121</v>
      </c>
      <c r="CQ808">
        <v>582</v>
      </c>
      <c r="CR808">
        <v>0</v>
      </c>
      <c r="CW808">
        <v>6584830</v>
      </c>
      <c r="CY808">
        <v>0</v>
      </c>
      <c r="CZ808">
        <v>0</v>
      </c>
      <c r="DA808">
        <v>0</v>
      </c>
      <c r="DB808">
        <v>1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</row>
    <row r="809" spans="1:113" x14ac:dyDescent="0.3">
      <c r="A809" t="str">
        <f>"06/16/2022 19:17:22.237"</f>
        <v>06/16/2022 19:17:22.237</v>
      </c>
      <c r="C809" t="str">
        <f t="shared" si="39"/>
        <v>FFBF5BC0</v>
      </c>
      <c r="D809" t="s">
        <v>113</v>
      </c>
      <c r="E809">
        <v>8</v>
      </c>
      <c r="H809">
        <v>206</v>
      </c>
      <c r="I809" t="s">
        <v>114</v>
      </c>
      <c r="J809" t="s">
        <v>115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>"19:17:22.023"</f>
        <v>19:17:22.023</v>
      </c>
      <c r="T809" t="str">
        <f>"19:17:22.023"</f>
        <v>19:17:22.023</v>
      </c>
      <c r="U809" t="str">
        <f t="shared" si="37"/>
        <v>AB63B2</v>
      </c>
      <c r="V809">
        <v>0</v>
      </c>
      <c r="W809">
        <v>0</v>
      </c>
      <c r="X809">
        <v>6</v>
      </c>
      <c r="Z809">
        <v>0</v>
      </c>
      <c r="AA809">
        <v>9</v>
      </c>
      <c r="AB809">
        <v>3</v>
      </c>
      <c r="AC809">
        <v>0</v>
      </c>
      <c r="AD809">
        <v>10</v>
      </c>
      <c r="AE809">
        <v>0</v>
      </c>
      <c r="AF809">
        <v>0</v>
      </c>
      <c r="AG809">
        <v>2</v>
      </c>
      <c r="AH809">
        <v>0</v>
      </c>
      <c r="AI809" t="s">
        <v>409</v>
      </c>
      <c r="AJ809">
        <v>41.973975000000003</v>
      </c>
      <c r="AK809" t="s">
        <v>728</v>
      </c>
      <c r="AL809">
        <v>-87.894294000000002</v>
      </c>
      <c r="AS809">
        <v>1</v>
      </c>
      <c r="AT809" t="s">
        <v>118</v>
      </c>
      <c r="AU809" t="b">
        <v>1</v>
      </c>
      <c r="AV809">
        <v>0</v>
      </c>
      <c r="AW809">
        <v>11.625</v>
      </c>
      <c r="AX809">
        <v>1</v>
      </c>
      <c r="AZ809">
        <v>7205</v>
      </c>
      <c r="BA809">
        <v>1</v>
      </c>
      <c r="BB809" t="str">
        <f t="shared" si="38"/>
        <v xml:space="preserve">KAP400  </v>
      </c>
      <c r="BC809">
        <v>1</v>
      </c>
      <c r="BE809">
        <v>0</v>
      </c>
      <c r="BF809">
        <v>0</v>
      </c>
      <c r="BG809">
        <v>0</v>
      </c>
      <c r="BI809">
        <v>1</v>
      </c>
      <c r="BJ809">
        <v>1</v>
      </c>
      <c r="BK809">
        <v>1</v>
      </c>
      <c r="BL809">
        <v>0</v>
      </c>
      <c r="BO809">
        <v>0</v>
      </c>
      <c r="BP809">
        <v>0</v>
      </c>
      <c r="BW809" t="str">
        <f>"19:17:22.028"</f>
        <v>19:17:22.028</v>
      </c>
      <c r="BX809" t="s">
        <v>119</v>
      </c>
      <c r="BY809" t="s">
        <v>120</v>
      </c>
      <c r="CJ809">
        <v>0</v>
      </c>
      <c r="CK809">
        <v>0</v>
      </c>
      <c r="CL809">
        <v>0</v>
      </c>
      <c r="CM809">
        <v>2</v>
      </c>
      <c r="CN809">
        <v>0</v>
      </c>
      <c r="CO809">
        <v>5</v>
      </c>
      <c r="CP809" t="s">
        <v>121</v>
      </c>
      <c r="CQ809">
        <v>581</v>
      </c>
      <c r="CR809">
        <v>0</v>
      </c>
      <c r="CW809">
        <v>15680059</v>
      </c>
      <c r="CY809">
        <v>0</v>
      </c>
      <c r="CZ809">
        <v>0</v>
      </c>
      <c r="DA809">
        <v>0</v>
      </c>
      <c r="DB809">
        <v>1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</row>
    <row r="810" spans="1:113" x14ac:dyDescent="0.3">
      <c r="A810" t="str">
        <f>"06/16/2022 19:17:23.112"</f>
        <v>06/16/2022 19:17:23.112</v>
      </c>
      <c r="C810" t="str">
        <f t="shared" si="39"/>
        <v>FFBF5BC0</v>
      </c>
      <c r="D810" t="s">
        <v>113</v>
      </c>
      <c r="E810">
        <v>8</v>
      </c>
      <c r="H810">
        <v>206</v>
      </c>
      <c r="I810" t="s">
        <v>114</v>
      </c>
      <c r="J810" t="s">
        <v>115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>"19:17:22.898"</f>
        <v>19:17:22.898</v>
      </c>
      <c r="T810" t="str">
        <f>"19:17:22.898"</f>
        <v>19:17:22.898</v>
      </c>
      <c r="U810" t="str">
        <f t="shared" si="37"/>
        <v>AB63B2</v>
      </c>
      <c r="V810">
        <v>0</v>
      </c>
      <c r="W810">
        <v>0</v>
      </c>
      <c r="X810">
        <v>6</v>
      </c>
      <c r="Z810">
        <v>0</v>
      </c>
      <c r="AA810">
        <v>9</v>
      </c>
      <c r="AB810">
        <v>3</v>
      </c>
      <c r="AC810">
        <v>0</v>
      </c>
      <c r="AD810">
        <v>10</v>
      </c>
      <c r="AE810">
        <v>0</v>
      </c>
      <c r="AF810">
        <v>0</v>
      </c>
      <c r="AG810">
        <v>2</v>
      </c>
      <c r="AH810">
        <v>0</v>
      </c>
      <c r="AI810" t="s">
        <v>736</v>
      </c>
      <c r="AJ810">
        <v>41.974018000000001</v>
      </c>
      <c r="AK810" t="s">
        <v>277</v>
      </c>
      <c r="AL810">
        <v>-87.894316000000003</v>
      </c>
      <c r="AS810">
        <v>1</v>
      </c>
      <c r="AT810" t="s">
        <v>118</v>
      </c>
      <c r="AU810" t="b">
        <v>1</v>
      </c>
      <c r="AV810">
        <v>0</v>
      </c>
      <c r="AW810">
        <v>12.125</v>
      </c>
      <c r="AX810">
        <v>1</v>
      </c>
      <c r="AZ810">
        <v>7205</v>
      </c>
      <c r="BA810">
        <v>1</v>
      </c>
      <c r="BB810" t="str">
        <f t="shared" si="38"/>
        <v xml:space="preserve">KAP400  </v>
      </c>
      <c r="BC810">
        <v>1</v>
      </c>
      <c r="BE810">
        <v>0</v>
      </c>
      <c r="BF810">
        <v>0</v>
      </c>
      <c r="BG810">
        <v>0</v>
      </c>
      <c r="BI810">
        <v>1</v>
      </c>
      <c r="BJ810">
        <v>1</v>
      </c>
      <c r="BK810">
        <v>1</v>
      </c>
      <c r="BL810">
        <v>0</v>
      </c>
      <c r="BO810">
        <v>0</v>
      </c>
      <c r="BP810">
        <v>0</v>
      </c>
      <c r="BW810" t="str">
        <f>"19:17:22.903"</f>
        <v>19:17:22.903</v>
      </c>
      <c r="BX810" t="s">
        <v>119</v>
      </c>
      <c r="BY810" t="s">
        <v>120</v>
      </c>
      <c r="CJ810">
        <v>0</v>
      </c>
      <c r="CK810">
        <v>0</v>
      </c>
      <c r="CL810">
        <v>0</v>
      </c>
      <c r="CM810">
        <v>2</v>
      </c>
      <c r="CN810">
        <v>0</v>
      </c>
      <c r="CO810">
        <v>5</v>
      </c>
      <c r="CP810" t="s">
        <v>121</v>
      </c>
      <c r="CQ810">
        <v>581</v>
      </c>
      <c r="CR810">
        <v>0</v>
      </c>
      <c r="CW810">
        <v>15681353</v>
      </c>
      <c r="CY810">
        <v>0</v>
      </c>
      <c r="CZ810">
        <v>0</v>
      </c>
      <c r="DA810">
        <v>0</v>
      </c>
      <c r="DB810">
        <v>1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</row>
    <row r="811" spans="1:113" x14ac:dyDescent="0.3">
      <c r="A811" t="str">
        <f>"06/16/2022 19:17:24.222"</f>
        <v>06/16/2022 19:17:24.222</v>
      </c>
      <c r="C811" t="str">
        <f t="shared" si="39"/>
        <v>FFBF5BC0</v>
      </c>
      <c r="D811" t="s">
        <v>113</v>
      </c>
      <c r="E811">
        <v>8</v>
      </c>
      <c r="H811">
        <v>206</v>
      </c>
      <c r="I811" t="s">
        <v>114</v>
      </c>
      <c r="J811" t="s">
        <v>115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>"19:17:23.891"</f>
        <v>19:17:23.891</v>
      </c>
      <c r="T811" t="str">
        <f>"19:17:23.891"</f>
        <v>19:17:23.891</v>
      </c>
      <c r="U811" t="str">
        <f t="shared" si="37"/>
        <v>AB63B2</v>
      </c>
      <c r="V811">
        <v>0</v>
      </c>
      <c r="W811">
        <v>0</v>
      </c>
      <c r="X811">
        <v>6</v>
      </c>
      <c r="Z811">
        <v>0</v>
      </c>
      <c r="AA811">
        <v>9</v>
      </c>
      <c r="AB811">
        <v>3</v>
      </c>
      <c r="AC811">
        <v>0</v>
      </c>
      <c r="AD811">
        <v>10</v>
      </c>
      <c r="AE811">
        <v>0</v>
      </c>
      <c r="AF811">
        <v>0</v>
      </c>
      <c r="AG811">
        <v>2</v>
      </c>
      <c r="AH811">
        <v>0</v>
      </c>
      <c r="AI811" t="s">
        <v>737</v>
      </c>
      <c r="AJ811">
        <v>41.974082000000003</v>
      </c>
      <c r="AK811" t="s">
        <v>277</v>
      </c>
      <c r="AL811">
        <v>-87.894316000000003</v>
      </c>
      <c r="AS811">
        <v>1</v>
      </c>
      <c r="AT811" t="s">
        <v>118</v>
      </c>
      <c r="AU811" t="b">
        <v>1</v>
      </c>
      <c r="AV811">
        <v>0</v>
      </c>
      <c r="AW811">
        <v>12.125</v>
      </c>
      <c r="AX811">
        <v>1</v>
      </c>
      <c r="AZ811">
        <v>7205</v>
      </c>
      <c r="BA811">
        <v>1</v>
      </c>
      <c r="BB811" t="str">
        <f t="shared" si="38"/>
        <v xml:space="preserve">KAP400  </v>
      </c>
      <c r="BC811">
        <v>1</v>
      </c>
      <c r="BE811">
        <v>0</v>
      </c>
      <c r="BF811">
        <v>0</v>
      </c>
      <c r="BG811">
        <v>0</v>
      </c>
      <c r="BI811">
        <v>1</v>
      </c>
      <c r="BJ811">
        <v>1</v>
      </c>
      <c r="BK811">
        <v>1</v>
      </c>
      <c r="BL811">
        <v>0</v>
      </c>
      <c r="BO811">
        <v>0</v>
      </c>
      <c r="BP811">
        <v>0</v>
      </c>
      <c r="BW811" t="str">
        <f>"19:17:23.893"</f>
        <v>19:17:23.893</v>
      </c>
      <c r="BX811" t="s">
        <v>119</v>
      </c>
      <c r="BY811" t="s">
        <v>120</v>
      </c>
      <c r="CJ811">
        <v>0</v>
      </c>
      <c r="CK811">
        <v>0</v>
      </c>
      <c r="CL811">
        <v>0</v>
      </c>
      <c r="CM811">
        <v>2</v>
      </c>
      <c r="CN811">
        <v>0</v>
      </c>
      <c r="CO811">
        <v>7</v>
      </c>
      <c r="CP811" t="s">
        <v>121</v>
      </c>
      <c r="CQ811">
        <v>580</v>
      </c>
      <c r="CR811">
        <v>0</v>
      </c>
      <c r="CW811">
        <v>838982</v>
      </c>
      <c r="CY811">
        <v>0</v>
      </c>
      <c r="CZ811">
        <v>0</v>
      </c>
      <c r="DA811">
        <v>0</v>
      </c>
      <c r="DB811">
        <v>1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</row>
    <row r="812" spans="1:113" x14ac:dyDescent="0.3">
      <c r="A812" t="str">
        <f>"06/16/2022 19:17:24.988"</f>
        <v>06/16/2022 19:17:24.988</v>
      </c>
      <c r="C812" t="str">
        <f t="shared" si="39"/>
        <v>FFBF5BC0</v>
      </c>
      <c r="D812" t="s">
        <v>113</v>
      </c>
      <c r="E812">
        <v>8</v>
      </c>
      <c r="H812">
        <v>206</v>
      </c>
      <c r="I812" t="s">
        <v>114</v>
      </c>
      <c r="J812" t="s">
        <v>115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>"19:17:24.781"</f>
        <v>19:17:24.781</v>
      </c>
      <c r="T812" t="str">
        <f>"19:17:24.781"</f>
        <v>19:17:24.781</v>
      </c>
      <c r="U812" t="str">
        <f t="shared" si="37"/>
        <v>AB63B2</v>
      </c>
      <c r="V812">
        <v>0</v>
      </c>
      <c r="W812">
        <v>0</v>
      </c>
      <c r="X812">
        <v>6</v>
      </c>
      <c r="Z812">
        <v>0</v>
      </c>
      <c r="AA812">
        <v>9</v>
      </c>
      <c r="AB812">
        <v>3</v>
      </c>
      <c r="AC812">
        <v>0</v>
      </c>
      <c r="AD812">
        <v>10</v>
      </c>
      <c r="AE812">
        <v>0</v>
      </c>
      <c r="AF812">
        <v>0</v>
      </c>
      <c r="AG812">
        <v>2</v>
      </c>
      <c r="AH812">
        <v>0</v>
      </c>
      <c r="AI812" t="s">
        <v>405</v>
      </c>
      <c r="AJ812">
        <v>41.974125000000001</v>
      </c>
      <c r="AK812" t="s">
        <v>728</v>
      </c>
      <c r="AL812">
        <v>-87.894294000000002</v>
      </c>
      <c r="AS812">
        <v>1</v>
      </c>
      <c r="AT812" t="s">
        <v>118</v>
      </c>
      <c r="AU812" t="b">
        <v>1</v>
      </c>
      <c r="AV812">
        <v>0</v>
      </c>
      <c r="AW812">
        <v>12.625</v>
      </c>
      <c r="AX812">
        <v>1</v>
      </c>
      <c r="AZ812">
        <v>7205</v>
      </c>
      <c r="BA812">
        <v>1</v>
      </c>
      <c r="BB812" t="str">
        <f t="shared" si="38"/>
        <v xml:space="preserve">KAP400  </v>
      </c>
      <c r="BC812">
        <v>1</v>
      </c>
      <c r="BE812">
        <v>0</v>
      </c>
      <c r="BF812">
        <v>0</v>
      </c>
      <c r="BG812">
        <v>0</v>
      </c>
      <c r="BI812">
        <v>1</v>
      </c>
      <c r="BJ812">
        <v>1</v>
      </c>
      <c r="BK812">
        <v>1</v>
      </c>
      <c r="BL812">
        <v>0</v>
      </c>
      <c r="BO812">
        <v>0</v>
      </c>
      <c r="BP812">
        <v>0</v>
      </c>
      <c r="BW812" t="str">
        <f>"19:17:24.787"</f>
        <v>19:17:24.787</v>
      </c>
      <c r="BX812" t="s">
        <v>119</v>
      </c>
      <c r="BY812" t="s">
        <v>120</v>
      </c>
      <c r="CJ812">
        <v>0</v>
      </c>
      <c r="CK812">
        <v>0</v>
      </c>
      <c r="CL812">
        <v>0</v>
      </c>
      <c r="CM812">
        <v>2</v>
      </c>
      <c r="CN812">
        <v>0</v>
      </c>
      <c r="CO812">
        <v>7</v>
      </c>
      <c r="CP812" t="s">
        <v>121</v>
      </c>
      <c r="CQ812">
        <v>580</v>
      </c>
      <c r="CR812">
        <v>0</v>
      </c>
      <c r="CW812">
        <v>840577</v>
      </c>
      <c r="CY812">
        <v>0</v>
      </c>
      <c r="CZ812">
        <v>0</v>
      </c>
      <c r="DA812">
        <v>0</v>
      </c>
      <c r="DB812">
        <v>1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</row>
    <row r="813" spans="1:113" x14ac:dyDescent="0.3">
      <c r="A813" t="str">
        <f>"06/16/2022 19:17:26.003"</f>
        <v>06/16/2022 19:17:26.003</v>
      </c>
      <c r="C813" t="str">
        <f t="shared" si="39"/>
        <v>FFBF5BC0</v>
      </c>
      <c r="D813" t="s">
        <v>113</v>
      </c>
      <c r="E813">
        <v>8</v>
      </c>
      <c r="H813">
        <v>206</v>
      </c>
      <c r="I813" t="s">
        <v>114</v>
      </c>
      <c r="J813" t="s">
        <v>115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>"19:17:25.758"</f>
        <v>19:17:25.758</v>
      </c>
      <c r="T813" t="str">
        <f>"19:17:25.758"</f>
        <v>19:17:25.758</v>
      </c>
      <c r="U813" t="str">
        <f t="shared" si="37"/>
        <v>AB63B2</v>
      </c>
      <c r="V813">
        <v>0</v>
      </c>
      <c r="W813">
        <v>0</v>
      </c>
      <c r="X813">
        <v>6</v>
      </c>
      <c r="Z813">
        <v>0</v>
      </c>
      <c r="AA813">
        <v>9</v>
      </c>
      <c r="AB813">
        <v>3</v>
      </c>
      <c r="AC813">
        <v>0</v>
      </c>
      <c r="AD813">
        <v>10</v>
      </c>
      <c r="AE813">
        <v>0</v>
      </c>
      <c r="AF813">
        <v>0</v>
      </c>
      <c r="AG813">
        <v>2</v>
      </c>
      <c r="AH813">
        <v>0</v>
      </c>
      <c r="AI813" t="s">
        <v>738</v>
      </c>
      <c r="AJ813">
        <v>41.974189000000003</v>
      </c>
      <c r="AK813" t="s">
        <v>277</v>
      </c>
      <c r="AL813">
        <v>-87.894316000000003</v>
      </c>
      <c r="AS813">
        <v>1</v>
      </c>
      <c r="AT813" t="s">
        <v>118</v>
      </c>
      <c r="AU813" t="b">
        <v>1</v>
      </c>
      <c r="AV813">
        <v>0</v>
      </c>
      <c r="AW813">
        <v>12.625</v>
      </c>
      <c r="AX813">
        <v>1</v>
      </c>
      <c r="AZ813">
        <v>7205</v>
      </c>
      <c r="BA813">
        <v>1</v>
      </c>
      <c r="BB813" t="str">
        <f t="shared" si="38"/>
        <v xml:space="preserve">KAP400  </v>
      </c>
      <c r="BC813">
        <v>1</v>
      </c>
      <c r="BE813">
        <v>0</v>
      </c>
      <c r="BF813">
        <v>0</v>
      </c>
      <c r="BG813">
        <v>0</v>
      </c>
      <c r="BI813">
        <v>1</v>
      </c>
      <c r="BJ813">
        <v>1</v>
      </c>
      <c r="BK813">
        <v>1</v>
      </c>
      <c r="BL813">
        <v>0</v>
      </c>
      <c r="BO813">
        <v>0</v>
      </c>
      <c r="BP813">
        <v>0</v>
      </c>
      <c r="BW813" t="str">
        <f>"19:17:25.764"</f>
        <v>19:17:25.764</v>
      </c>
      <c r="BX813" t="s">
        <v>119</v>
      </c>
      <c r="BY813" t="s">
        <v>120</v>
      </c>
      <c r="CJ813">
        <v>0</v>
      </c>
      <c r="CK813">
        <v>0</v>
      </c>
      <c r="CL813">
        <v>0</v>
      </c>
      <c r="CM813">
        <v>2</v>
      </c>
      <c r="CN813">
        <v>0</v>
      </c>
      <c r="CO813">
        <v>7</v>
      </c>
      <c r="CP813" t="s">
        <v>121</v>
      </c>
      <c r="CQ813">
        <v>580</v>
      </c>
      <c r="CR813">
        <v>0</v>
      </c>
      <c r="CW813">
        <v>842277</v>
      </c>
      <c r="CY813">
        <v>0</v>
      </c>
      <c r="CZ813">
        <v>0</v>
      </c>
      <c r="DA813">
        <v>0</v>
      </c>
      <c r="DB813">
        <v>1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</row>
    <row r="814" spans="1:113" x14ac:dyDescent="0.3">
      <c r="A814" t="str">
        <f>"06/16/2022 19:17:27.675"</f>
        <v>06/16/2022 19:17:27.675</v>
      </c>
      <c r="C814" t="str">
        <f t="shared" si="39"/>
        <v>FFBF5BC0</v>
      </c>
      <c r="D814" t="s">
        <v>113</v>
      </c>
      <c r="E814">
        <v>8</v>
      </c>
      <c r="H814">
        <v>206</v>
      </c>
      <c r="I814" t="s">
        <v>114</v>
      </c>
      <c r="J814" t="s">
        <v>115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>"19:17:27.367"</f>
        <v>19:17:27.367</v>
      </c>
      <c r="T814" t="str">
        <f>"19:17:27.367"</f>
        <v>19:17:27.367</v>
      </c>
      <c r="U814" t="str">
        <f t="shared" si="37"/>
        <v>AB63B2</v>
      </c>
      <c r="V814">
        <v>0</v>
      </c>
      <c r="W814">
        <v>0</v>
      </c>
      <c r="X814">
        <v>6</v>
      </c>
      <c r="Z814">
        <v>0</v>
      </c>
      <c r="AA814">
        <v>9</v>
      </c>
      <c r="AB814">
        <v>3</v>
      </c>
      <c r="AC814">
        <v>0</v>
      </c>
      <c r="AD814">
        <v>10</v>
      </c>
      <c r="AE814">
        <v>0</v>
      </c>
      <c r="AF814">
        <v>0</v>
      </c>
      <c r="AG814">
        <v>2</v>
      </c>
      <c r="AH814">
        <v>0</v>
      </c>
      <c r="AI814" t="s">
        <v>739</v>
      </c>
      <c r="AJ814">
        <v>41.974274999999999</v>
      </c>
      <c r="AK814" t="s">
        <v>728</v>
      </c>
      <c r="AL814">
        <v>-87.894294000000002</v>
      </c>
      <c r="AS814">
        <v>1</v>
      </c>
      <c r="AT814" t="s">
        <v>118</v>
      </c>
      <c r="AU814" t="b">
        <v>1</v>
      </c>
      <c r="AV814">
        <v>0</v>
      </c>
      <c r="AW814">
        <v>12.625</v>
      </c>
      <c r="AX814">
        <v>1</v>
      </c>
      <c r="AZ814">
        <v>7205</v>
      </c>
      <c r="BA814">
        <v>1</v>
      </c>
      <c r="BB814" t="str">
        <f t="shared" si="38"/>
        <v xml:space="preserve">KAP400  </v>
      </c>
      <c r="BC814">
        <v>1</v>
      </c>
      <c r="BE814">
        <v>0</v>
      </c>
      <c r="BF814">
        <v>0</v>
      </c>
      <c r="BG814">
        <v>0</v>
      </c>
      <c r="BI814">
        <v>1</v>
      </c>
      <c r="BJ814">
        <v>1</v>
      </c>
      <c r="BK814">
        <v>1</v>
      </c>
      <c r="BL814">
        <v>0</v>
      </c>
      <c r="BO814">
        <v>0</v>
      </c>
      <c r="BP814">
        <v>0</v>
      </c>
      <c r="BW814" t="str">
        <f>"19:17:27.375"</f>
        <v>19:17:27.375</v>
      </c>
      <c r="BX814" t="s">
        <v>119</v>
      </c>
      <c r="BY814" t="s">
        <v>120</v>
      </c>
      <c r="CJ814">
        <v>0</v>
      </c>
      <c r="CK814">
        <v>0</v>
      </c>
      <c r="CL814">
        <v>0</v>
      </c>
      <c r="CM814">
        <v>2</v>
      </c>
      <c r="CN814">
        <v>0</v>
      </c>
      <c r="CO814">
        <v>6</v>
      </c>
      <c r="CP814" t="s">
        <v>121</v>
      </c>
      <c r="CQ814">
        <v>582</v>
      </c>
      <c r="CR814">
        <v>0</v>
      </c>
      <c r="CW814">
        <v>6593145</v>
      </c>
      <c r="CY814">
        <v>0</v>
      </c>
      <c r="CZ814">
        <v>0</v>
      </c>
      <c r="DA814">
        <v>0</v>
      </c>
      <c r="DB814">
        <v>1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</row>
    <row r="815" spans="1:113" x14ac:dyDescent="0.3">
      <c r="A815" t="str">
        <f>"06/16/2022 19:17:29.160"</f>
        <v>06/16/2022 19:17:29.160</v>
      </c>
      <c r="C815" t="str">
        <f t="shared" si="39"/>
        <v>FFBF5BC0</v>
      </c>
      <c r="D815" t="s">
        <v>113</v>
      </c>
      <c r="E815">
        <v>8</v>
      </c>
      <c r="H815">
        <v>206</v>
      </c>
      <c r="I815" t="s">
        <v>114</v>
      </c>
      <c r="J815" t="s">
        <v>115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>"19:17:28.930"</f>
        <v>19:17:28.930</v>
      </c>
      <c r="T815" t="str">
        <f>"19:17:28.930"</f>
        <v>19:17:28.930</v>
      </c>
      <c r="U815" t="str">
        <f t="shared" si="37"/>
        <v>AB63B2</v>
      </c>
      <c r="V815">
        <v>0</v>
      </c>
      <c r="W815">
        <v>0</v>
      </c>
      <c r="X815">
        <v>6</v>
      </c>
      <c r="Z815">
        <v>0</v>
      </c>
      <c r="AA815">
        <v>9</v>
      </c>
      <c r="AB815">
        <v>3</v>
      </c>
      <c r="AC815">
        <v>0</v>
      </c>
      <c r="AD815">
        <v>10</v>
      </c>
      <c r="AE815">
        <v>0</v>
      </c>
      <c r="AF815">
        <v>0</v>
      </c>
      <c r="AG815">
        <v>2</v>
      </c>
      <c r="AH815">
        <v>0</v>
      </c>
      <c r="AI815" t="s">
        <v>740</v>
      </c>
      <c r="AJ815">
        <v>41.974361000000002</v>
      </c>
      <c r="AK815" t="s">
        <v>277</v>
      </c>
      <c r="AL815">
        <v>-87.894316000000003</v>
      </c>
      <c r="AS815">
        <v>1</v>
      </c>
      <c r="AT815" t="s">
        <v>118</v>
      </c>
      <c r="AU815" t="b">
        <v>1</v>
      </c>
      <c r="AV815">
        <v>0</v>
      </c>
      <c r="AW815">
        <v>12.625</v>
      </c>
      <c r="AX815">
        <v>1</v>
      </c>
      <c r="AZ815">
        <v>7205</v>
      </c>
      <c r="BA815">
        <v>1</v>
      </c>
      <c r="BB815" t="str">
        <f t="shared" si="38"/>
        <v xml:space="preserve">KAP400  </v>
      </c>
      <c r="BC815">
        <v>1</v>
      </c>
      <c r="BE815">
        <v>0</v>
      </c>
      <c r="BF815">
        <v>0</v>
      </c>
      <c r="BG815">
        <v>0</v>
      </c>
      <c r="BI815">
        <v>1</v>
      </c>
      <c r="BJ815">
        <v>1</v>
      </c>
      <c r="BK815">
        <v>1</v>
      </c>
      <c r="BL815">
        <v>0</v>
      </c>
      <c r="BO815">
        <v>0</v>
      </c>
      <c r="BP815">
        <v>0</v>
      </c>
      <c r="BW815" t="str">
        <f>"19:17:28.933"</f>
        <v>19:17:28.933</v>
      </c>
      <c r="BX815" t="s">
        <v>119</v>
      </c>
      <c r="BY815" t="s">
        <v>120</v>
      </c>
      <c r="CJ815">
        <v>0</v>
      </c>
      <c r="CK815">
        <v>0</v>
      </c>
      <c r="CL815">
        <v>0</v>
      </c>
      <c r="CM815">
        <v>2</v>
      </c>
      <c r="CN815">
        <v>0</v>
      </c>
      <c r="CO815">
        <v>6</v>
      </c>
      <c r="CP815" t="s">
        <v>121</v>
      </c>
      <c r="CQ815">
        <v>582</v>
      </c>
      <c r="CR815">
        <v>0</v>
      </c>
      <c r="CW815">
        <v>6595157</v>
      </c>
      <c r="CY815">
        <v>0</v>
      </c>
      <c r="CZ815">
        <v>0</v>
      </c>
      <c r="DA815">
        <v>0</v>
      </c>
      <c r="DB815">
        <v>1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</row>
    <row r="816" spans="1:113" x14ac:dyDescent="0.3">
      <c r="A816" t="str">
        <f>"06/16/2022 19:17:30.066"</f>
        <v>06/16/2022 19:17:30.066</v>
      </c>
      <c r="C816" t="str">
        <f t="shared" si="39"/>
        <v>FFBF5BC0</v>
      </c>
      <c r="D816" t="s">
        <v>113</v>
      </c>
      <c r="E816">
        <v>8</v>
      </c>
      <c r="H816">
        <v>206</v>
      </c>
      <c r="I816" t="s">
        <v>114</v>
      </c>
      <c r="J816" t="s">
        <v>115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>"19:17:29.844"</f>
        <v>19:17:29.844</v>
      </c>
      <c r="T816" t="str">
        <f>"19:17:29.844"</f>
        <v>19:17:29.844</v>
      </c>
      <c r="U816" t="str">
        <f t="shared" si="37"/>
        <v>AB63B2</v>
      </c>
      <c r="V816">
        <v>0</v>
      </c>
      <c r="W816">
        <v>0</v>
      </c>
      <c r="X816">
        <v>6</v>
      </c>
      <c r="Z816">
        <v>0</v>
      </c>
      <c r="AA816">
        <v>9</v>
      </c>
      <c r="AB816">
        <v>3</v>
      </c>
      <c r="AC816">
        <v>0</v>
      </c>
      <c r="AD816">
        <v>10</v>
      </c>
      <c r="AE816">
        <v>0</v>
      </c>
      <c r="AF816">
        <v>0</v>
      </c>
      <c r="AG816">
        <v>2</v>
      </c>
      <c r="AH816">
        <v>0</v>
      </c>
      <c r="AI816" t="s">
        <v>399</v>
      </c>
      <c r="AJ816">
        <v>41.974424999999997</v>
      </c>
      <c r="AK816" t="s">
        <v>277</v>
      </c>
      <c r="AL816">
        <v>-87.894316000000003</v>
      </c>
      <c r="AS816">
        <v>1</v>
      </c>
      <c r="AT816" t="s">
        <v>118</v>
      </c>
      <c r="AU816" t="b">
        <v>1</v>
      </c>
      <c r="AV816">
        <v>0</v>
      </c>
      <c r="AW816">
        <v>13.125</v>
      </c>
      <c r="AX816">
        <v>1</v>
      </c>
      <c r="AZ816">
        <v>7205</v>
      </c>
      <c r="BA816">
        <v>1</v>
      </c>
      <c r="BB816" t="str">
        <f t="shared" si="38"/>
        <v xml:space="preserve">KAP400  </v>
      </c>
      <c r="BC816">
        <v>1</v>
      </c>
      <c r="BE816">
        <v>0</v>
      </c>
      <c r="BF816">
        <v>0</v>
      </c>
      <c r="BG816">
        <v>0</v>
      </c>
      <c r="BI816">
        <v>1</v>
      </c>
      <c r="BJ816">
        <v>1</v>
      </c>
      <c r="BK816">
        <v>1</v>
      </c>
      <c r="BL816">
        <v>0</v>
      </c>
      <c r="BO816">
        <v>0</v>
      </c>
      <c r="BP816">
        <v>0</v>
      </c>
      <c r="BW816" t="str">
        <f>"19:17:29.849"</f>
        <v>19:17:29.849</v>
      </c>
      <c r="BX816" t="s">
        <v>119</v>
      </c>
      <c r="BY816" t="s">
        <v>120</v>
      </c>
      <c r="CJ816">
        <v>0</v>
      </c>
      <c r="CK816">
        <v>0</v>
      </c>
      <c r="CL816">
        <v>0</v>
      </c>
      <c r="CM816">
        <v>2</v>
      </c>
      <c r="CN816">
        <v>0</v>
      </c>
      <c r="CO816">
        <v>6</v>
      </c>
      <c r="CP816" t="s">
        <v>121</v>
      </c>
      <c r="CQ816">
        <v>580</v>
      </c>
      <c r="CR816">
        <v>0</v>
      </c>
      <c r="CW816">
        <v>849541</v>
      </c>
      <c r="CY816">
        <v>0</v>
      </c>
      <c r="CZ816">
        <v>0</v>
      </c>
      <c r="DA816">
        <v>0</v>
      </c>
      <c r="DB816">
        <v>1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</row>
    <row r="817" spans="1:113" x14ac:dyDescent="0.3">
      <c r="A817" t="str">
        <f>"06/16/2022 19:17:31.222"</f>
        <v>06/16/2022 19:17:31.222</v>
      </c>
      <c r="C817" t="str">
        <f t="shared" si="39"/>
        <v>FFBF5BC0</v>
      </c>
      <c r="D817" t="s">
        <v>113</v>
      </c>
      <c r="E817">
        <v>8</v>
      </c>
      <c r="H817">
        <v>206</v>
      </c>
      <c r="I817" t="s">
        <v>114</v>
      </c>
      <c r="J817" t="s">
        <v>115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>"19:17:30.914"</f>
        <v>19:17:30.914</v>
      </c>
      <c r="T817" t="str">
        <f>"19:17:30.914"</f>
        <v>19:17:30.914</v>
      </c>
      <c r="U817" t="str">
        <f t="shared" si="37"/>
        <v>AB63B2</v>
      </c>
      <c r="V817">
        <v>0</v>
      </c>
      <c r="W817">
        <v>0</v>
      </c>
      <c r="X817">
        <v>6</v>
      </c>
      <c r="Z817">
        <v>0</v>
      </c>
      <c r="AA817">
        <v>9</v>
      </c>
      <c r="AB817">
        <v>3</v>
      </c>
      <c r="AC817">
        <v>0</v>
      </c>
      <c r="AD817">
        <v>10</v>
      </c>
      <c r="AE817">
        <v>0</v>
      </c>
      <c r="AF817">
        <v>0</v>
      </c>
      <c r="AG817">
        <v>2</v>
      </c>
      <c r="AH817">
        <v>0</v>
      </c>
      <c r="AI817" t="s">
        <v>741</v>
      </c>
      <c r="AJ817">
        <v>41.974490000000003</v>
      </c>
      <c r="AK817" t="s">
        <v>277</v>
      </c>
      <c r="AL817">
        <v>-87.894316000000003</v>
      </c>
      <c r="AS817">
        <v>1</v>
      </c>
      <c r="AT817" t="s">
        <v>118</v>
      </c>
      <c r="AU817" t="b">
        <v>1</v>
      </c>
      <c r="AV817">
        <v>0</v>
      </c>
      <c r="AW817">
        <v>13.125</v>
      </c>
      <c r="AX817">
        <v>1</v>
      </c>
      <c r="AZ817">
        <v>7205</v>
      </c>
      <c r="BA817">
        <v>1</v>
      </c>
      <c r="BB817" t="str">
        <f t="shared" si="38"/>
        <v xml:space="preserve">KAP400  </v>
      </c>
      <c r="BC817">
        <v>1</v>
      </c>
      <c r="BE817">
        <v>0</v>
      </c>
      <c r="BF817">
        <v>0</v>
      </c>
      <c r="BG817">
        <v>0</v>
      </c>
      <c r="BI817">
        <v>1</v>
      </c>
      <c r="BJ817">
        <v>1</v>
      </c>
      <c r="BK817">
        <v>1</v>
      </c>
      <c r="BL817">
        <v>0</v>
      </c>
      <c r="BO817">
        <v>0</v>
      </c>
      <c r="BP817">
        <v>0</v>
      </c>
      <c r="BW817" t="str">
        <f>"19:17:30.917"</f>
        <v>19:17:30.917</v>
      </c>
      <c r="BX817" t="s">
        <v>119</v>
      </c>
      <c r="BY817" t="s">
        <v>120</v>
      </c>
      <c r="CJ817">
        <v>0</v>
      </c>
      <c r="CK817">
        <v>0</v>
      </c>
      <c r="CL817">
        <v>0</v>
      </c>
      <c r="CM817">
        <v>2</v>
      </c>
      <c r="CN817">
        <v>0</v>
      </c>
      <c r="CO817">
        <v>6</v>
      </c>
      <c r="CP817" t="s">
        <v>121</v>
      </c>
      <c r="CQ817">
        <v>580</v>
      </c>
      <c r="CR817">
        <v>0</v>
      </c>
      <c r="CW817">
        <v>851422</v>
      </c>
      <c r="CY817">
        <v>0</v>
      </c>
      <c r="CZ817">
        <v>0</v>
      </c>
      <c r="DA817">
        <v>0</v>
      </c>
      <c r="DB817">
        <v>1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</row>
    <row r="818" spans="1:113" x14ac:dyDescent="0.3">
      <c r="A818" t="str">
        <f>"06/16/2022 19:17:32.894"</f>
        <v>06/16/2022 19:17:32.894</v>
      </c>
      <c r="C818" t="str">
        <f t="shared" si="39"/>
        <v>FFBF5BC0</v>
      </c>
      <c r="D818" t="s">
        <v>113</v>
      </c>
      <c r="E818">
        <v>8</v>
      </c>
      <c r="H818">
        <v>206</v>
      </c>
      <c r="I818" t="s">
        <v>114</v>
      </c>
      <c r="J818" t="s">
        <v>115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>"19:17:32.602"</f>
        <v>19:17:32.602</v>
      </c>
      <c r="T818" t="str">
        <f>"19:17:32.602"</f>
        <v>19:17:32.602</v>
      </c>
      <c r="U818" t="str">
        <f t="shared" si="37"/>
        <v>AB63B2</v>
      </c>
      <c r="V818">
        <v>0</v>
      </c>
      <c r="W818">
        <v>0</v>
      </c>
      <c r="X818">
        <v>6</v>
      </c>
      <c r="Z818">
        <v>0</v>
      </c>
      <c r="AA818">
        <v>9</v>
      </c>
      <c r="AB818">
        <v>3</v>
      </c>
      <c r="AC818">
        <v>0</v>
      </c>
      <c r="AD818">
        <v>10</v>
      </c>
      <c r="AE818">
        <v>0</v>
      </c>
      <c r="AF818">
        <v>0</v>
      </c>
      <c r="AG818">
        <v>2</v>
      </c>
      <c r="AH818">
        <v>0</v>
      </c>
      <c r="AI818" t="s">
        <v>398</v>
      </c>
      <c r="AJ818">
        <v>41.974575999999999</v>
      </c>
      <c r="AK818" t="s">
        <v>277</v>
      </c>
      <c r="AL818">
        <v>-87.894316000000003</v>
      </c>
      <c r="AS818">
        <v>1</v>
      </c>
      <c r="AT818" t="s">
        <v>118</v>
      </c>
      <c r="AU818" t="b">
        <v>1</v>
      </c>
      <c r="AV818">
        <v>0</v>
      </c>
      <c r="AW818">
        <v>13.625</v>
      </c>
      <c r="AX818">
        <v>1</v>
      </c>
      <c r="AZ818">
        <v>7205</v>
      </c>
      <c r="BA818">
        <v>1</v>
      </c>
      <c r="BB818" t="str">
        <f t="shared" si="38"/>
        <v xml:space="preserve">KAP400  </v>
      </c>
      <c r="BC818">
        <v>1</v>
      </c>
      <c r="BE818">
        <v>0</v>
      </c>
      <c r="BF818">
        <v>0</v>
      </c>
      <c r="BG818">
        <v>0</v>
      </c>
      <c r="BI818">
        <v>1</v>
      </c>
      <c r="BJ818">
        <v>1</v>
      </c>
      <c r="BK818">
        <v>1</v>
      </c>
      <c r="BL818">
        <v>0</v>
      </c>
      <c r="BO818">
        <v>0</v>
      </c>
      <c r="BP818">
        <v>0</v>
      </c>
      <c r="BW818" t="str">
        <f>"19:17:32.608"</f>
        <v>19:17:32.608</v>
      </c>
      <c r="BX818" t="s">
        <v>119</v>
      </c>
      <c r="BY818" t="s">
        <v>120</v>
      </c>
      <c r="CJ818">
        <v>0</v>
      </c>
      <c r="CK818">
        <v>0</v>
      </c>
      <c r="CL818">
        <v>0</v>
      </c>
      <c r="CM818">
        <v>2</v>
      </c>
      <c r="CN818">
        <v>0</v>
      </c>
      <c r="CO818">
        <v>6</v>
      </c>
      <c r="CP818" t="s">
        <v>121</v>
      </c>
      <c r="CQ818">
        <v>579</v>
      </c>
      <c r="CR818">
        <v>0</v>
      </c>
      <c r="CW818">
        <v>1983121</v>
      </c>
      <c r="CY818">
        <v>0</v>
      </c>
      <c r="CZ818">
        <v>0</v>
      </c>
      <c r="DA818">
        <v>0</v>
      </c>
      <c r="DB818">
        <v>1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</row>
    <row r="819" spans="1:113" x14ac:dyDescent="0.3">
      <c r="A819" t="str">
        <f>"06/16/2022 19:17:33.800"</f>
        <v>06/16/2022 19:17:33.800</v>
      </c>
      <c r="C819" t="str">
        <f t="shared" si="39"/>
        <v>FFBF5BC0</v>
      </c>
      <c r="D819" t="s">
        <v>113</v>
      </c>
      <c r="E819">
        <v>8</v>
      </c>
      <c r="H819">
        <v>206</v>
      </c>
      <c r="I819" t="s">
        <v>114</v>
      </c>
      <c r="J819" t="s">
        <v>115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>"19:17:33.492"</f>
        <v>19:17:33.492</v>
      </c>
      <c r="T819" t="str">
        <f>"19:17:33.492"</f>
        <v>19:17:33.492</v>
      </c>
      <c r="U819" t="str">
        <f t="shared" si="37"/>
        <v>AB63B2</v>
      </c>
      <c r="V819">
        <v>0</v>
      </c>
      <c r="W819">
        <v>0</v>
      </c>
      <c r="X819">
        <v>6</v>
      </c>
      <c r="Z819">
        <v>0</v>
      </c>
      <c r="AA819">
        <v>9</v>
      </c>
      <c r="AB819">
        <v>3</v>
      </c>
      <c r="AC819">
        <v>0</v>
      </c>
      <c r="AD819">
        <v>10</v>
      </c>
      <c r="AE819">
        <v>0</v>
      </c>
      <c r="AF819">
        <v>0</v>
      </c>
      <c r="AG819">
        <v>2</v>
      </c>
      <c r="AH819">
        <v>0</v>
      </c>
      <c r="AI819" t="s">
        <v>742</v>
      </c>
      <c r="AJ819">
        <v>41.974640000000001</v>
      </c>
      <c r="AK819" t="s">
        <v>277</v>
      </c>
      <c r="AL819">
        <v>-87.894316000000003</v>
      </c>
      <c r="AS819">
        <v>1</v>
      </c>
      <c r="AT819" t="s">
        <v>118</v>
      </c>
      <c r="AU819" t="b">
        <v>1</v>
      </c>
      <c r="AV819">
        <v>0</v>
      </c>
      <c r="AW819">
        <v>14.125</v>
      </c>
      <c r="AX819">
        <v>1</v>
      </c>
      <c r="AZ819">
        <v>7205</v>
      </c>
      <c r="BA819">
        <v>1</v>
      </c>
      <c r="BB819" t="str">
        <f t="shared" si="38"/>
        <v xml:space="preserve">KAP400  </v>
      </c>
      <c r="BC819">
        <v>1</v>
      </c>
      <c r="BE819">
        <v>0</v>
      </c>
      <c r="BF819">
        <v>0</v>
      </c>
      <c r="BG819">
        <v>0</v>
      </c>
      <c r="BI819">
        <v>1</v>
      </c>
      <c r="BJ819">
        <v>1</v>
      </c>
      <c r="BK819">
        <v>1</v>
      </c>
      <c r="BL819">
        <v>0</v>
      </c>
      <c r="BO819">
        <v>0</v>
      </c>
      <c r="BP819">
        <v>0</v>
      </c>
      <c r="BW819" t="str">
        <f>"19:17:33.494"</f>
        <v>19:17:33.494</v>
      </c>
      <c r="BX819" t="s">
        <v>119</v>
      </c>
      <c r="BY819" t="s">
        <v>120</v>
      </c>
      <c r="CJ819">
        <v>0</v>
      </c>
      <c r="CK819">
        <v>0</v>
      </c>
      <c r="CL819">
        <v>0</v>
      </c>
      <c r="CM819">
        <v>2</v>
      </c>
      <c r="CN819">
        <v>0</v>
      </c>
      <c r="CO819">
        <v>6</v>
      </c>
      <c r="CP819" t="s">
        <v>121</v>
      </c>
      <c r="CQ819">
        <v>579</v>
      </c>
      <c r="CR819">
        <v>0</v>
      </c>
      <c r="CW819">
        <v>1984810</v>
      </c>
      <c r="CY819">
        <v>0</v>
      </c>
      <c r="CZ819">
        <v>0</v>
      </c>
      <c r="DA819">
        <v>0</v>
      </c>
      <c r="DB819">
        <v>1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</row>
    <row r="820" spans="1:113" x14ac:dyDescent="0.3">
      <c r="A820" t="str">
        <f>"06/16/2022 19:17:34.894"</f>
        <v>06/16/2022 19:17:34.894</v>
      </c>
      <c r="C820" t="str">
        <f t="shared" si="39"/>
        <v>FFBF5BC0</v>
      </c>
      <c r="D820" t="s">
        <v>113</v>
      </c>
      <c r="E820">
        <v>8</v>
      </c>
      <c r="H820">
        <v>206</v>
      </c>
      <c r="I820" t="s">
        <v>114</v>
      </c>
      <c r="J820" t="s">
        <v>115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>"19:17:34.609"</f>
        <v>19:17:34.609</v>
      </c>
      <c r="T820" t="str">
        <f>"19:17:34.609"</f>
        <v>19:17:34.609</v>
      </c>
      <c r="U820" t="str">
        <f t="shared" si="37"/>
        <v>AB63B2</v>
      </c>
      <c r="V820">
        <v>0</v>
      </c>
      <c r="W820">
        <v>0</v>
      </c>
      <c r="X820">
        <v>6</v>
      </c>
      <c r="Z820">
        <v>0</v>
      </c>
      <c r="AA820">
        <v>9</v>
      </c>
      <c r="AB820">
        <v>3</v>
      </c>
      <c r="AC820">
        <v>0</v>
      </c>
      <c r="AD820">
        <v>10</v>
      </c>
      <c r="AE820">
        <v>0</v>
      </c>
      <c r="AF820">
        <v>0</v>
      </c>
      <c r="AG820">
        <v>2</v>
      </c>
      <c r="AH820">
        <v>0</v>
      </c>
      <c r="AI820" t="s">
        <v>743</v>
      </c>
      <c r="AJ820">
        <v>41.974704000000003</v>
      </c>
      <c r="AK820" t="s">
        <v>277</v>
      </c>
      <c r="AL820">
        <v>-87.894316000000003</v>
      </c>
      <c r="AS820">
        <v>1</v>
      </c>
      <c r="AT820" t="s">
        <v>118</v>
      </c>
      <c r="AU820" t="b">
        <v>1</v>
      </c>
      <c r="AV820">
        <v>0</v>
      </c>
      <c r="AW820">
        <v>14.125</v>
      </c>
      <c r="AX820">
        <v>1</v>
      </c>
      <c r="AZ820">
        <v>7205</v>
      </c>
      <c r="BA820">
        <v>1</v>
      </c>
      <c r="BB820" t="str">
        <f t="shared" si="38"/>
        <v xml:space="preserve">KAP400  </v>
      </c>
      <c r="BC820">
        <v>1</v>
      </c>
      <c r="BE820">
        <v>0</v>
      </c>
      <c r="BF820">
        <v>0</v>
      </c>
      <c r="BG820">
        <v>0</v>
      </c>
      <c r="BI820">
        <v>1</v>
      </c>
      <c r="BJ820">
        <v>1</v>
      </c>
      <c r="BK820">
        <v>1</v>
      </c>
      <c r="BL820">
        <v>0</v>
      </c>
      <c r="BO820">
        <v>0</v>
      </c>
      <c r="BP820">
        <v>0</v>
      </c>
      <c r="BW820" t="str">
        <f>"19:17:34.615"</f>
        <v>19:17:34.615</v>
      </c>
      <c r="BX820" t="s">
        <v>119</v>
      </c>
      <c r="BY820" t="s">
        <v>120</v>
      </c>
      <c r="CJ820">
        <v>0</v>
      </c>
      <c r="CK820">
        <v>0</v>
      </c>
      <c r="CL820">
        <v>0</v>
      </c>
      <c r="CM820">
        <v>2</v>
      </c>
      <c r="CN820">
        <v>0</v>
      </c>
      <c r="CO820">
        <v>7</v>
      </c>
      <c r="CP820" t="s">
        <v>121</v>
      </c>
      <c r="CQ820">
        <v>580</v>
      </c>
      <c r="CR820">
        <v>0</v>
      </c>
      <c r="CW820">
        <v>857865</v>
      </c>
      <c r="CY820">
        <v>0</v>
      </c>
      <c r="CZ820">
        <v>0</v>
      </c>
      <c r="DA820">
        <v>0</v>
      </c>
      <c r="DB820">
        <v>1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</row>
    <row r="821" spans="1:113" x14ac:dyDescent="0.3">
      <c r="A821" t="str">
        <f>"06/16/2022 19:17:36.144"</f>
        <v>06/16/2022 19:17:36.144</v>
      </c>
      <c r="C821" t="str">
        <f t="shared" si="39"/>
        <v>FFBF5BC0</v>
      </c>
      <c r="D821" t="s">
        <v>113</v>
      </c>
      <c r="E821">
        <v>8</v>
      </c>
      <c r="H821">
        <v>206</v>
      </c>
      <c r="I821" t="s">
        <v>114</v>
      </c>
      <c r="J821" t="s">
        <v>115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>"19:17:35.969"</f>
        <v>19:17:35.969</v>
      </c>
      <c r="T821" t="str">
        <f>"19:17:35.969"</f>
        <v>19:17:35.969</v>
      </c>
      <c r="U821" t="str">
        <f t="shared" si="37"/>
        <v>AB63B2</v>
      </c>
      <c r="V821">
        <v>0</v>
      </c>
      <c r="W821">
        <v>0</v>
      </c>
      <c r="X821">
        <v>6</v>
      </c>
      <c r="Z821">
        <v>0</v>
      </c>
      <c r="AA821">
        <v>9</v>
      </c>
      <c r="AB821">
        <v>3</v>
      </c>
      <c r="AC821">
        <v>0</v>
      </c>
      <c r="AD821">
        <v>10</v>
      </c>
      <c r="AE821">
        <v>0</v>
      </c>
      <c r="AF821">
        <v>0</v>
      </c>
      <c r="AG821">
        <v>2</v>
      </c>
      <c r="AH821">
        <v>0</v>
      </c>
      <c r="AI821" t="s">
        <v>744</v>
      </c>
      <c r="AJ821">
        <v>41.974789999999999</v>
      </c>
      <c r="AK821" t="s">
        <v>277</v>
      </c>
      <c r="AL821">
        <v>-87.894316000000003</v>
      </c>
      <c r="AS821">
        <v>1</v>
      </c>
      <c r="AT821" t="s">
        <v>118</v>
      </c>
      <c r="AU821" t="b">
        <v>1</v>
      </c>
      <c r="AV821">
        <v>0</v>
      </c>
      <c r="AW821">
        <v>14.625</v>
      </c>
      <c r="AX821">
        <v>1</v>
      </c>
      <c r="AZ821">
        <v>7205</v>
      </c>
      <c r="BA821">
        <v>1</v>
      </c>
      <c r="BB821" t="str">
        <f t="shared" si="38"/>
        <v xml:space="preserve">KAP400  </v>
      </c>
      <c r="BC821">
        <v>1</v>
      </c>
      <c r="BE821">
        <v>0</v>
      </c>
      <c r="BF821">
        <v>0</v>
      </c>
      <c r="BG821">
        <v>0</v>
      </c>
      <c r="BI821">
        <v>1</v>
      </c>
      <c r="BJ821">
        <v>1</v>
      </c>
      <c r="BK821">
        <v>1</v>
      </c>
      <c r="BL821">
        <v>0</v>
      </c>
      <c r="BO821">
        <v>0</v>
      </c>
      <c r="BP821">
        <v>0</v>
      </c>
      <c r="BW821" t="str">
        <f>"19:17:35.970"</f>
        <v>19:17:35.970</v>
      </c>
      <c r="BX821" t="s">
        <v>119</v>
      </c>
      <c r="BY821" t="s">
        <v>120</v>
      </c>
      <c r="CJ821">
        <v>0</v>
      </c>
      <c r="CK821">
        <v>0</v>
      </c>
      <c r="CL821">
        <v>0</v>
      </c>
      <c r="CM821">
        <v>2</v>
      </c>
      <c r="CN821">
        <v>0</v>
      </c>
      <c r="CO821">
        <v>6</v>
      </c>
      <c r="CP821" t="s">
        <v>121</v>
      </c>
      <c r="CQ821">
        <v>581</v>
      </c>
      <c r="CR821">
        <v>0</v>
      </c>
      <c r="CW821">
        <v>15699790</v>
      </c>
      <c r="CY821">
        <v>0</v>
      </c>
      <c r="CZ821">
        <v>0</v>
      </c>
      <c r="DA821">
        <v>0</v>
      </c>
      <c r="DB821">
        <v>1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</row>
    <row r="822" spans="1:113" x14ac:dyDescent="0.3">
      <c r="A822" t="str">
        <f>"06/16/2022 19:17:37.331"</f>
        <v>06/16/2022 19:17:37.331</v>
      </c>
      <c r="C822" t="str">
        <f t="shared" si="39"/>
        <v>FFBF5BC0</v>
      </c>
      <c r="D822" t="s">
        <v>113</v>
      </c>
      <c r="E822">
        <v>8</v>
      </c>
      <c r="H822">
        <v>206</v>
      </c>
      <c r="I822" t="s">
        <v>114</v>
      </c>
      <c r="J822" t="s">
        <v>115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>"19:17:37.086"</f>
        <v>19:17:37.086</v>
      </c>
      <c r="T822" t="str">
        <f>"19:17:37.086"</f>
        <v>19:17:37.086</v>
      </c>
      <c r="U822" t="str">
        <f t="shared" si="37"/>
        <v>AB63B2</v>
      </c>
      <c r="V822">
        <v>0</v>
      </c>
      <c r="W822">
        <v>0</v>
      </c>
      <c r="X822">
        <v>6</v>
      </c>
      <c r="Z822">
        <v>0</v>
      </c>
      <c r="AA822">
        <v>9</v>
      </c>
      <c r="AB822">
        <v>3</v>
      </c>
      <c r="AC822">
        <v>0</v>
      </c>
      <c r="AD822">
        <v>10</v>
      </c>
      <c r="AE822">
        <v>0</v>
      </c>
      <c r="AF822">
        <v>0</v>
      </c>
      <c r="AG822">
        <v>2</v>
      </c>
      <c r="AH822">
        <v>0</v>
      </c>
      <c r="AI822" t="s">
        <v>745</v>
      </c>
      <c r="AJ822">
        <v>41.974876000000002</v>
      </c>
      <c r="AK822" t="s">
        <v>277</v>
      </c>
      <c r="AL822">
        <v>-87.894316000000003</v>
      </c>
      <c r="AS822">
        <v>1</v>
      </c>
      <c r="AT822" t="s">
        <v>118</v>
      </c>
      <c r="AU822" t="b">
        <v>1</v>
      </c>
      <c r="AV822">
        <v>0</v>
      </c>
      <c r="AW822">
        <v>15.125</v>
      </c>
      <c r="AX822">
        <v>1</v>
      </c>
      <c r="AZ822">
        <v>7205</v>
      </c>
      <c r="BA822">
        <v>1</v>
      </c>
      <c r="BB822" t="str">
        <f t="shared" si="38"/>
        <v xml:space="preserve">KAP400  </v>
      </c>
      <c r="BC822">
        <v>1</v>
      </c>
      <c r="BE822">
        <v>0</v>
      </c>
      <c r="BF822">
        <v>0</v>
      </c>
      <c r="BG822">
        <v>0</v>
      </c>
      <c r="BI822">
        <v>1</v>
      </c>
      <c r="BJ822">
        <v>1</v>
      </c>
      <c r="BK822">
        <v>1</v>
      </c>
      <c r="BL822">
        <v>0</v>
      </c>
      <c r="BO822">
        <v>0</v>
      </c>
      <c r="BP822">
        <v>0</v>
      </c>
      <c r="BW822" t="str">
        <f>"19:17:37.094"</f>
        <v>19:17:37.094</v>
      </c>
      <c r="BX822" t="s">
        <v>119</v>
      </c>
      <c r="BY822" t="s">
        <v>120</v>
      </c>
      <c r="CJ822">
        <v>0</v>
      </c>
      <c r="CK822">
        <v>0</v>
      </c>
      <c r="CL822">
        <v>0</v>
      </c>
      <c r="CM822">
        <v>2</v>
      </c>
      <c r="CN822">
        <v>0</v>
      </c>
      <c r="CO822">
        <v>6</v>
      </c>
      <c r="CP822" t="s">
        <v>121</v>
      </c>
      <c r="CQ822">
        <v>580</v>
      </c>
      <c r="CR822">
        <v>0</v>
      </c>
      <c r="CW822">
        <v>862199</v>
      </c>
      <c r="CY822">
        <v>0</v>
      </c>
      <c r="CZ822">
        <v>0</v>
      </c>
      <c r="DA822">
        <v>0</v>
      </c>
      <c r="DB822">
        <v>1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</row>
    <row r="823" spans="1:113" x14ac:dyDescent="0.3">
      <c r="A823" t="str">
        <f>"06/16/2022 19:17:38.347"</f>
        <v>06/16/2022 19:17:38.347</v>
      </c>
      <c r="C823" t="str">
        <f t="shared" si="39"/>
        <v>FFBF5BC0</v>
      </c>
      <c r="D823" t="s">
        <v>113</v>
      </c>
      <c r="E823">
        <v>8</v>
      </c>
      <c r="H823">
        <v>206</v>
      </c>
      <c r="I823" t="s">
        <v>114</v>
      </c>
      <c r="J823" t="s">
        <v>115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>"19:17:38.008"</f>
        <v>19:17:38.008</v>
      </c>
      <c r="T823" t="str">
        <f>"19:17:38.008"</f>
        <v>19:17:38.008</v>
      </c>
      <c r="U823" t="str">
        <f t="shared" si="37"/>
        <v>AB63B2</v>
      </c>
      <c r="V823">
        <v>0</v>
      </c>
      <c r="W823">
        <v>0</v>
      </c>
      <c r="X823">
        <v>6</v>
      </c>
      <c r="Z823">
        <v>0</v>
      </c>
      <c r="AA823">
        <v>9</v>
      </c>
      <c r="AB823">
        <v>3</v>
      </c>
      <c r="AC823">
        <v>0</v>
      </c>
      <c r="AD823">
        <v>10</v>
      </c>
      <c r="AE823">
        <v>0</v>
      </c>
      <c r="AF823">
        <v>0</v>
      </c>
      <c r="AG823">
        <v>2</v>
      </c>
      <c r="AH823">
        <v>0</v>
      </c>
      <c r="AI823" t="s">
        <v>746</v>
      </c>
      <c r="AJ823">
        <v>41.974939999999997</v>
      </c>
      <c r="AK823" t="s">
        <v>277</v>
      </c>
      <c r="AL823">
        <v>-87.894316000000003</v>
      </c>
      <c r="AS823">
        <v>1</v>
      </c>
      <c r="AT823" t="s">
        <v>118</v>
      </c>
      <c r="AU823" t="b">
        <v>1</v>
      </c>
      <c r="AV823">
        <v>0</v>
      </c>
      <c r="AW823">
        <v>15.125</v>
      </c>
      <c r="AX823">
        <v>1</v>
      </c>
      <c r="AZ823">
        <v>7205</v>
      </c>
      <c r="BA823">
        <v>1</v>
      </c>
      <c r="BB823" t="str">
        <f t="shared" si="38"/>
        <v xml:space="preserve">KAP400  </v>
      </c>
      <c r="BC823">
        <v>1</v>
      </c>
      <c r="BE823">
        <v>0</v>
      </c>
      <c r="BF823">
        <v>0</v>
      </c>
      <c r="BG823">
        <v>0</v>
      </c>
      <c r="BI823">
        <v>1</v>
      </c>
      <c r="BJ823">
        <v>1</v>
      </c>
      <c r="BK823">
        <v>1</v>
      </c>
      <c r="BL823">
        <v>0</v>
      </c>
      <c r="BO823">
        <v>0</v>
      </c>
      <c r="BP823">
        <v>0</v>
      </c>
      <c r="BW823" t="str">
        <f>"19:17:38.008"</f>
        <v>19:17:38.008</v>
      </c>
      <c r="BX823" t="s">
        <v>119</v>
      </c>
      <c r="BY823" t="s">
        <v>120</v>
      </c>
      <c r="CJ823">
        <v>0</v>
      </c>
      <c r="CK823">
        <v>0</v>
      </c>
      <c r="CL823">
        <v>0</v>
      </c>
      <c r="CM823">
        <v>2</v>
      </c>
      <c r="CN823">
        <v>0</v>
      </c>
      <c r="CO823">
        <v>6</v>
      </c>
      <c r="CP823" t="s">
        <v>121</v>
      </c>
      <c r="CQ823">
        <v>579</v>
      </c>
      <c r="CR823">
        <v>0</v>
      </c>
      <c r="CW823">
        <v>1993431</v>
      </c>
      <c r="CY823">
        <v>0</v>
      </c>
      <c r="CZ823">
        <v>0</v>
      </c>
      <c r="DA823">
        <v>0</v>
      </c>
      <c r="DB823">
        <v>1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</row>
    <row r="824" spans="1:113" x14ac:dyDescent="0.3">
      <c r="A824" t="str">
        <f>"06/16/2022 19:17:39.206"</f>
        <v>06/16/2022 19:17:39.206</v>
      </c>
      <c r="C824" t="str">
        <f t="shared" si="39"/>
        <v>FFBF5BC0</v>
      </c>
      <c r="D824" t="s">
        <v>113</v>
      </c>
      <c r="E824">
        <v>8</v>
      </c>
      <c r="H824">
        <v>206</v>
      </c>
      <c r="I824" t="s">
        <v>114</v>
      </c>
      <c r="J824" t="s">
        <v>115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>"19:17:38.961"</f>
        <v>19:17:38.961</v>
      </c>
      <c r="T824" t="str">
        <f>"19:17:38.961"</f>
        <v>19:17:38.961</v>
      </c>
      <c r="U824" t="str">
        <f t="shared" si="37"/>
        <v>AB63B2</v>
      </c>
      <c r="V824">
        <v>0</v>
      </c>
      <c r="W824">
        <v>0</v>
      </c>
      <c r="X824">
        <v>6</v>
      </c>
      <c r="Z824">
        <v>0</v>
      </c>
      <c r="AA824">
        <v>9</v>
      </c>
      <c r="AB824">
        <v>3</v>
      </c>
      <c r="AC824">
        <v>0</v>
      </c>
      <c r="AD824">
        <v>10</v>
      </c>
      <c r="AE824">
        <v>0</v>
      </c>
      <c r="AF824">
        <v>0</v>
      </c>
      <c r="AG824">
        <v>2</v>
      </c>
      <c r="AH824">
        <v>0</v>
      </c>
      <c r="AI824" t="s">
        <v>393</v>
      </c>
      <c r="AJ824">
        <v>41.975005000000003</v>
      </c>
      <c r="AK824" t="s">
        <v>277</v>
      </c>
      <c r="AL824">
        <v>-87.894316000000003</v>
      </c>
      <c r="AS824">
        <v>1</v>
      </c>
      <c r="AT824" t="s">
        <v>118</v>
      </c>
      <c r="AU824" t="b">
        <v>1</v>
      </c>
      <c r="AV824">
        <v>0</v>
      </c>
      <c r="AW824">
        <v>15.125</v>
      </c>
      <c r="AX824">
        <v>1</v>
      </c>
      <c r="AZ824">
        <v>7205</v>
      </c>
      <c r="BA824">
        <v>1</v>
      </c>
      <c r="BB824" t="str">
        <f t="shared" si="38"/>
        <v xml:space="preserve">KAP400  </v>
      </c>
      <c r="BC824">
        <v>1</v>
      </c>
      <c r="BE824">
        <v>0</v>
      </c>
      <c r="BF824">
        <v>0</v>
      </c>
      <c r="BG824">
        <v>0</v>
      </c>
      <c r="BI824">
        <v>1</v>
      </c>
      <c r="BJ824">
        <v>1</v>
      </c>
      <c r="BK824">
        <v>1</v>
      </c>
      <c r="BL824">
        <v>0</v>
      </c>
      <c r="BO824">
        <v>0</v>
      </c>
      <c r="BP824">
        <v>0</v>
      </c>
      <c r="BW824" t="str">
        <f>"19:17:38.965"</f>
        <v>19:17:38.965</v>
      </c>
      <c r="BX824" t="s">
        <v>119</v>
      </c>
      <c r="BY824" t="s">
        <v>120</v>
      </c>
      <c r="CJ824">
        <v>0</v>
      </c>
      <c r="CK824">
        <v>0</v>
      </c>
      <c r="CL824">
        <v>0</v>
      </c>
      <c r="CM824">
        <v>2</v>
      </c>
      <c r="CN824">
        <v>0</v>
      </c>
      <c r="CO824">
        <v>6</v>
      </c>
      <c r="CP824" t="s">
        <v>121</v>
      </c>
      <c r="CQ824">
        <v>582</v>
      </c>
      <c r="CR824">
        <v>0</v>
      </c>
      <c r="CW824">
        <v>6608032</v>
      </c>
      <c r="CY824">
        <v>0</v>
      </c>
      <c r="CZ824">
        <v>0</v>
      </c>
      <c r="DA824">
        <v>0</v>
      </c>
      <c r="DB824">
        <v>1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</row>
    <row r="825" spans="1:113" x14ac:dyDescent="0.3">
      <c r="A825" t="str">
        <f>"06/16/2022 19:17:40.175"</f>
        <v>06/16/2022 19:17:40.175</v>
      </c>
      <c r="C825" t="str">
        <f t="shared" si="39"/>
        <v>FFBF5BC0</v>
      </c>
      <c r="D825" t="s">
        <v>113</v>
      </c>
      <c r="E825">
        <v>8</v>
      </c>
      <c r="H825">
        <v>206</v>
      </c>
      <c r="I825" t="s">
        <v>114</v>
      </c>
      <c r="J825" t="s">
        <v>115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>"19:17:39.883"</f>
        <v>19:17:39.883</v>
      </c>
      <c r="T825" t="str">
        <f>"19:17:39.883"</f>
        <v>19:17:39.883</v>
      </c>
      <c r="U825" t="str">
        <f t="shared" si="37"/>
        <v>AB63B2</v>
      </c>
      <c r="V825">
        <v>0</v>
      </c>
      <c r="W825">
        <v>0</v>
      </c>
      <c r="X825">
        <v>6</v>
      </c>
      <c r="Z825">
        <v>0</v>
      </c>
      <c r="AA825">
        <v>9</v>
      </c>
      <c r="AB825">
        <v>3</v>
      </c>
      <c r="AC825">
        <v>0</v>
      </c>
      <c r="AD825">
        <v>10</v>
      </c>
      <c r="AE825">
        <v>0</v>
      </c>
      <c r="AF825">
        <v>0</v>
      </c>
      <c r="AG825">
        <v>2</v>
      </c>
      <c r="AH825">
        <v>0</v>
      </c>
      <c r="AI825" t="s">
        <v>747</v>
      </c>
      <c r="AJ825">
        <v>41.975068999999998</v>
      </c>
      <c r="AK825" t="s">
        <v>277</v>
      </c>
      <c r="AL825">
        <v>-87.894316000000003</v>
      </c>
      <c r="AS825">
        <v>1</v>
      </c>
      <c r="AT825" t="s">
        <v>118</v>
      </c>
      <c r="AU825" t="b">
        <v>1</v>
      </c>
      <c r="AV825">
        <v>0</v>
      </c>
      <c r="AW825">
        <v>15.125</v>
      </c>
      <c r="AX825">
        <v>1</v>
      </c>
      <c r="AZ825">
        <v>7205</v>
      </c>
      <c r="BA825">
        <v>1</v>
      </c>
      <c r="BB825" t="str">
        <f t="shared" si="38"/>
        <v xml:space="preserve">KAP400  </v>
      </c>
      <c r="BC825">
        <v>1</v>
      </c>
      <c r="BE825">
        <v>0</v>
      </c>
      <c r="BF825">
        <v>0</v>
      </c>
      <c r="BG825">
        <v>0</v>
      </c>
      <c r="BI825">
        <v>1</v>
      </c>
      <c r="BJ825">
        <v>1</v>
      </c>
      <c r="BK825">
        <v>1</v>
      </c>
      <c r="BL825">
        <v>0</v>
      </c>
      <c r="BO825">
        <v>0</v>
      </c>
      <c r="BP825">
        <v>0</v>
      </c>
      <c r="BW825" t="str">
        <f>"19:17:39.887"</f>
        <v>19:17:39.887</v>
      </c>
      <c r="BX825" t="s">
        <v>119</v>
      </c>
      <c r="BY825" t="s">
        <v>120</v>
      </c>
      <c r="CJ825">
        <v>0</v>
      </c>
      <c r="CK825">
        <v>0</v>
      </c>
      <c r="CL825">
        <v>0</v>
      </c>
      <c r="CM825">
        <v>2</v>
      </c>
      <c r="CN825">
        <v>0</v>
      </c>
      <c r="CO825">
        <v>6</v>
      </c>
      <c r="CP825" t="s">
        <v>121</v>
      </c>
      <c r="CQ825">
        <v>581</v>
      </c>
      <c r="CR825">
        <v>0</v>
      </c>
      <c r="CW825">
        <v>15705291</v>
      </c>
      <c r="CY825">
        <v>0</v>
      </c>
      <c r="CZ825">
        <v>0</v>
      </c>
      <c r="DA825">
        <v>0</v>
      </c>
      <c r="DB825">
        <v>1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</row>
    <row r="826" spans="1:113" x14ac:dyDescent="0.3">
      <c r="A826" t="str">
        <f>"06/16/2022 19:17:41.065"</f>
        <v>06/16/2022 19:17:41.065</v>
      </c>
      <c r="C826" t="str">
        <f t="shared" si="39"/>
        <v>FFBF5BC0</v>
      </c>
      <c r="D826" t="s">
        <v>113</v>
      </c>
      <c r="E826">
        <v>8</v>
      </c>
      <c r="H826">
        <v>206</v>
      </c>
      <c r="I826" t="s">
        <v>114</v>
      </c>
      <c r="J826" t="s">
        <v>115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>"19:17:40.867"</f>
        <v>19:17:40.867</v>
      </c>
      <c r="T826" t="str">
        <f>"19:17:40.867"</f>
        <v>19:17:40.867</v>
      </c>
      <c r="U826" t="str">
        <f t="shared" si="37"/>
        <v>AB63B2</v>
      </c>
      <c r="V826">
        <v>0</v>
      </c>
      <c r="W826">
        <v>0</v>
      </c>
      <c r="X826">
        <v>6</v>
      </c>
      <c r="Z826">
        <v>0</v>
      </c>
      <c r="AA826">
        <v>9</v>
      </c>
      <c r="AB826">
        <v>3</v>
      </c>
      <c r="AC826">
        <v>0</v>
      </c>
      <c r="AD826">
        <v>10</v>
      </c>
      <c r="AE826">
        <v>0</v>
      </c>
      <c r="AF826">
        <v>0</v>
      </c>
      <c r="AG826">
        <v>2</v>
      </c>
      <c r="AH826">
        <v>0</v>
      </c>
      <c r="AI826" t="s">
        <v>748</v>
      </c>
      <c r="AJ826">
        <v>41.975133</v>
      </c>
      <c r="AK826" t="s">
        <v>277</v>
      </c>
      <c r="AL826">
        <v>-87.894316000000003</v>
      </c>
      <c r="AS826">
        <v>1</v>
      </c>
      <c r="AT826" t="s">
        <v>118</v>
      </c>
      <c r="AU826" t="b">
        <v>1</v>
      </c>
      <c r="AV826">
        <v>0</v>
      </c>
      <c r="AW826">
        <v>15.125</v>
      </c>
      <c r="AX826">
        <v>1</v>
      </c>
      <c r="AZ826">
        <v>7205</v>
      </c>
      <c r="BA826">
        <v>1</v>
      </c>
      <c r="BB826" t="str">
        <f t="shared" si="38"/>
        <v xml:space="preserve">KAP400  </v>
      </c>
      <c r="BC826">
        <v>1</v>
      </c>
      <c r="BE826">
        <v>0</v>
      </c>
      <c r="BF826">
        <v>0</v>
      </c>
      <c r="BG826">
        <v>0</v>
      </c>
      <c r="BI826">
        <v>1</v>
      </c>
      <c r="BJ826">
        <v>1</v>
      </c>
      <c r="BK826">
        <v>1</v>
      </c>
      <c r="BL826">
        <v>0</v>
      </c>
      <c r="BO826">
        <v>0</v>
      </c>
      <c r="BP826">
        <v>0</v>
      </c>
      <c r="BW826" t="str">
        <f>"19:17:40.874"</f>
        <v>19:17:40.874</v>
      </c>
      <c r="BX826" t="s">
        <v>119</v>
      </c>
      <c r="BY826" t="s">
        <v>120</v>
      </c>
      <c r="CJ826">
        <v>0</v>
      </c>
      <c r="CK826">
        <v>0</v>
      </c>
      <c r="CL826">
        <v>0</v>
      </c>
      <c r="CM826">
        <v>2</v>
      </c>
      <c r="CN826">
        <v>0</v>
      </c>
      <c r="CO826">
        <v>5</v>
      </c>
      <c r="CP826" t="s">
        <v>121</v>
      </c>
      <c r="CQ826">
        <v>579</v>
      </c>
      <c r="CR826">
        <v>0</v>
      </c>
      <c r="CW826">
        <v>1998934</v>
      </c>
      <c r="CY826">
        <v>0</v>
      </c>
      <c r="CZ826">
        <v>0</v>
      </c>
      <c r="DA826">
        <v>0</v>
      </c>
      <c r="DB826">
        <v>1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</row>
    <row r="827" spans="1:113" x14ac:dyDescent="0.3">
      <c r="A827" t="str">
        <f>"06/16/2022 19:17:42.097"</f>
        <v>06/16/2022 19:17:42.097</v>
      </c>
      <c r="C827" t="str">
        <f t="shared" si="39"/>
        <v>FFBF5BC0</v>
      </c>
      <c r="D827" t="s">
        <v>113</v>
      </c>
      <c r="E827">
        <v>8</v>
      </c>
      <c r="H827">
        <v>206</v>
      </c>
      <c r="I827" t="s">
        <v>114</v>
      </c>
      <c r="J827" t="s">
        <v>115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>"19:17:41.844"</f>
        <v>19:17:41.844</v>
      </c>
      <c r="T827" t="str">
        <f>"19:17:41.844"</f>
        <v>19:17:41.844</v>
      </c>
      <c r="U827" t="str">
        <f t="shared" si="37"/>
        <v>AB63B2</v>
      </c>
      <c r="V827">
        <v>0</v>
      </c>
      <c r="W827">
        <v>0</v>
      </c>
      <c r="X827">
        <v>6</v>
      </c>
      <c r="Z827">
        <v>0</v>
      </c>
      <c r="AA827">
        <v>9</v>
      </c>
      <c r="AB827">
        <v>3</v>
      </c>
      <c r="AC827">
        <v>0</v>
      </c>
      <c r="AD827">
        <v>10</v>
      </c>
      <c r="AE827">
        <v>0</v>
      </c>
      <c r="AF827">
        <v>0</v>
      </c>
      <c r="AG827">
        <v>2</v>
      </c>
      <c r="AH827">
        <v>0</v>
      </c>
      <c r="AI827" t="s">
        <v>749</v>
      </c>
      <c r="AJ827">
        <v>41.975197999999999</v>
      </c>
      <c r="AK827" t="s">
        <v>277</v>
      </c>
      <c r="AL827">
        <v>-87.894316000000003</v>
      </c>
      <c r="AS827">
        <v>1</v>
      </c>
      <c r="AT827" t="s">
        <v>118</v>
      </c>
      <c r="AU827" t="b">
        <v>1</v>
      </c>
      <c r="AV827">
        <v>0</v>
      </c>
      <c r="AW827">
        <v>15.125</v>
      </c>
      <c r="AX827">
        <v>1</v>
      </c>
      <c r="AZ827">
        <v>7205</v>
      </c>
      <c r="BA827">
        <v>1</v>
      </c>
      <c r="BB827" t="str">
        <f t="shared" si="38"/>
        <v xml:space="preserve">KAP400  </v>
      </c>
      <c r="BC827">
        <v>1</v>
      </c>
      <c r="BE827">
        <v>0</v>
      </c>
      <c r="BF827">
        <v>0</v>
      </c>
      <c r="BG827">
        <v>0</v>
      </c>
      <c r="BI827">
        <v>1</v>
      </c>
      <c r="BJ827">
        <v>1</v>
      </c>
      <c r="BK827">
        <v>1</v>
      </c>
      <c r="BL827">
        <v>0</v>
      </c>
      <c r="BO827">
        <v>0</v>
      </c>
      <c r="BP827">
        <v>0</v>
      </c>
      <c r="BW827" t="str">
        <f>"19:17:41.848"</f>
        <v>19:17:41.848</v>
      </c>
      <c r="BX827" t="s">
        <v>119</v>
      </c>
      <c r="BY827" t="s">
        <v>120</v>
      </c>
      <c r="CJ827">
        <v>0</v>
      </c>
      <c r="CK827">
        <v>0</v>
      </c>
      <c r="CL827">
        <v>0</v>
      </c>
      <c r="CM827">
        <v>2</v>
      </c>
      <c r="CN827">
        <v>0</v>
      </c>
      <c r="CO827">
        <v>6</v>
      </c>
      <c r="CP827" t="s">
        <v>121</v>
      </c>
      <c r="CQ827">
        <v>579</v>
      </c>
      <c r="CR827">
        <v>0</v>
      </c>
      <c r="CW827">
        <v>2000868</v>
      </c>
      <c r="CY827">
        <v>0</v>
      </c>
      <c r="CZ827">
        <v>0</v>
      </c>
      <c r="DA827">
        <v>0</v>
      </c>
      <c r="DB827">
        <v>1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</row>
    <row r="828" spans="1:113" x14ac:dyDescent="0.3">
      <c r="A828" t="str">
        <f>"06/16/2022 19:17:43.159"</f>
        <v>06/16/2022 19:17:43.159</v>
      </c>
      <c r="C828" t="str">
        <f t="shared" si="39"/>
        <v>FFBF5BC0</v>
      </c>
      <c r="D828" t="s">
        <v>113</v>
      </c>
      <c r="E828">
        <v>8</v>
      </c>
      <c r="H828">
        <v>206</v>
      </c>
      <c r="I828" t="s">
        <v>114</v>
      </c>
      <c r="J828" t="s">
        <v>115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>"19:17:42.852"</f>
        <v>19:17:42.852</v>
      </c>
      <c r="T828" t="str">
        <f>"19:17:42.852"</f>
        <v>19:17:42.852</v>
      </c>
      <c r="U828" t="str">
        <f t="shared" si="37"/>
        <v>AB63B2</v>
      </c>
      <c r="V828">
        <v>0</v>
      </c>
      <c r="W828">
        <v>0</v>
      </c>
      <c r="X828">
        <v>6</v>
      </c>
      <c r="Z828">
        <v>0</v>
      </c>
      <c r="AA828">
        <v>9</v>
      </c>
      <c r="AB828">
        <v>3</v>
      </c>
      <c r="AC828">
        <v>0</v>
      </c>
      <c r="AD828">
        <v>10</v>
      </c>
      <c r="AE828">
        <v>0</v>
      </c>
      <c r="AF828">
        <v>0</v>
      </c>
      <c r="AG828">
        <v>2</v>
      </c>
      <c r="AH828">
        <v>0</v>
      </c>
      <c r="AI828" t="s">
        <v>390</v>
      </c>
      <c r="AJ828">
        <v>41.975262000000001</v>
      </c>
      <c r="AK828" t="s">
        <v>277</v>
      </c>
      <c r="AL828">
        <v>-87.894316000000003</v>
      </c>
      <c r="AS828">
        <v>1</v>
      </c>
      <c r="AT828" t="s">
        <v>118</v>
      </c>
      <c r="AU828" t="b">
        <v>1</v>
      </c>
      <c r="AV828">
        <v>0</v>
      </c>
      <c r="AW828">
        <v>15.125</v>
      </c>
      <c r="AX828">
        <v>1</v>
      </c>
      <c r="AZ828">
        <v>7205</v>
      </c>
      <c r="BA828">
        <v>1</v>
      </c>
      <c r="BB828" t="str">
        <f t="shared" si="38"/>
        <v xml:space="preserve">KAP400  </v>
      </c>
      <c r="BC828">
        <v>1</v>
      </c>
      <c r="BE828">
        <v>0</v>
      </c>
      <c r="BF828">
        <v>0</v>
      </c>
      <c r="BG828">
        <v>0</v>
      </c>
      <c r="BI828">
        <v>1</v>
      </c>
      <c r="BJ828">
        <v>1</v>
      </c>
      <c r="BK828">
        <v>1</v>
      </c>
      <c r="BL828">
        <v>0</v>
      </c>
      <c r="BO828">
        <v>0</v>
      </c>
      <c r="BP828">
        <v>0</v>
      </c>
      <c r="BW828" t="str">
        <f>"19:17:42.856"</f>
        <v>19:17:42.856</v>
      </c>
      <c r="BX828" t="s">
        <v>119</v>
      </c>
      <c r="BY828" t="s">
        <v>120</v>
      </c>
      <c r="CJ828">
        <v>0</v>
      </c>
      <c r="CK828">
        <v>0</v>
      </c>
      <c r="CL828">
        <v>0</v>
      </c>
      <c r="CM828">
        <v>2</v>
      </c>
      <c r="CN828">
        <v>0</v>
      </c>
      <c r="CO828">
        <v>6</v>
      </c>
      <c r="CP828" t="s">
        <v>121</v>
      </c>
      <c r="CQ828">
        <v>579</v>
      </c>
      <c r="CR828">
        <v>0</v>
      </c>
      <c r="CW828">
        <v>2002756</v>
      </c>
      <c r="CY828">
        <v>0</v>
      </c>
      <c r="CZ828">
        <v>0</v>
      </c>
      <c r="DA828">
        <v>0</v>
      </c>
      <c r="DB828">
        <v>1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</row>
    <row r="829" spans="1:113" x14ac:dyDescent="0.3">
      <c r="A829" t="str">
        <f>"06/16/2022 19:17:44.034"</f>
        <v>06/16/2022 19:17:44.034</v>
      </c>
      <c r="C829" t="str">
        <f t="shared" si="39"/>
        <v>FFBF5BC0</v>
      </c>
      <c r="D829" t="s">
        <v>113</v>
      </c>
      <c r="E829">
        <v>8</v>
      </c>
      <c r="H829">
        <v>206</v>
      </c>
      <c r="I829" t="s">
        <v>114</v>
      </c>
      <c r="J829" t="s">
        <v>115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>"19:17:43.813"</f>
        <v>19:17:43.813</v>
      </c>
      <c r="T829" t="str">
        <f>"19:17:43.813"</f>
        <v>19:17:43.813</v>
      </c>
      <c r="U829" t="str">
        <f t="shared" si="37"/>
        <v>AB63B2</v>
      </c>
      <c r="V829">
        <v>0</v>
      </c>
      <c r="W829">
        <v>0</v>
      </c>
      <c r="X829">
        <v>6</v>
      </c>
      <c r="Z829">
        <v>0</v>
      </c>
      <c r="AA829">
        <v>9</v>
      </c>
      <c r="AB829">
        <v>3</v>
      </c>
      <c r="AC829">
        <v>0</v>
      </c>
      <c r="AD829">
        <v>10</v>
      </c>
      <c r="AE829">
        <v>0</v>
      </c>
      <c r="AF829">
        <v>0</v>
      </c>
      <c r="AG829">
        <v>2</v>
      </c>
      <c r="AH829">
        <v>0</v>
      </c>
      <c r="AI829" t="s">
        <v>750</v>
      </c>
      <c r="AJ829">
        <v>41.975347999999997</v>
      </c>
      <c r="AK829" t="s">
        <v>277</v>
      </c>
      <c r="AL829">
        <v>-87.894316000000003</v>
      </c>
      <c r="AS829">
        <v>1</v>
      </c>
      <c r="AT829" t="s">
        <v>118</v>
      </c>
      <c r="AU829" t="b">
        <v>1</v>
      </c>
      <c r="AV829">
        <v>0</v>
      </c>
      <c r="AW829">
        <v>15.125</v>
      </c>
      <c r="AX829">
        <v>1</v>
      </c>
      <c r="AZ829">
        <v>7205</v>
      </c>
      <c r="BA829">
        <v>1</v>
      </c>
      <c r="BB829" t="str">
        <f t="shared" si="38"/>
        <v xml:space="preserve">KAP400  </v>
      </c>
      <c r="BC829">
        <v>1</v>
      </c>
      <c r="BE829">
        <v>0</v>
      </c>
      <c r="BF829">
        <v>0</v>
      </c>
      <c r="BG829">
        <v>0</v>
      </c>
      <c r="BI829">
        <v>1</v>
      </c>
      <c r="BJ829">
        <v>1</v>
      </c>
      <c r="BK829">
        <v>1</v>
      </c>
      <c r="BL829">
        <v>0</v>
      </c>
      <c r="BO829">
        <v>0</v>
      </c>
      <c r="BP829">
        <v>0</v>
      </c>
      <c r="BW829" t="str">
        <f>"19:17:43.818"</f>
        <v>19:17:43.818</v>
      </c>
      <c r="BX829" t="s">
        <v>119</v>
      </c>
      <c r="BY829" t="s">
        <v>120</v>
      </c>
      <c r="CJ829">
        <v>0</v>
      </c>
      <c r="CK829">
        <v>0</v>
      </c>
      <c r="CL829">
        <v>0</v>
      </c>
      <c r="CM829">
        <v>2</v>
      </c>
      <c r="CN829">
        <v>0</v>
      </c>
      <c r="CO829">
        <v>6</v>
      </c>
      <c r="CP829" t="s">
        <v>121</v>
      </c>
      <c r="CQ829">
        <v>582</v>
      </c>
      <c r="CR829">
        <v>0</v>
      </c>
      <c r="CW829">
        <v>6614090</v>
      </c>
      <c r="CY829">
        <v>0</v>
      </c>
      <c r="CZ829">
        <v>0</v>
      </c>
      <c r="DA829">
        <v>0</v>
      </c>
      <c r="DB829">
        <v>1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</row>
    <row r="830" spans="1:113" x14ac:dyDescent="0.3">
      <c r="A830" t="str">
        <f>"06/16/2022 19:17:45.174"</f>
        <v>06/16/2022 19:17:45.174</v>
      </c>
      <c r="C830" t="str">
        <f t="shared" si="39"/>
        <v>FFBF5BC0</v>
      </c>
      <c r="D830" t="s">
        <v>113</v>
      </c>
      <c r="E830">
        <v>8</v>
      </c>
      <c r="H830">
        <v>206</v>
      </c>
      <c r="I830" t="s">
        <v>114</v>
      </c>
      <c r="J830" t="s">
        <v>115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>"19:17:44.906"</f>
        <v>19:17:44.906</v>
      </c>
      <c r="T830" t="str">
        <f>"19:17:44.906"</f>
        <v>19:17:44.906</v>
      </c>
      <c r="U830" t="str">
        <f t="shared" si="37"/>
        <v>AB63B2</v>
      </c>
      <c r="V830">
        <v>0</v>
      </c>
      <c r="W830">
        <v>0</v>
      </c>
      <c r="X830">
        <v>6</v>
      </c>
      <c r="Z830">
        <v>0</v>
      </c>
      <c r="AA830">
        <v>9</v>
      </c>
      <c r="AB830">
        <v>3</v>
      </c>
      <c r="AC830">
        <v>0</v>
      </c>
      <c r="AD830">
        <v>10</v>
      </c>
      <c r="AE830">
        <v>0</v>
      </c>
      <c r="AF830">
        <v>0</v>
      </c>
      <c r="AG830">
        <v>2</v>
      </c>
      <c r="AH830">
        <v>0</v>
      </c>
      <c r="AI830" t="s">
        <v>751</v>
      </c>
      <c r="AJ830">
        <v>41.975411999999999</v>
      </c>
      <c r="AK830" t="s">
        <v>277</v>
      </c>
      <c r="AL830">
        <v>-87.894316000000003</v>
      </c>
      <c r="AS830">
        <v>1</v>
      </c>
      <c r="AT830" t="s">
        <v>118</v>
      </c>
      <c r="AU830" t="b">
        <v>1</v>
      </c>
      <c r="AV830">
        <v>0</v>
      </c>
      <c r="AW830">
        <v>15.125</v>
      </c>
      <c r="AX830">
        <v>1</v>
      </c>
      <c r="AZ830">
        <v>7205</v>
      </c>
      <c r="BA830">
        <v>1</v>
      </c>
      <c r="BB830" t="str">
        <f t="shared" si="38"/>
        <v xml:space="preserve">KAP400  </v>
      </c>
      <c r="BC830">
        <v>1</v>
      </c>
      <c r="BE830">
        <v>0</v>
      </c>
      <c r="BF830">
        <v>0</v>
      </c>
      <c r="BG830">
        <v>0</v>
      </c>
      <c r="BI830">
        <v>1</v>
      </c>
      <c r="BJ830">
        <v>1</v>
      </c>
      <c r="BK830">
        <v>1</v>
      </c>
      <c r="BL830">
        <v>0</v>
      </c>
      <c r="BO830">
        <v>0</v>
      </c>
      <c r="BP830">
        <v>0</v>
      </c>
      <c r="BW830" t="str">
        <f>"19:17:44.912"</f>
        <v>19:17:44.912</v>
      </c>
      <c r="BX830" t="s">
        <v>119</v>
      </c>
      <c r="BY830" t="s">
        <v>120</v>
      </c>
      <c r="CJ830">
        <v>0</v>
      </c>
      <c r="CK830">
        <v>0</v>
      </c>
      <c r="CL830">
        <v>0</v>
      </c>
      <c r="CM830">
        <v>2</v>
      </c>
      <c r="CN830">
        <v>0</v>
      </c>
      <c r="CO830">
        <v>5</v>
      </c>
      <c r="CP830" t="s">
        <v>121</v>
      </c>
      <c r="CQ830">
        <v>582</v>
      </c>
      <c r="CR830">
        <v>0</v>
      </c>
      <c r="CW830">
        <v>6615400</v>
      </c>
      <c r="CY830">
        <v>0</v>
      </c>
      <c r="CZ830">
        <v>0</v>
      </c>
      <c r="DA830">
        <v>0</v>
      </c>
      <c r="DB830">
        <v>1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</row>
    <row r="831" spans="1:113" x14ac:dyDescent="0.3">
      <c r="A831" t="str">
        <f>"06/16/2022 19:17:46.221"</f>
        <v>06/16/2022 19:17:46.221</v>
      </c>
      <c r="C831" t="str">
        <f t="shared" si="39"/>
        <v>FFBF5BC0</v>
      </c>
      <c r="D831" t="s">
        <v>113</v>
      </c>
      <c r="E831">
        <v>8</v>
      </c>
      <c r="H831">
        <v>206</v>
      </c>
      <c r="I831" t="s">
        <v>114</v>
      </c>
      <c r="J831" t="s">
        <v>115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>"19:17:46.016"</f>
        <v>19:17:46.016</v>
      </c>
      <c r="T831" t="str">
        <f>"19:17:46.016"</f>
        <v>19:17:46.016</v>
      </c>
      <c r="U831" t="str">
        <f t="shared" si="37"/>
        <v>AB63B2</v>
      </c>
      <c r="V831">
        <v>0</v>
      </c>
      <c r="W831">
        <v>0</v>
      </c>
      <c r="X831">
        <v>6</v>
      </c>
      <c r="Z831">
        <v>0</v>
      </c>
      <c r="AA831">
        <v>9</v>
      </c>
      <c r="AB831">
        <v>3</v>
      </c>
      <c r="AC831">
        <v>0</v>
      </c>
      <c r="AD831">
        <v>10</v>
      </c>
      <c r="AE831">
        <v>0</v>
      </c>
      <c r="AF831">
        <v>0</v>
      </c>
      <c r="AG831">
        <v>2</v>
      </c>
      <c r="AH831">
        <v>0</v>
      </c>
      <c r="AI831" t="s">
        <v>752</v>
      </c>
      <c r="AJ831">
        <v>41.975498000000002</v>
      </c>
      <c r="AK831" t="s">
        <v>277</v>
      </c>
      <c r="AL831">
        <v>-87.894316000000003</v>
      </c>
      <c r="AS831">
        <v>1</v>
      </c>
      <c r="AT831" t="s">
        <v>118</v>
      </c>
      <c r="AU831" t="b">
        <v>1</v>
      </c>
      <c r="AV831">
        <v>0</v>
      </c>
      <c r="AW831">
        <v>15.125</v>
      </c>
      <c r="AX831">
        <v>1</v>
      </c>
      <c r="AZ831">
        <v>7205</v>
      </c>
      <c r="BA831">
        <v>1</v>
      </c>
      <c r="BB831" t="str">
        <f t="shared" si="38"/>
        <v xml:space="preserve">KAP400  </v>
      </c>
      <c r="BC831">
        <v>1</v>
      </c>
      <c r="BE831">
        <v>0</v>
      </c>
      <c r="BF831">
        <v>0</v>
      </c>
      <c r="BG831">
        <v>0</v>
      </c>
      <c r="BI831">
        <v>1</v>
      </c>
      <c r="BJ831">
        <v>1</v>
      </c>
      <c r="BK831">
        <v>1</v>
      </c>
      <c r="BL831">
        <v>0</v>
      </c>
      <c r="BO831">
        <v>0</v>
      </c>
      <c r="BP831">
        <v>0</v>
      </c>
      <c r="BW831" t="str">
        <f>"19:17:46.023"</f>
        <v>19:17:46.023</v>
      </c>
      <c r="BX831" t="s">
        <v>119</v>
      </c>
      <c r="BY831" t="s">
        <v>120</v>
      </c>
      <c r="CJ831">
        <v>0</v>
      </c>
      <c r="CK831">
        <v>0</v>
      </c>
      <c r="CL831">
        <v>0</v>
      </c>
      <c r="CM831">
        <v>2</v>
      </c>
      <c r="CN831">
        <v>0</v>
      </c>
      <c r="CO831">
        <v>6</v>
      </c>
      <c r="CP831" t="s">
        <v>121</v>
      </c>
      <c r="CQ831">
        <v>582</v>
      </c>
      <c r="CR831">
        <v>0</v>
      </c>
      <c r="CW831">
        <v>6616738</v>
      </c>
      <c r="CY831">
        <v>0</v>
      </c>
      <c r="CZ831">
        <v>0</v>
      </c>
      <c r="DA831">
        <v>0</v>
      </c>
      <c r="DB831">
        <v>1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</row>
    <row r="832" spans="1:113" x14ac:dyDescent="0.3">
      <c r="A832" t="str">
        <f>"06/16/2022 19:17:47.129"</f>
        <v>06/16/2022 19:17:47.129</v>
      </c>
      <c r="C832" t="str">
        <f t="shared" si="39"/>
        <v>FFBF5BC0</v>
      </c>
      <c r="D832" t="s">
        <v>113</v>
      </c>
      <c r="E832">
        <v>8</v>
      </c>
      <c r="H832">
        <v>206</v>
      </c>
      <c r="I832" t="s">
        <v>114</v>
      </c>
      <c r="J832" t="s">
        <v>115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>"19:17:46.852"</f>
        <v>19:17:46.852</v>
      </c>
      <c r="T832" t="str">
        <f>"19:17:46.852"</f>
        <v>19:17:46.852</v>
      </c>
      <c r="U832" t="str">
        <f t="shared" si="37"/>
        <v>AB63B2</v>
      </c>
      <c r="V832">
        <v>0</v>
      </c>
      <c r="W832">
        <v>0</v>
      </c>
      <c r="X832">
        <v>6</v>
      </c>
      <c r="Z832">
        <v>0</v>
      </c>
      <c r="AA832">
        <v>9</v>
      </c>
      <c r="AB832">
        <v>3</v>
      </c>
      <c r="AC832">
        <v>0</v>
      </c>
      <c r="AD832">
        <v>10</v>
      </c>
      <c r="AE832">
        <v>0</v>
      </c>
      <c r="AF832">
        <v>0</v>
      </c>
      <c r="AG832">
        <v>2</v>
      </c>
      <c r="AH832">
        <v>0</v>
      </c>
      <c r="AI832" t="s">
        <v>753</v>
      </c>
      <c r="AJ832">
        <v>41.975541</v>
      </c>
      <c r="AK832" t="s">
        <v>277</v>
      </c>
      <c r="AL832">
        <v>-87.894316000000003</v>
      </c>
      <c r="AS832">
        <v>1</v>
      </c>
      <c r="AT832" t="s">
        <v>118</v>
      </c>
      <c r="AU832" t="b">
        <v>1</v>
      </c>
      <c r="AV832">
        <v>0</v>
      </c>
      <c r="AW832">
        <v>15.125</v>
      </c>
      <c r="AX832">
        <v>1</v>
      </c>
      <c r="AZ832">
        <v>7205</v>
      </c>
      <c r="BA832">
        <v>1</v>
      </c>
      <c r="BB832" t="str">
        <f t="shared" si="38"/>
        <v xml:space="preserve">KAP400  </v>
      </c>
      <c r="BC832">
        <v>1</v>
      </c>
      <c r="BE832">
        <v>0</v>
      </c>
      <c r="BF832">
        <v>0</v>
      </c>
      <c r="BG832">
        <v>0</v>
      </c>
      <c r="BI832">
        <v>1</v>
      </c>
      <c r="BJ832">
        <v>1</v>
      </c>
      <c r="BK832">
        <v>1</v>
      </c>
      <c r="BL832">
        <v>0</v>
      </c>
      <c r="BO832">
        <v>0</v>
      </c>
      <c r="BP832">
        <v>0</v>
      </c>
      <c r="BW832" t="str">
        <f>"19:17:46.859"</f>
        <v>19:17:46.859</v>
      </c>
      <c r="BX832" t="s">
        <v>119</v>
      </c>
      <c r="BY832" t="s">
        <v>120</v>
      </c>
      <c r="CJ832">
        <v>0</v>
      </c>
      <c r="CK832">
        <v>0</v>
      </c>
      <c r="CL832">
        <v>0</v>
      </c>
      <c r="CM832">
        <v>2</v>
      </c>
      <c r="CN832">
        <v>0</v>
      </c>
      <c r="CO832">
        <v>5</v>
      </c>
      <c r="CP832" t="s">
        <v>121</v>
      </c>
      <c r="CQ832">
        <v>581</v>
      </c>
      <c r="CR832">
        <v>0</v>
      </c>
      <c r="CW832">
        <v>15715143</v>
      </c>
      <c r="CY832">
        <v>0</v>
      </c>
      <c r="CZ832">
        <v>0</v>
      </c>
      <c r="DA832">
        <v>0</v>
      </c>
      <c r="DB832">
        <v>1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</row>
    <row r="833" spans="1:113" x14ac:dyDescent="0.3">
      <c r="A833" t="str">
        <f>"06/16/2022 19:17:48.097"</f>
        <v>06/16/2022 19:17:48.097</v>
      </c>
      <c r="C833" t="str">
        <f t="shared" si="39"/>
        <v>FFBF5BC0</v>
      </c>
      <c r="D833" t="s">
        <v>113</v>
      </c>
      <c r="E833">
        <v>8</v>
      </c>
      <c r="H833">
        <v>206</v>
      </c>
      <c r="I833" t="s">
        <v>114</v>
      </c>
      <c r="J833" t="s">
        <v>115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>"19:17:47.828"</f>
        <v>19:17:47.828</v>
      </c>
      <c r="T833" t="str">
        <f>"19:17:47.828"</f>
        <v>19:17:47.828</v>
      </c>
      <c r="U833" t="str">
        <f t="shared" si="37"/>
        <v>AB63B2</v>
      </c>
      <c r="V833">
        <v>0</v>
      </c>
      <c r="W833">
        <v>0</v>
      </c>
      <c r="X833">
        <v>6</v>
      </c>
      <c r="Z833">
        <v>0</v>
      </c>
      <c r="AA833">
        <v>9</v>
      </c>
      <c r="AB833">
        <v>3</v>
      </c>
      <c r="AC833">
        <v>0</v>
      </c>
      <c r="AD833">
        <v>10</v>
      </c>
      <c r="AE833">
        <v>0</v>
      </c>
      <c r="AF833">
        <v>0</v>
      </c>
      <c r="AG833">
        <v>2</v>
      </c>
      <c r="AH833">
        <v>0</v>
      </c>
      <c r="AI833" t="s">
        <v>754</v>
      </c>
      <c r="AJ833">
        <v>41.975627000000003</v>
      </c>
      <c r="AK833" t="s">
        <v>277</v>
      </c>
      <c r="AL833">
        <v>-87.894316000000003</v>
      </c>
      <c r="AS833">
        <v>1</v>
      </c>
      <c r="AT833" t="s">
        <v>118</v>
      </c>
      <c r="AU833" t="b">
        <v>1</v>
      </c>
      <c r="AV833">
        <v>0</v>
      </c>
      <c r="AW833">
        <v>15.125</v>
      </c>
      <c r="AX833">
        <v>1</v>
      </c>
      <c r="AZ833">
        <v>7205</v>
      </c>
      <c r="BA833">
        <v>1</v>
      </c>
      <c r="BB833" t="str">
        <f t="shared" si="38"/>
        <v xml:space="preserve">KAP400  </v>
      </c>
      <c r="BC833">
        <v>1</v>
      </c>
      <c r="BE833">
        <v>0</v>
      </c>
      <c r="BF833">
        <v>0</v>
      </c>
      <c r="BG833">
        <v>0</v>
      </c>
      <c r="BI833">
        <v>1</v>
      </c>
      <c r="BJ833">
        <v>1</v>
      </c>
      <c r="BK833">
        <v>1</v>
      </c>
      <c r="BL833">
        <v>0</v>
      </c>
      <c r="BO833">
        <v>0</v>
      </c>
      <c r="BP833">
        <v>0</v>
      </c>
      <c r="BW833" t="str">
        <f>"19:17:47.834"</f>
        <v>19:17:47.834</v>
      </c>
      <c r="BX833" t="s">
        <v>119</v>
      </c>
      <c r="BY833" t="s">
        <v>120</v>
      </c>
      <c r="CJ833">
        <v>0</v>
      </c>
      <c r="CK833">
        <v>0</v>
      </c>
      <c r="CL833">
        <v>0</v>
      </c>
      <c r="CM833">
        <v>2</v>
      </c>
      <c r="CN833">
        <v>0</v>
      </c>
      <c r="CO833">
        <v>7</v>
      </c>
      <c r="CP833" t="s">
        <v>121</v>
      </c>
      <c r="CQ833">
        <v>580</v>
      </c>
      <c r="CR833">
        <v>0</v>
      </c>
      <c r="CW833">
        <v>881085</v>
      </c>
      <c r="CY833">
        <v>0</v>
      </c>
      <c r="CZ833">
        <v>0</v>
      </c>
      <c r="DA833">
        <v>0</v>
      </c>
      <c r="DB833">
        <v>1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</row>
    <row r="834" spans="1:113" x14ac:dyDescent="0.3">
      <c r="A834" t="str">
        <f>"06/16/2022 19:17:49.269"</f>
        <v>06/16/2022 19:17:49.269</v>
      </c>
      <c r="C834" t="str">
        <f t="shared" si="39"/>
        <v>FFBF5BC0</v>
      </c>
      <c r="D834" t="s">
        <v>113</v>
      </c>
      <c r="E834">
        <v>8</v>
      </c>
      <c r="H834">
        <v>206</v>
      </c>
      <c r="I834" t="s">
        <v>114</v>
      </c>
      <c r="J834" t="s">
        <v>115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>"19:17:48.992"</f>
        <v>19:17:48.992</v>
      </c>
      <c r="T834" t="str">
        <f>"19:17:48.992"</f>
        <v>19:17:48.992</v>
      </c>
      <c r="U834" t="str">
        <f t="shared" ref="U834:U897" si="40">"AB63B2"</f>
        <v>AB63B2</v>
      </c>
      <c r="V834">
        <v>0</v>
      </c>
      <c r="W834">
        <v>0</v>
      </c>
      <c r="X834">
        <v>6</v>
      </c>
      <c r="Z834">
        <v>0</v>
      </c>
      <c r="AA834">
        <v>9</v>
      </c>
      <c r="AB834">
        <v>3</v>
      </c>
      <c r="AC834">
        <v>0</v>
      </c>
      <c r="AD834">
        <v>10</v>
      </c>
      <c r="AE834">
        <v>0</v>
      </c>
      <c r="AF834">
        <v>0</v>
      </c>
      <c r="AG834">
        <v>2</v>
      </c>
      <c r="AH834">
        <v>0</v>
      </c>
      <c r="AI834" t="s">
        <v>755</v>
      </c>
      <c r="AJ834">
        <v>41.975690999999998</v>
      </c>
      <c r="AK834" t="s">
        <v>277</v>
      </c>
      <c r="AL834">
        <v>-87.894316000000003</v>
      </c>
      <c r="AS834">
        <v>1</v>
      </c>
      <c r="AT834" t="s">
        <v>118</v>
      </c>
      <c r="AU834" t="b">
        <v>1</v>
      </c>
      <c r="AV834">
        <v>0</v>
      </c>
      <c r="AW834">
        <v>15.125</v>
      </c>
      <c r="AX834">
        <v>1</v>
      </c>
      <c r="AZ834">
        <v>7205</v>
      </c>
      <c r="BA834">
        <v>1</v>
      </c>
      <c r="BB834" t="str">
        <f t="shared" ref="BB834:BB897" si="41">"KAP400  "</f>
        <v xml:space="preserve">KAP400  </v>
      </c>
      <c r="BC834">
        <v>1</v>
      </c>
      <c r="BE834">
        <v>0</v>
      </c>
      <c r="BF834">
        <v>0</v>
      </c>
      <c r="BG834">
        <v>0</v>
      </c>
      <c r="BI834">
        <v>1</v>
      </c>
      <c r="BJ834">
        <v>1</v>
      </c>
      <c r="BK834">
        <v>1</v>
      </c>
      <c r="BL834">
        <v>0</v>
      </c>
      <c r="BO834">
        <v>0</v>
      </c>
      <c r="BP834">
        <v>0</v>
      </c>
      <c r="BW834" t="str">
        <f>"19:17:48.995"</f>
        <v>19:17:48.995</v>
      </c>
      <c r="BX834" t="s">
        <v>119</v>
      </c>
      <c r="BY834" t="s">
        <v>120</v>
      </c>
      <c r="CJ834">
        <v>0</v>
      </c>
      <c r="CK834">
        <v>0</v>
      </c>
      <c r="CL834">
        <v>0</v>
      </c>
      <c r="CM834">
        <v>2</v>
      </c>
      <c r="CN834">
        <v>0</v>
      </c>
      <c r="CO834">
        <v>6</v>
      </c>
      <c r="CP834" t="s">
        <v>121</v>
      </c>
      <c r="CQ834">
        <v>582</v>
      </c>
      <c r="CR834">
        <v>0</v>
      </c>
      <c r="CW834">
        <v>6620486</v>
      </c>
      <c r="CY834">
        <v>0</v>
      </c>
      <c r="CZ834">
        <v>0</v>
      </c>
      <c r="DA834">
        <v>0</v>
      </c>
      <c r="DB834">
        <v>1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</row>
    <row r="835" spans="1:113" x14ac:dyDescent="0.3">
      <c r="A835" t="str">
        <f>"06/16/2022 19:17:50.348"</f>
        <v>06/16/2022 19:17:50.348</v>
      </c>
      <c r="C835" t="str">
        <f t="shared" si="39"/>
        <v>FFBF5BC0</v>
      </c>
      <c r="D835" t="s">
        <v>113</v>
      </c>
      <c r="E835">
        <v>8</v>
      </c>
      <c r="H835">
        <v>206</v>
      </c>
      <c r="I835" t="s">
        <v>114</v>
      </c>
      <c r="J835" t="s">
        <v>115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>"19:17:49.953"</f>
        <v>19:17:49.953</v>
      </c>
      <c r="T835" t="str">
        <f>"19:17:49.953"</f>
        <v>19:17:49.953</v>
      </c>
      <c r="U835" t="str">
        <f t="shared" si="40"/>
        <v>AB63B2</v>
      </c>
      <c r="V835">
        <v>0</v>
      </c>
      <c r="W835">
        <v>0</v>
      </c>
      <c r="X835">
        <v>6</v>
      </c>
      <c r="Z835">
        <v>0</v>
      </c>
      <c r="AA835">
        <v>9</v>
      </c>
      <c r="AB835">
        <v>3</v>
      </c>
      <c r="AC835">
        <v>0</v>
      </c>
      <c r="AD835">
        <v>10</v>
      </c>
      <c r="AE835">
        <v>0</v>
      </c>
      <c r="AF835">
        <v>0</v>
      </c>
      <c r="AG835">
        <v>2</v>
      </c>
      <c r="AH835">
        <v>0</v>
      </c>
      <c r="AI835" t="s">
        <v>756</v>
      </c>
      <c r="AJ835">
        <v>41.975755999999997</v>
      </c>
      <c r="AK835" t="s">
        <v>277</v>
      </c>
      <c r="AL835">
        <v>-87.894316000000003</v>
      </c>
      <c r="AS835">
        <v>1</v>
      </c>
      <c r="AT835" t="s">
        <v>118</v>
      </c>
      <c r="AU835" t="b">
        <v>1</v>
      </c>
      <c r="AV835">
        <v>0</v>
      </c>
      <c r="AW835">
        <v>15.125</v>
      </c>
      <c r="AX835">
        <v>1</v>
      </c>
      <c r="AZ835">
        <v>7205</v>
      </c>
      <c r="BA835">
        <v>1</v>
      </c>
      <c r="BB835" t="str">
        <f t="shared" si="41"/>
        <v xml:space="preserve">KAP400  </v>
      </c>
      <c r="BC835">
        <v>1</v>
      </c>
      <c r="BE835">
        <v>0</v>
      </c>
      <c r="BF835">
        <v>0</v>
      </c>
      <c r="BG835">
        <v>0</v>
      </c>
      <c r="BI835">
        <v>1</v>
      </c>
      <c r="BJ835">
        <v>1</v>
      </c>
      <c r="BK835">
        <v>1</v>
      </c>
      <c r="BL835">
        <v>0</v>
      </c>
      <c r="BO835">
        <v>0</v>
      </c>
      <c r="BP835">
        <v>0</v>
      </c>
      <c r="BW835" t="str">
        <f>"19:17:49.960"</f>
        <v>19:17:49.960</v>
      </c>
      <c r="BX835" t="s">
        <v>119</v>
      </c>
      <c r="BY835" t="s">
        <v>120</v>
      </c>
      <c r="CJ835">
        <v>0</v>
      </c>
      <c r="CK835">
        <v>0</v>
      </c>
      <c r="CL835">
        <v>0</v>
      </c>
      <c r="CM835">
        <v>2</v>
      </c>
      <c r="CN835">
        <v>0</v>
      </c>
      <c r="CO835">
        <v>6</v>
      </c>
      <c r="CP835" t="s">
        <v>121</v>
      </c>
      <c r="CQ835">
        <v>581</v>
      </c>
      <c r="CR835">
        <v>0</v>
      </c>
      <c r="CW835">
        <v>15719481</v>
      </c>
      <c r="CY835">
        <v>0</v>
      </c>
      <c r="CZ835">
        <v>0</v>
      </c>
      <c r="DA835">
        <v>0</v>
      </c>
      <c r="DB835">
        <v>1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</row>
    <row r="836" spans="1:113" x14ac:dyDescent="0.3">
      <c r="A836" t="str">
        <f>"06/16/2022 19:17:51.176"</f>
        <v>06/16/2022 19:17:51.176</v>
      </c>
      <c r="C836" t="str">
        <f t="shared" si="39"/>
        <v>FFBF5BC0</v>
      </c>
      <c r="D836" t="s">
        <v>113</v>
      </c>
      <c r="E836">
        <v>8</v>
      </c>
      <c r="H836">
        <v>206</v>
      </c>
      <c r="I836" t="s">
        <v>114</v>
      </c>
      <c r="J836" t="s">
        <v>115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>"19:17:50.922"</f>
        <v>19:17:50.922</v>
      </c>
      <c r="T836" t="str">
        <f>"19:17:50.922"</f>
        <v>19:17:50.922</v>
      </c>
      <c r="U836" t="str">
        <f t="shared" si="40"/>
        <v>AB63B2</v>
      </c>
      <c r="V836">
        <v>0</v>
      </c>
      <c r="W836">
        <v>0</v>
      </c>
      <c r="X836">
        <v>6</v>
      </c>
      <c r="Z836">
        <v>0</v>
      </c>
      <c r="AA836">
        <v>9</v>
      </c>
      <c r="AB836">
        <v>3</v>
      </c>
      <c r="AC836">
        <v>0</v>
      </c>
      <c r="AD836">
        <v>10</v>
      </c>
      <c r="AE836">
        <v>0</v>
      </c>
      <c r="AF836">
        <v>0</v>
      </c>
      <c r="AG836">
        <v>2</v>
      </c>
      <c r="AH836">
        <v>0</v>
      </c>
      <c r="AI836" t="s">
        <v>757</v>
      </c>
      <c r="AJ836">
        <v>41.975819999999999</v>
      </c>
      <c r="AK836" t="s">
        <v>277</v>
      </c>
      <c r="AL836">
        <v>-87.894316000000003</v>
      </c>
      <c r="AS836">
        <v>1</v>
      </c>
      <c r="AT836" t="s">
        <v>118</v>
      </c>
      <c r="AU836" t="b">
        <v>1</v>
      </c>
      <c r="AV836">
        <v>0</v>
      </c>
      <c r="AW836">
        <v>15.125</v>
      </c>
      <c r="AX836">
        <v>1</v>
      </c>
      <c r="AZ836">
        <v>7205</v>
      </c>
      <c r="BA836">
        <v>1</v>
      </c>
      <c r="BB836" t="str">
        <f t="shared" si="41"/>
        <v xml:space="preserve">KAP400  </v>
      </c>
      <c r="BC836">
        <v>1</v>
      </c>
      <c r="BE836">
        <v>0</v>
      </c>
      <c r="BF836">
        <v>0</v>
      </c>
      <c r="BG836">
        <v>0</v>
      </c>
      <c r="BI836">
        <v>1</v>
      </c>
      <c r="BJ836">
        <v>1</v>
      </c>
      <c r="BK836">
        <v>1</v>
      </c>
      <c r="BL836">
        <v>0</v>
      </c>
      <c r="BO836">
        <v>0</v>
      </c>
      <c r="BP836">
        <v>0</v>
      </c>
      <c r="BW836" t="str">
        <f>"19:17:50.925"</f>
        <v>19:17:50.925</v>
      </c>
      <c r="BX836" t="s">
        <v>119</v>
      </c>
      <c r="BY836" t="s">
        <v>120</v>
      </c>
      <c r="CJ836">
        <v>0</v>
      </c>
      <c r="CK836">
        <v>0</v>
      </c>
      <c r="CL836">
        <v>0</v>
      </c>
      <c r="CM836">
        <v>2</v>
      </c>
      <c r="CN836">
        <v>0</v>
      </c>
      <c r="CO836">
        <v>5</v>
      </c>
      <c r="CP836" t="s">
        <v>121</v>
      </c>
      <c r="CQ836">
        <v>579</v>
      </c>
      <c r="CR836">
        <v>0</v>
      </c>
      <c r="CW836">
        <v>2018181</v>
      </c>
      <c r="CY836">
        <v>0</v>
      </c>
      <c r="CZ836">
        <v>0</v>
      </c>
      <c r="DA836">
        <v>0</v>
      </c>
      <c r="DB836">
        <v>1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</row>
    <row r="837" spans="1:113" x14ac:dyDescent="0.3">
      <c r="A837" t="str">
        <f>"06/16/2022 19:17:52.628"</f>
        <v>06/16/2022 19:17:52.628</v>
      </c>
      <c r="C837" t="str">
        <f t="shared" si="39"/>
        <v>FFBF5BC0</v>
      </c>
      <c r="D837" t="s">
        <v>113</v>
      </c>
      <c r="E837">
        <v>8</v>
      </c>
      <c r="H837">
        <v>206</v>
      </c>
      <c r="I837" t="s">
        <v>114</v>
      </c>
      <c r="J837" t="s">
        <v>115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>"19:17:52.430"</f>
        <v>19:17:52.430</v>
      </c>
      <c r="T837" t="str">
        <f>"19:17:52.430"</f>
        <v>19:17:52.430</v>
      </c>
      <c r="U837" t="str">
        <f t="shared" si="40"/>
        <v>AB63B2</v>
      </c>
      <c r="V837">
        <v>0</v>
      </c>
      <c r="W837">
        <v>0</v>
      </c>
      <c r="X837">
        <v>6</v>
      </c>
      <c r="Z837">
        <v>0</v>
      </c>
      <c r="AA837">
        <v>9</v>
      </c>
      <c r="AB837">
        <v>3</v>
      </c>
      <c r="AC837">
        <v>0</v>
      </c>
      <c r="AD837">
        <v>10</v>
      </c>
      <c r="AE837">
        <v>0</v>
      </c>
      <c r="AF837">
        <v>0</v>
      </c>
      <c r="AG837">
        <v>2</v>
      </c>
      <c r="AH837">
        <v>0</v>
      </c>
      <c r="AI837" t="s">
        <v>758</v>
      </c>
      <c r="AJ837">
        <v>41.975926999999999</v>
      </c>
      <c r="AK837" t="s">
        <v>277</v>
      </c>
      <c r="AL837">
        <v>-87.894316000000003</v>
      </c>
      <c r="AS837">
        <v>1</v>
      </c>
      <c r="AT837" t="s">
        <v>118</v>
      </c>
      <c r="AU837" t="b">
        <v>1</v>
      </c>
      <c r="AV837">
        <v>0</v>
      </c>
      <c r="AW837">
        <v>16.125</v>
      </c>
      <c r="AX837">
        <v>1</v>
      </c>
      <c r="AZ837">
        <v>7205</v>
      </c>
      <c r="BA837">
        <v>1</v>
      </c>
      <c r="BB837" t="str">
        <f t="shared" si="41"/>
        <v xml:space="preserve">KAP400  </v>
      </c>
      <c r="BC837">
        <v>1</v>
      </c>
      <c r="BE837">
        <v>0</v>
      </c>
      <c r="BF837">
        <v>0</v>
      </c>
      <c r="BG837">
        <v>0</v>
      </c>
      <c r="BI837">
        <v>1</v>
      </c>
      <c r="BJ837">
        <v>1</v>
      </c>
      <c r="BK837">
        <v>1</v>
      </c>
      <c r="BL837">
        <v>0</v>
      </c>
      <c r="BO837">
        <v>0</v>
      </c>
      <c r="BP837">
        <v>0</v>
      </c>
      <c r="BW837" t="str">
        <f>"19:17:52.434"</f>
        <v>19:17:52.434</v>
      </c>
      <c r="BX837" t="s">
        <v>119</v>
      </c>
      <c r="BY837" t="s">
        <v>120</v>
      </c>
      <c r="CJ837">
        <v>0</v>
      </c>
      <c r="CK837">
        <v>0</v>
      </c>
      <c r="CL837">
        <v>0</v>
      </c>
      <c r="CM837">
        <v>2</v>
      </c>
      <c r="CN837">
        <v>0</v>
      </c>
      <c r="CO837">
        <v>6</v>
      </c>
      <c r="CP837" t="s">
        <v>121</v>
      </c>
      <c r="CQ837">
        <v>579</v>
      </c>
      <c r="CR837">
        <v>0</v>
      </c>
      <c r="CW837">
        <v>2020948</v>
      </c>
      <c r="CY837">
        <v>0</v>
      </c>
      <c r="CZ837">
        <v>0</v>
      </c>
      <c r="DA837">
        <v>0</v>
      </c>
      <c r="DB837">
        <v>1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</row>
    <row r="838" spans="1:113" x14ac:dyDescent="0.3">
      <c r="A838" t="str">
        <f>"06/16/2022 19:17:53.659"</f>
        <v>06/16/2022 19:17:53.659</v>
      </c>
      <c r="C838" t="str">
        <f t="shared" si="39"/>
        <v>FFBF5BC0</v>
      </c>
      <c r="D838" t="s">
        <v>113</v>
      </c>
      <c r="E838">
        <v>8</v>
      </c>
      <c r="H838">
        <v>206</v>
      </c>
      <c r="I838" t="s">
        <v>114</v>
      </c>
      <c r="J838" t="s">
        <v>115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>"19:17:53.320"</f>
        <v>19:17:53.320</v>
      </c>
      <c r="T838" t="str">
        <f>"19:17:53.320"</f>
        <v>19:17:53.320</v>
      </c>
      <c r="U838" t="str">
        <f t="shared" si="40"/>
        <v>AB63B2</v>
      </c>
      <c r="V838">
        <v>0</v>
      </c>
      <c r="W838">
        <v>0</v>
      </c>
      <c r="X838">
        <v>6</v>
      </c>
      <c r="Z838">
        <v>0</v>
      </c>
      <c r="AA838">
        <v>9</v>
      </c>
      <c r="AB838">
        <v>3</v>
      </c>
      <c r="AC838">
        <v>0</v>
      </c>
      <c r="AD838">
        <v>10</v>
      </c>
      <c r="AE838">
        <v>0</v>
      </c>
      <c r="AF838">
        <v>0</v>
      </c>
      <c r="AG838">
        <v>2</v>
      </c>
      <c r="AH838">
        <v>0</v>
      </c>
      <c r="AI838" t="s">
        <v>759</v>
      </c>
      <c r="AJ838">
        <v>41.975991999999998</v>
      </c>
      <c r="AK838" t="s">
        <v>277</v>
      </c>
      <c r="AL838">
        <v>-87.894316000000003</v>
      </c>
      <c r="AS838">
        <v>1</v>
      </c>
      <c r="AT838" t="s">
        <v>118</v>
      </c>
      <c r="AU838" t="b">
        <v>1</v>
      </c>
      <c r="AV838">
        <v>0</v>
      </c>
      <c r="AW838">
        <v>16.125</v>
      </c>
      <c r="AX838">
        <v>1</v>
      </c>
      <c r="AZ838">
        <v>7205</v>
      </c>
      <c r="BA838">
        <v>1</v>
      </c>
      <c r="BB838" t="str">
        <f t="shared" si="41"/>
        <v xml:space="preserve">KAP400  </v>
      </c>
      <c r="BC838">
        <v>1</v>
      </c>
      <c r="BE838">
        <v>0</v>
      </c>
      <c r="BF838">
        <v>0</v>
      </c>
      <c r="BG838">
        <v>0</v>
      </c>
      <c r="BI838">
        <v>1</v>
      </c>
      <c r="BJ838">
        <v>1</v>
      </c>
      <c r="BK838">
        <v>1</v>
      </c>
      <c r="BL838">
        <v>0</v>
      </c>
      <c r="BO838">
        <v>0</v>
      </c>
      <c r="BP838">
        <v>0</v>
      </c>
      <c r="BW838" t="str">
        <f>"19:17:53.327"</f>
        <v>19:17:53.327</v>
      </c>
      <c r="BX838" t="s">
        <v>119</v>
      </c>
      <c r="BY838" t="s">
        <v>120</v>
      </c>
      <c r="CJ838">
        <v>0</v>
      </c>
      <c r="CK838">
        <v>0</v>
      </c>
      <c r="CL838">
        <v>0</v>
      </c>
      <c r="CM838">
        <v>2</v>
      </c>
      <c r="CN838">
        <v>0</v>
      </c>
      <c r="CO838">
        <v>6</v>
      </c>
      <c r="CP838" t="s">
        <v>121</v>
      </c>
      <c r="CQ838">
        <v>580</v>
      </c>
      <c r="CR838">
        <v>0</v>
      </c>
      <c r="CW838">
        <v>890679</v>
      </c>
      <c r="CY838">
        <v>0</v>
      </c>
      <c r="CZ838">
        <v>0</v>
      </c>
      <c r="DA838">
        <v>0</v>
      </c>
      <c r="DB838">
        <v>1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</row>
    <row r="839" spans="1:113" x14ac:dyDescent="0.3">
      <c r="A839" t="str">
        <f>"06/16/2022 19:17:54.581"</f>
        <v>06/16/2022 19:17:54.581</v>
      </c>
      <c r="C839" t="str">
        <f t="shared" si="39"/>
        <v>FFBF5BC0</v>
      </c>
      <c r="D839" t="s">
        <v>113</v>
      </c>
      <c r="E839">
        <v>8</v>
      </c>
      <c r="H839">
        <v>206</v>
      </c>
      <c r="I839" t="s">
        <v>114</v>
      </c>
      <c r="J839" t="s">
        <v>115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>"19:17:54.352"</f>
        <v>19:17:54.352</v>
      </c>
      <c r="T839" t="str">
        <f>"19:17:54.352"</f>
        <v>19:17:54.352</v>
      </c>
      <c r="U839" t="str">
        <f t="shared" si="40"/>
        <v>AB63B2</v>
      </c>
      <c r="V839">
        <v>0</v>
      </c>
      <c r="W839">
        <v>0</v>
      </c>
      <c r="X839">
        <v>6</v>
      </c>
      <c r="Z839">
        <v>0</v>
      </c>
      <c r="AA839">
        <v>9</v>
      </c>
      <c r="AB839">
        <v>3</v>
      </c>
      <c r="AC839">
        <v>0</v>
      </c>
      <c r="AD839">
        <v>10</v>
      </c>
      <c r="AE839">
        <v>0</v>
      </c>
      <c r="AF839">
        <v>0</v>
      </c>
      <c r="AG839">
        <v>2</v>
      </c>
      <c r="AH839">
        <v>0</v>
      </c>
      <c r="AI839" t="s">
        <v>760</v>
      </c>
      <c r="AJ839">
        <v>41.976078000000001</v>
      </c>
      <c r="AK839" t="s">
        <v>277</v>
      </c>
      <c r="AL839">
        <v>-87.894316000000003</v>
      </c>
      <c r="AS839">
        <v>1</v>
      </c>
      <c r="AT839" t="s">
        <v>118</v>
      </c>
      <c r="AU839" t="b">
        <v>1</v>
      </c>
      <c r="AV839">
        <v>0</v>
      </c>
      <c r="AW839">
        <v>16.125</v>
      </c>
      <c r="AX839">
        <v>1</v>
      </c>
      <c r="AZ839">
        <v>7205</v>
      </c>
      <c r="BA839">
        <v>1</v>
      </c>
      <c r="BB839" t="str">
        <f t="shared" si="41"/>
        <v xml:space="preserve">KAP400  </v>
      </c>
      <c r="BC839">
        <v>1</v>
      </c>
      <c r="BE839">
        <v>0</v>
      </c>
      <c r="BF839">
        <v>0</v>
      </c>
      <c r="BG839">
        <v>0</v>
      </c>
      <c r="BI839">
        <v>1</v>
      </c>
      <c r="BJ839">
        <v>1</v>
      </c>
      <c r="BK839">
        <v>1</v>
      </c>
      <c r="BL839">
        <v>0</v>
      </c>
      <c r="BO839">
        <v>0</v>
      </c>
      <c r="BP839">
        <v>0</v>
      </c>
      <c r="BW839" t="str">
        <f>"19:17:54.355"</f>
        <v>19:17:54.355</v>
      </c>
      <c r="BX839" t="s">
        <v>119</v>
      </c>
      <c r="BY839" t="s">
        <v>120</v>
      </c>
      <c r="CJ839">
        <v>0</v>
      </c>
      <c r="CK839">
        <v>0</v>
      </c>
      <c r="CL839">
        <v>0</v>
      </c>
      <c r="CM839">
        <v>2</v>
      </c>
      <c r="CN839">
        <v>0</v>
      </c>
      <c r="CO839">
        <v>6</v>
      </c>
      <c r="CP839" t="s">
        <v>121</v>
      </c>
      <c r="CQ839">
        <v>579</v>
      </c>
      <c r="CR839">
        <v>0</v>
      </c>
      <c r="CW839">
        <v>2024552</v>
      </c>
      <c r="CY839">
        <v>0</v>
      </c>
      <c r="CZ839">
        <v>0</v>
      </c>
      <c r="DA839">
        <v>0</v>
      </c>
      <c r="DB839">
        <v>1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</row>
    <row r="840" spans="1:113" x14ac:dyDescent="0.3">
      <c r="A840" t="str">
        <f>"06/16/2022 19:17:55.581"</f>
        <v>06/16/2022 19:17:55.581</v>
      </c>
      <c r="C840" t="str">
        <f t="shared" si="39"/>
        <v>FFBF5BC0</v>
      </c>
      <c r="D840" t="s">
        <v>113</v>
      </c>
      <c r="E840">
        <v>8</v>
      </c>
      <c r="H840">
        <v>206</v>
      </c>
      <c r="I840" t="s">
        <v>114</v>
      </c>
      <c r="J840" t="s">
        <v>115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>"19:17:55.313"</f>
        <v>19:17:55.313</v>
      </c>
      <c r="T840" t="str">
        <f>"19:17:55.313"</f>
        <v>19:17:55.313</v>
      </c>
      <c r="U840" t="str">
        <f t="shared" si="40"/>
        <v>AB63B2</v>
      </c>
      <c r="V840">
        <v>0</v>
      </c>
      <c r="W840">
        <v>0</v>
      </c>
      <c r="X840">
        <v>6</v>
      </c>
      <c r="Z840">
        <v>0</v>
      </c>
      <c r="AA840">
        <v>9</v>
      </c>
      <c r="AB840">
        <v>3</v>
      </c>
      <c r="AC840">
        <v>0</v>
      </c>
      <c r="AD840">
        <v>10</v>
      </c>
      <c r="AE840">
        <v>0</v>
      </c>
      <c r="AF840">
        <v>0</v>
      </c>
      <c r="AG840">
        <v>2</v>
      </c>
      <c r="AH840">
        <v>0</v>
      </c>
      <c r="AI840" t="s">
        <v>761</v>
      </c>
      <c r="AJ840">
        <v>41.976142000000003</v>
      </c>
      <c r="AK840" t="s">
        <v>277</v>
      </c>
      <c r="AL840">
        <v>-87.894316000000003</v>
      </c>
      <c r="AS840">
        <v>1</v>
      </c>
      <c r="AT840" t="s">
        <v>118</v>
      </c>
      <c r="AU840" t="b">
        <v>1</v>
      </c>
      <c r="AV840">
        <v>0</v>
      </c>
      <c r="AW840">
        <v>16.125</v>
      </c>
      <c r="AX840">
        <v>1</v>
      </c>
      <c r="AZ840">
        <v>7205</v>
      </c>
      <c r="BA840">
        <v>1</v>
      </c>
      <c r="BB840" t="str">
        <f t="shared" si="41"/>
        <v xml:space="preserve">KAP400  </v>
      </c>
      <c r="BC840">
        <v>1</v>
      </c>
      <c r="BE840">
        <v>0</v>
      </c>
      <c r="BF840">
        <v>0</v>
      </c>
      <c r="BG840">
        <v>0</v>
      </c>
      <c r="BI840">
        <v>1</v>
      </c>
      <c r="BJ840">
        <v>1</v>
      </c>
      <c r="BK840">
        <v>1</v>
      </c>
      <c r="BL840">
        <v>0</v>
      </c>
      <c r="BO840">
        <v>0</v>
      </c>
      <c r="BP840">
        <v>0</v>
      </c>
      <c r="BW840" t="str">
        <f>"19:17:55.316"</f>
        <v>19:17:55.316</v>
      </c>
      <c r="BX840" t="s">
        <v>119</v>
      </c>
      <c r="BY840" t="s">
        <v>120</v>
      </c>
      <c r="CJ840">
        <v>0</v>
      </c>
      <c r="CK840">
        <v>0</v>
      </c>
      <c r="CL840">
        <v>0</v>
      </c>
      <c r="CM840">
        <v>2</v>
      </c>
      <c r="CN840">
        <v>0</v>
      </c>
      <c r="CO840">
        <v>7</v>
      </c>
      <c r="CP840" t="s">
        <v>121</v>
      </c>
      <c r="CQ840">
        <v>579</v>
      </c>
      <c r="CR840">
        <v>0</v>
      </c>
      <c r="CW840">
        <v>2026341</v>
      </c>
      <c r="CY840">
        <v>0</v>
      </c>
      <c r="CZ840">
        <v>0</v>
      </c>
      <c r="DA840">
        <v>0</v>
      </c>
      <c r="DB840">
        <v>1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</row>
    <row r="841" spans="1:113" x14ac:dyDescent="0.3">
      <c r="A841" t="str">
        <f>"06/16/2022 19:17:56.644"</f>
        <v>06/16/2022 19:17:56.644</v>
      </c>
      <c r="C841" t="str">
        <f t="shared" si="39"/>
        <v>FFBF5BC0</v>
      </c>
      <c r="D841" t="s">
        <v>113</v>
      </c>
      <c r="E841">
        <v>8</v>
      </c>
      <c r="H841">
        <v>206</v>
      </c>
      <c r="I841" t="s">
        <v>114</v>
      </c>
      <c r="J841" t="s">
        <v>115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>"19:17:56.391"</f>
        <v>19:17:56.391</v>
      </c>
      <c r="T841" t="str">
        <f>"19:17:56.391"</f>
        <v>19:17:56.391</v>
      </c>
      <c r="U841" t="str">
        <f t="shared" si="40"/>
        <v>AB63B2</v>
      </c>
      <c r="V841">
        <v>0</v>
      </c>
      <c r="W841">
        <v>0</v>
      </c>
      <c r="X841">
        <v>6</v>
      </c>
      <c r="Z841">
        <v>0</v>
      </c>
      <c r="AA841">
        <v>9</v>
      </c>
      <c r="AB841">
        <v>3</v>
      </c>
      <c r="AC841">
        <v>0</v>
      </c>
      <c r="AD841">
        <v>10</v>
      </c>
      <c r="AE841">
        <v>0</v>
      </c>
      <c r="AF841">
        <v>0</v>
      </c>
      <c r="AG841">
        <v>2</v>
      </c>
      <c r="AH841">
        <v>0</v>
      </c>
      <c r="AI841" t="s">
        <v>762</v>
      </c>
      <c r="AJ841">
        <v>41.976227999999999</v>
      </c>
      <c r="AK841" t="s">
        <v>277</v>
      </c>
      <c r="AL841">
        <v>-87.894316000000003</v>
      </c>
      <c r="AS841">
        <v>1</v>
      </c>
      <c r="AT841" t="s">
        <v>118</v>
      </c>
      <c r="AU841" t="b">
        <v>1</v>
      </c>
      <c r="AV841">
        <v>357.19</v>
      </c>
      <c r="AW841">
        <v>17.125</v>
      </c>
      <c r="AX841">
        <v>1</v>
      </c>
      <c r="AZ841">
        <v>7205</v>
      </c>
      <c r="BA841">
        <v>1</v>
      </c>
      <c r="BB841" t="str">
        <f t="shared" si="41"/>
        <v xml:space="preserve">KAP400  </v>
      </c>
      <c r="BC841">
        <v>1</v>
      </c>
      <c r="BE841">
        <v>0</v>
      </c>
      <c r="BF841">
        <v>0</v>
      </c>
      <c r="BG841">
        <v>0</v>
      </c>
      <c r="BI841">
        <v>1</v>
      </c>
      <c r="BJ841">
        <v>1</v>
      </c>
      <c r="BK841">
        <v>1</v>
      </c>
      <c r="BL841">
        <v>0</v>
      </c>
      <c r="BO841">
        <v>0</v>
      </c>
      <c r="BP841">
        <v>0</v>
      </c>
      <c r="BW841" t="str">
        <f>"19:17:56.393"</f>
        <v>19:17:56.393</v>
      </c>
      <c r="BX841" t="s">
        <v>119</v>
      </c>
      <c r="BY841" t="s">
        <v>120</v>
      </c>
      <c r="CJ841">
        <v>0</v>
      </c>
      <c r="CK841">
        <v>0</v>
      </c>
      <c r="CL841">
        <v>0</v>
      </c>
      <c r="CM841">
        <v>2</v>
      </c>
      <c r="CN841">
        <v>0</v>
      </c>
      <c r="CO841">
        <v>6</v>
      </c>
      <c r="CP841" t="s">
        <v>121</v>
      </c>
      <c r="CQ841">
        <v>579</v>
      </c>
      <c r="CR841">
        <v>0</v>
      </c>
      <c r="CW841">
        <v>2028286</v>
      </c>
      <c r="CY841">
        <v>0</v>
      </c>
      <c r="CZ841">
        <v>0</v>
      </c>
      <c r="DA841">
        <v>0</v>
      </c>
      <c r="DB841">
        <v>1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</row>
    <row r="842" spans="1:113" x14ac:dyDescent="0.3">
      <c r="A842" t="str">
        <f>"06/16/2022 19:17:57.534"</f>
        <v>06/16/2022 19:17:57.534</v>
      </c>
      <c r="C842" t="str">
        <f t="shared" si="39"/>
        <v>FFBF5BC0</v>
      </c>
      <c r="D842" t="s">
        <v>113</v>
      </c>
      <c r="E842">
        <v>8</v>
      </c>
      <c r="H842">
        <v>206</v>
      </c>
      <c r="I842" t="s">
        <v>114</v>
      </c>
      <c r="J842" t="s">
        <v>115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>"19:17:57.320"</f>
        <v>19:17:57.320</v>
      </c>
      <c r="T842" t="str">
        <f>"19:17:57.320"</f>
        <v>19:17:57.320</v>
      </c>
      <c r="U842" t="str">
        <f t="shared" si="40"/>
        <v>AB63B2</v>
      </c>
      <c r="V842">
        <v>0</v>
      </c>
      <c r="W842">
        <v>0</v>
      </c>
      <c r="X842">
        <v>6</v>
      </c>
      <c r="Z842">
        <v>0</v>
      </c>
      <c r="AA842">
        <v>9</v>
      </c>
      <c r="AB842">
        <v>3</v>
      </c>
      <c r="AC842">
        <v>0</v>
      </c>
      <c r="AD842">
        <v>10</v>
      </c>
      <c r="AE842">
        <v>0</v>
      </c>
      <c r="AF842">
        <v>0</v>
      </c>
      <c r="AG842">
        <v>2</v>
      </c>
      <c r="AH842">
        <v>0</v>
      </c>
      <c r="AI842" t="s">
        <v>763</v>
      </c>
      <c r="AJ842">
        <v>41.976292000000001</v>
      </c>
      <c r="AK842" t="s">
        <v>277</v>
      </c>
      <c r="AL842">
        <v>-87.894316000000003</v>
      </c>
      <c r="AS842">
        <v>1</v>
      </c>
      <c r="AT842" t="s">
        <v>118</v>
      </c>
      <c r="AU842" t="b">
        <v>1</v>
      </c>
      <c r="AV842">
        <v>0</v>
      </c>
      <c r="AW842">
        <v>17.125</v>
      </c>
      <c r="AX842">
        <v>1</v>
      </c>
      <c r="AZ842">
        <v>7205</v>
      </c>
      <c r="BA842">
        <v>1</v>
      </c>
      <c r="BB842" t="str">
        <f t="shared" si="41"/>
        <v xml:space="preserve">KAP400  </v>
      </c>
      <c r="BC842">
        <v>1</v>
      </c>
      <c r="BE842">
        <v>0</v>
      </c>
      <c r="BF842">
        <v>0</v>
      </c>
      <c r="BG842">
        <v>0</v>
      </c>
      <c r="BI842">
        <v>1</v>
      </c>
      <c r="BJ842">
        <v>1</v>
      </c>
      <c r="BK842">
        <v>1</v>
      </c>
      <c r="BL842">
        <v>0</v>
      </c>
      <c r="BO842">
        <v>0</v>
      </c>
      <c r="BP842">
        <v>0</v>
      </c>
      <c r="BW842" t="str">
        <f>"19:17:57.322"</f>
        <v>19:17:57.322</v>
      </c>
      <c r="BX842" t="s">
        <v>119</v>
      </c>
      <c r="BY842" t="s">
        <v>120</v>
      </c>
      <c r="CJ842">
        <v>0</v>
      </c>
      <c r="CK842">
        <v>0</v>
      </c>
      <c r="CL842">
        <v>0</v>
      </c>
      <c r="CM842">
        <v>2</v>
      </c>
      <c r="CN842">
        <v>0</v>
      </c>
      <c r="CO842">
        <v>6</v>
      </c>
      <c r="CP842" t="s">
        <v>121</v>
      </c>
      <c r="CQ842">
        <v>579</v>
      </c>
      <c r="CR842">
        <v>0</v>
      </c>
      <c r="CW842">
        <v>2030115</v>
      </c>
      <c r="CY842">
        <v>0</v>
      </c>
      <c r="CZ842">
        <v>0</v>
      </c>
      <c r="DA842">
        <v>0</v>
      </c>
      <c r="DB842">
        <v>1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</row>
    <row r="843" spans="1:113" x14ac:dyDescent="0.3">
      <c r="A843" t="str">
        <f>"06/16/2022 19:17:58.597"</f>
        <v>06/16/2022 19:17:58.597</v>
      </c>
      <c r="C843" t="str">
        <f t="shared" si="39"/>
        <v>FFBF5BC0</v>
      </c>
      <c r="D843" t="s">
        <v>113</v>
      </c>
      <c r="E843">
        <v>8</v>
      </c>
      <c r="H843">
        <v>206</v>
      </c>
      <c r="I843" t="s">
        <v>114</v>
      </c>
      <c r="J843" t="s">
        <v>115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>"19:17:58.289"</f>
        <v>19:17:58.289</v>
      </c>
      <c r="T843" t="str">
        <f>"19:17:58.289"</f>
        <v>19:17:58.289</v>
      </c>
      <c r="U843" t="str">
        <f t="shared" si="40"/>
        <v>AB63B2</v>
      </c>
      <c r="V843">
        <v>0</v>
      </c>
      <c r="W843">
        <v>0</v>
      </c>
      <c r="X843">
        <v>6</v>
      </c>
      <c r="Z843">
        <v>0</v>
      </c>
      <c r="AA843">
        <v>9</v>
      </c>
      <c r="AB843">
        <v>3</v>
      </c>
      <c r="AC843">
        <v>0</v>
      </c>
      <c r="AD843">
        <v>10</v>
      </c>
      <c r="AE843">
        <v>0</v>
      </c>
      <c r="AF843">
        <v>0</v>
      </c>
      <c r="AG843">
        <v>2</v>
      </c>
      <c r="AH843">
        <v>0</v>
      </c>
      <c r="AI843" t="s">
        <v>764</v>
      </c>
      <c r="AJ843">
        <v>41.976377999999997</v>
      </c>
      <c r="AK843" t="s">
        <v>277</v>
      </c>
      <c r="AL843">
        <v>-87.894316000000003</v>
      </c>
      <c r="AS843">
        <v>1</v>
      </c>
      <c r="AT843" t="s">
        <v>118</v>
      </c>
      <c r="AU843" t="b">
        <v>1</v>
      </c>
      <c r="AV843">
        <v>0</v>
      </c>
      <c r="AW843">
        <v>17.125</v>
      </c>
      <c r="AX843">
        <v>1</v>
      </c>
      <c r="AZ843">
        <v>7205</v>
      </c>
      <c r="BA843">
        <v>1</v>
      </c>
      <c r="BB843" t="str">
        <f t="shared" si="41"/>
        <v xml:space="preserve">KAP400  </v>
      </c>
      <c r="BC843">
        <v>1</v>
      </c>
      <c r="BE843">
        <v>0</v>
      </c>
      <c r="BF843">
        <v>0</v>
      </c>
      <c r="BG843">
        <v>0</v>
      </c>
      <c r="BI843">
        <v>1</v>
      </c>
      <c r="BJ843">
        <v>1</v>
      </c>
      <c r="BK843">
        <v>1</v>
      </c>
      <c r="BL843">
        <v>0</v>
      </c>
      <c r="BO843">
        <v>0</v>
      </c>
      <c r="BP843">
        <v>0</v>
      </c>
      <c r="BW843" t="str">
        <f>"19:17:58.292"</f>
        <v>19:17:58.292</v>
      </c>
      <c r="BX843" t="s">
        <v>119</v>
      </c>
      <c r="BY843" t="s">
        <v>120</v>
      </c>
      <c r="CJ843">
        <v>0</v>
      </c>
      <c r="CK843">
        <v>0</v>
      </c>
      <c r="CL843">
        <v>0</v>
      </c>
      <c r="CM843">
        <v>2</v>
      </c>
      <c r="CN843">
        <v>0</v>
      </c>
      <c r="CO843">
        <v>7</v>
      </c>
      <c r="CP843" t="s">
        <v>121</v>
      </c>
      <c r="CQ843">
        <v>580</v>
      </c>
      <c r="CR843">
        <v>0</v>
      </c>
      <c r="CW843">
        <v>899503</v>
      </c>
      <c r="CY843">
        <v>0</v>
      </c>
      <c r="CZ843">
        <v>0</v>
      </c>
      <c r="DA843">
        <v>0</v>
      </c>
      <c r="DB843">
        <v>1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</row>
    <row r="844" spans="1:113" x14ac:dyDescent="0.3">
      <c r="A844" t="str">
        <f>"06/16/2022 19:17:59.425"</f>
        <v>06/16/2022 19:17:59.425</v>
      </c>
      <c r="C844" t="str">
        <f t="shared" si="39"/>
        <v>FFBF5BC0</v>
      </c>
      <c r="D844" t="s">
        <v>113</v>
      </c>
      <c r="E844">
        <v>8</v>
      </c>
      <c r="H844">
        <v>206</v>
      </c>
      <c r="I844" t="s">
        <v>114</v>
      </c>
      <c r="J844" t="s">
        <v>115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>"19:17:59.156"</f>
        <v>19:17:59.156</v>
      </c>
      <c r="T844" t="str">
        <f>"19:17:59.156"</f>
        <v>19:17:59.156</v>
      </c>
      <c r="U844" t="str">
        <f t="shared" si="40"/>
        <v>AB63B2</v>
      </c>
      <c r="V844">
        <v>0</v>
      </c>
      <c r="W844">
        <v>0</v>
      </c>
      <c r="X844">
        <v>6</v>
      </c>
      <c r="Z844">
        <v>0</v>
      </c>
      <c r="AA844">
        <v>9</v>
      </c>
      <c r="AB844">
        <v>3</v>
      </c>
      <c r="AC844">
        <v>0</v>
      </c>
      <c r="AD844">
        <v>10</v>
      </c>
      <c r="AE844">
        <v>0</v>
      </c>
      <c r="AF844">
        <v>0</v>
      </c>
      <c r="AG844">
        <v>2</v>
      </c>
      <c r="AH844">
        <v>0</v>
      </c>
      <c r="AI844" t="s">
        <v>380</v>
      </c>
      <c r="AJ844">
        <v>41.976421000000002</v>
      </c>
      <c r="AK844" t="s">
        <v>277</v>
      </c>
      <c r="AL844">
        <v>-87.894316000000003</v>
      </c>
      <c r="AS844">
        <v>1</v>
      </c>
      <c r="AT844" t="s">
        <v>118</v>
      </c>
      <c r="AU844" t="b">
        <v>1</v>
      </c>
      <c r="AV844">
        <v>0</v>
      </c>
      <c r="AW844">
        <v>17.125</v>
      </c>
      <c r="AX844">
        <v>1</v>
      </c>
      <c r="AZ844">
        <v>7205</v>
      </c>
      <c r="BA844">
        <v>1</v>
      </c>
      <c r="BB844" t="str">
        <f t="shared" si="41"/>
        <v xml:space="preserve">KAP400  </v>
      </c>
      <c r="BC844">
        <v>1</v>
      </c>
      <c r="BE844">
        <v>0</v>
      </c>
      <c r="BF844">
        <v>0</v>
      </c>
      <c r="BG844">
        <v>0</v>
      </c>
      <c r="BI844">
        <v>1</v>
      </c>
      <c r="BJ844">
        <v>1</v>
      </c>
      <c r="BK844">
        <v>1</v>
      </c>
      <c r="BL844">
        <v>0</v>
      </c>
      <c r="BO844">
        <v>0</v>
      </c>
      <c r="BP844">
        <v>0</v>
      </c>
      <c r="BW844" t="str">
        <f>"19:17:59.160"</f>
        <v>19:17:59.160</v>
      </c>
      <c r="BX844" t="s">
        <v>119</v>
      </c>
      <c r="BY844" t="s">
        <v>120</v>
      </c>
      <c r="CJ844">
        <v>0</v>
      </c>
      <c r="CK844">
        <v>0</v>
      </c>
      <c r="CL844">
        <v>0</v>
      </c>
      <c r="CM844">
        <v>2</v>
      </c>
      <c r="CN844">
        <v>0</v>
      </c>
      <c r="CO844">
        <v>6</v>
      </c>
      <c r="CP844" t="s">
        <v>121</v>
      </c>
      <c r="CQ844">
        <v>582</v>
      </c>
      <c r="CR844">
        <v>0</v>
      </c>
      <c r="CW844">
        <v>6633368</v>
      </c>
      <c r="CY844">
        <v>0</v>
      </c>
      <c r="CZ844">
        <v>0</v>
      </c>
      <c r="DA844">
        <v>0</v>
      </c>
      <c r="DB844">
        <v>1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</row>
    <row r="845" spans="1:113" x14ac:dyDescent="0.3">
      <c r="A845" t="str">
        <f>"06/16/2022 19:18:00.910"</f>
        <v>06/16/2022 19:18:00.910</v>
      </c>
      <c r="C845" t="str">
        <f t="shared" si="39"/>
        <v>FFBF5BC0</v>
      </c>
      <c r="D845" t="s">
        <v>113</v>
      </c>
      <c r="E845">
        <v>8</v>
      </c>
      <c r="H845">
        <v>206</v>
      </c>
      <c r="I845" t="s">
        <v>114</v>
      </c>
      <c r="J845" t="s">
        <v>115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>"19:18:00.656"</f>
        <v>19:18:00.656</v>
      </c>
      <c r="T845" t="str">
        <f>"19:18:00.656"</f>
        <v>19:18:00.656</v>
      </c>
      <c r="U845" t="str">
        <f t="shared" si="40"/>
        <v>AB63B2</v>
      </c>
      <c r="V845">
        <v>0</v>
      </c>
      <c r="W845">
        <v>0</v>
      </c>
      <c r="X845">
        <v>6</v>
      </c>
      <c r="Z845">
        <v>0</v>
      </c>
      <c r="AA845">
        <v>9</v>
      </c>
      <c r="AB845">
        <v>3</v>
      </c>
      <c r="AC845">
        <v>0</v>
      </c>
      <c r="AD845">
        <v>10</v>
      </c>
      <c r="AE845">
        <v>0</v>
      </c>
      <c r="AF845">
        <v>0</v>
      </c>
      <c r="AG845">
        <v>2</v>
      </c>
      <c r="AH845">
        <v>0</v>
      </c>
      <c r="AI845" t="s">
        <v>765</v>
      </c>
      <c r="AJ845">
        <v>41.976528000000002</v>
      </c>
      <c r="AK845" t="s">
        <v>277</v>
      </c>
      <c r="AL845">
        <v>-87.894316000000003</v>
      </c>
      <c r="AS845">
        <v>1</v>
      </c>
      <c r="AT845" t="s">
        <v>118</v>
      </c>
      <c r="AU845" t="b">
        <v>1</v>
      </c>
      <c r="AV845">
        <v>0</v>
      </c>
      <c r="AW845">
        <v>17.125</v>
      </c>
      <c r="AX845">
        <v>1</v>
      </c>
      <c r="AZ845">
        <v>7205</v>
      </c>
      <c r="BA845">
        <v>1</v>
      </c>
      <c r="BB845" t="str">
        <f t="shared" si="41"/>
        <v xml:space="preserve">KAP400  </v>
      </c>
      <c r="BC845">
        <v>1</v>
      </c>
      <c r="BE845">
        <v>0</v>
      </c>
      <c r="BF845">
        <v>0</v>
      </c>
      <c r="BG845">
        <v>0</v>
      </c>
      <c r="BI845">
        <v>1</v>
      </c>
      <c r="BJ845">
        <v>1</v>
      </c>
      <c r="BK845">
        <v>1</v>
      </c>
      <c r="BL845">
        <v>0</v>
      </c>
      <c r="BO845">
        <v>0</v>
      </c>
      <c r="BP845">
        <v>0</v>
      </c>
      <c r="BW845" t="str">
        <f>"19:18:00.662"</f>
        <v>19:18:00.662</v>
      </c>
      <c r="BX845" t="s">
        <v>119</v>
      </c>
      <c r="BY845" t="s">
        <v>120</v>
      </c>
      <c r="CJ845">
        <v>0</v>
      </c>
      <c r="CK845">
        <v>0</v>
      </c>
      <c r="CL845">
        <v>0</v>
      </c>
      <c r="CM845">
        <v>2</v>
      </c>
      <c r="CN845">
        <v>0</v>
      </c>
      <c r="CO845">
        <v>7</v>
      </c>
      <c r="CP845" t="s">
        <v>121</v>
      </c>
      <c r="CQ845">
        <v>580</v>
      </c>
      <c r="CR845">
        <v>0</v>
      </c>
      <c r="CW845">
        <v>903806</v>
      </c>
      <c r="CY845">
        <v>0</v>
      </c>
      <c r="CZ845">
        <v>0</v>
      </c>
      <c r="DA845">
        <v>0</v>
      </c>
      <c r="DB845">
        <v>1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</row>
    <row r="846" spans="1:113" x14ac:dyDescent="0.3">
      <c r="A846" t="str">
        <f>"06/16/2022 19:18:01.841"</f>
        <v>06/16/2022 19:18:01.841</v>
      </c>
      <c r="C846" t="str">
        <f t="shared" si="39"/>
        <v>FFBF5BC0</v>
      </c>
      <c r="D846" t="s">
        <v>113</v>
      </c>
      <c r="E846">
        <v>8</v>
      </c>
      <c r="H846">
        <v>206</v>
      </c>
      <c r="I846" t="s">
        <v>114</v>
      </c>
      <c r="J846" t="s">
        <v>115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>"19:18:01.602"</f>
        <v>19:18:01.602</v>
      </c>
      <c r="T846" t="str">
        <f>"19:18:01.602"</f>
        <v>19:18:01.602</v>
      </c>
      <c r="U846" t="str">
        <f t="shared" si="40"/>
        <v>AB63B2</v>
      </c>
      <c r="V846">
        <v>0</v>
      </c>
      <c r="W846">
        <v>0</v>
      </c>
      <c r="X846">
        <v>6</v>
      </c>
      <c r="Z846">
        <v>0</v>
      </c>
      <c r="AA846">
        <v>9</v>
      </c>
      <c r="AB846">
        <v>3</v>
      </c>
      <c r="AC846">
        <v>0</v>
      </c>
      <c r="AD846">
        <v>10</v>
      </c>
      <c r="AE846">
        <v>0</v>
      </c>
      <c r="AF846">
        <v>0</v>
      </c>
      <c r="AG846">
        <v>2</v>
      </c>
      <c r="AH846">
        <v>0</v>
      </c>
      <c r="AI846" t="s">
        <v>766</v>
      </c>
      <c r="AJ846">
        <v>41.976613999999998</v>
      </c>
      <c r="AK846" t="s">
        <v>277</v>
      </c>
      <c r="AL846">
        <v>-87.894316000000003</v>
      </c>
      <c r="AS846">
        <v>1</v>
      </c>
      <c r="AT846" t="s">
        <v>118</v>
      </c>
      <c r="AU846" t="b">
        <v>1</v>
      </c>
      <c r="AV846">
        <v>0</v>
      </c>
      <c r="AW846">
        <v>18.125</v>
      </c>
      <c r="AX846">
        <v>1</v>
      </c>
      <c r="AZ846">
        <v>7205</v>
      </c>
      <c r="BA846">
        <v>1</v>
      </c>
      <c r="BB846" t="str">
        <f t="shared" si="41"/>
        <v xml:space="preserve">KAP400  </v>
      </c>
      <c r="BC846">
        <v>1</v>
      </c>
      <c r="BE846">
        <v>0</v>
      </c>
      <c r="BF846">
        <v>0</v>
      </c>
      <c r="BG846">
        <v>0</v>
      </c>
      <c r="BI846">
        <v>1</v>
      </c>
      <c r="BJ846">
        <v>1</v>
      </c>
      <c r="BK846">
        <v>1</v>
      </c>
      <c r="BL846">
        <v>0</v>
      </c>
      <c r="BO846">
        <v>0</v>
      </c>
      <c r="BP846">
        <v>0</v>
      </c>
      <c r="BW846" t="str">
        <f>"19:18:01.608"</f>
        <v>19:18:01.608</v>
      </c>
      <c r="BX846" t="s">
        <v>119</v>
      </c>
      <c r="BY846" t="s">
        <v>120</v>
      </c>
      <c r="CJ846">
        <v>0</v>
      </c>
      <c r="CK846">
        <v>0</v>
      </c>
      <c r="CL846">
        <v>0</v>
      </c>
      <c r="CM846">
        <v>2</v>
      </c>
      <c r="CN846">
        <v>0</v>
      </c>
      <c r="CO846">
        <v>5</v>
      </c>
      <c r="CP846" t="s">
        <v>121</v>
      </c>
      <c r="CQ846">
        <v>582</v>
      </c>
      <c r="CR846">
        <v>0</v>
      </c>
      <c r="CW846">
        <v>6636421</v>
      </c>
      <c r="CY846">
        <v>0</v>
      </c>
      <c r="CZ846">
        <v>0</v>
      </c>
      <c r="DA846">
        <v>0</v>
      </c>
      <c r="DB846">
        <v>1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</row>
    <row r="847" spans="1:113" x14ac:dyDescent="0.3">
      <c r="A847" t="str">
        <f>"06/16/2022 19:18:03.160"</f>
        <v>06/16/2022 19:18:03.160</v>
      </c>
      <c r="C847" t="str">
        <f t="shared" si="39"/>
        <v>FFBF5BC0</v>
      </c>
      <c r="D847" t="s">
        <v>113</v>
      </c>
      <c r="E847">
        <v>8</v>
      </c>
      <c r="H847">
        <v>206</v>
      </c>
      <c r="I847" t="s">
        <v>114</v>
      </c>
      <c r="J847" t="s">
        <v>115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>"19:18:02.945"</f>
        <v>19:18:02.945</v>
      </c>
      <c r="T847" t="str">
        <f>"19:18:02.945"</f>
        <v>19:18:02.945</v>
      </c>
      <c r="U847" t="str">
        <f t="shared" si="40"/>
        <v>AB63B2</v>
      </c>
      <c r="V847">
        <v>0</v>
      </c>
      <c r="W847">
        <v>0</v>
      </c>
      <c r="X847">
        <v>6</v>
      </c>
      <c r="Z847">
        <v>0</v>
      </c>
      <c r="AA847">
        <v>9</v>
      </c>
      <c r="AB847">
        <v>3</v>
      </c>
      <c r="AC847">
        <v>0</v>
      </c>
      <c r="AD847">
        <v>10</v>
      </c>
      <c r="AE847">
        <v>0</v>
      </c>
      <c r="AF847">
        <v>0</v>
      </c>
      <c r="AG847">
        <v>2</v>
      </c>
      <c r="AH847">
        <v>0</v>
      </c>
      <c r="AI847" t="s">
        <v>767</v>
      </c>
      <c r="AJ847">
        <v>41.976720999999998</v>
      </c>
      <c r="AK847" t="s">
        <v>277</v>
      </c>
      <c r="AL847">
        <v>-87.894316000000003</v>
      </c>
      <c r="AS847">
        <v>1</v>
      </c>
      <c r="AT847" t="s">
        <v>118</v>
      </c>
      <c r="AU847" t="b">
        <v>1</v>
      </c>
      <c r="AV847">
        <v>0</v>
      </c>
      <c r="AW847">
        <v>18.125</v>
      </c>
      <c r="AX847">
        <v>1</v>
      </c>
      <c r="AZ847">
        <v>7205</v>
      </c>
      <c r="BA847">
        <v>1</v>
      </c>
      <c r="BB847" t="str">
        <f t="shared" si="41"/>
        <v xml:space="preserve">KAP400  </v>
      </c>
      <c r="BC847">
        <v>1</v>
      </c>
      <c r="BE847">
        <v>0</v>
      </c>
      <c r="BF847">
        <v>0</v>
      </c>
      <c r="BG847">
        <v>0</v>
      </c>
      <c r="BI847">
        <v>1</v>
      </c>
      <c r="BJ847">
        <v>1</v>
      </c>
      <c r="BK847">
        <v>1</v>
      </c>
      <c r="BL847">
        <v>0</v>
      </c>
      <c r="BO847">
        <v>0</v>
      </c>
      <c r="BP847">
        <v>0</v>
      </c>
      <c r="BW847" t="str">
        <f>"19:18:02.948"</f>
        <v>19:18:02.948</v>
      </c>
      <c r="BX847" t="s">
        <v>119</v>
      </c>
      <c r="BY847" t="s">
        <v>120</v>
      </c>
      <c r="CJ847">
        <v>0</v>
      </c>
      <c r="CK847">
        <v>0</v>
      </c>
      <c r="CL847">
        <v>0</v>
      </c>
      <c r="CM847">
        <v>2</v>
      </c>
      <c r="CN847">
        <v>0</v>
      </c>
      <c r="CO847">
        <v>7</v>
      </c>
      <c r="CP847" t="s">
        <v>121</v>
      </c>
      <c r="CQ847">
        <v>580</v>
      </c>
      <c r="CR847">
        <v>0</v>
      </c>
      <c r="CW847">
        <v>907864</v>
      </c>
      <c r="CY847">
        <v>0</v>
      </c>
      <c r="CZ847">
        <v>0</v>
      </c>
      <c r="DA847">
        <v>0</v>
      </c>
      <c r="DB847">
        <v>1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</row>
    <row r="848" spans="1:113" x14ac:dyDescent="0.3">
      <c r="A848" t="str">
        <f>"06/16/2022 19:18:04.019"</f>
        <v>06/16/2022 19:18:04.019</v>
      </c>
      <c r="C848" t="str">
        <f t="shared" ref="C848:C911" si="42">"FFBF5BC0"</f>
        <v>FFBF5BC0</v>
      </c>
      <c r="D848" t="s">
        <v>113</v>
      </c>
      <c r="E848">
        <v>8</v>
      </c>
      <c r="H848">
        <v>206</v>
      </c>
      <c r="I848" t="s">
        <v>114</v>
      </c>
      <c r="J848" t="s">
        <v>115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>"19:18:03.758"</f>
        <v>19:18:03.758</v>
      </c>
      <c r="T848" t="str">
        <f>"19:18:03.758"</f>
        <v>19:18:03.758</v>
      </c>
      <c r="U848" t="str">
        <f t="shared" si="40"/>
        <v>AB63B2</v>
      </c>
      <c r="V848">
        <v>0</v>
      </c>
      <c r="W848">
        <v>0</v>
      </c>
      <c r="X848">
        <v>6</v>
      </c>
      <c r="Z848">
        <v>0</v>
      </c>
      <c r="AA848">
        <v>9</v>
      </c>
      <c r="AB848">
        <v>3</v>
      </c>
      <c r="AC848">
        <v>0</v>
      </c>
      <c r="AD848">
        <v>10</v>
      </c>
      <c r="AE848">
        <v>0</v>
      </c>
      <c r="AF848">
        <v>0</v>
      </c>
      <c r="AG848">
        <v>2</v>
      </c>
      <c r="AH848">
        <v>0</v>
      </c>
      <c r="AI848" t="s">
        <v>768</v>
      </c>
      <c r="AJ848">
        <v>41.976785999999997</v>
      </c>
      <c r="AK848" t="s">
        <v>277</v>
      </c>
      <c r="AL848">
        <v>-87.894316000000003</v>
      </c>
      <c r="AS848">
        <v>1</v>
      </c>
      <c r="AT848" t="s">
        <v>118</v>
      </c>
      <c r="AU848" t="b">
        <v>1</v>
      </c>
      <c r="AV848">
        <v>0</v>
      </c>
      <c r="AW848">
        <v>18.125</v>
      </c>
      <c r="AX848">
        <v>1</v>
      </c>
      <c r="AZ848">
        <v>7205</v>
      </c>
      <c r="BA848">
        <v>1</v>
      </c>
      <c r="BB848" t="str">
        <f t="shared" si="41"/>
        <v xml:space="preserve">KAP400  </v>
      </c>
      <c r="BC848">
        <v>1</v>
      </c>
      <c r="BE848">
        <v>0</v>
      </c>
      <c r="BF848">
        <v>0</v>
      </c>
      <c r="BG848">
        <v>0</v>
      </c>
      <c r="BI848">
        <v>1</v>
      </c>
      <c r="BJ848">
        <v>1</v>
      </c>
      <c r="BK848">
        <v>1</v>
      </c>
      <c r="BL848">
        <v>0</v>
      </c>
      <c r="BO848">
        <v>0</v>
      </c>
      <c r="BP848">
        <v>0</v>
      </c>
      <c r="BW848" t="str">
        <f>"19:18:03.759"</f>
        <v>19:18:03.759</v>
      </c>
      <c r="BX848" t="s">
        <v>119</v>
      </c>
      <c r="BY848" t="s">
        <v>120</v>
      </c>
      <c r="CJ848">
        <v>0</v>
      </c>
      <c r="CK848">
        <v>0</v>
      </c>
      <c r="CL848">
        <v>0</v>
      </c>
      <c r="CM848">
        <v>2</v>
      </c>
      <c r="CN848">
        <v>0</v>
      </c>
      <c r="CO848">
        <v>6</v>
      </c>
      <c r="CP848" t="s">
        <v>121</v>
      </c>
      <c r="CQ848">
        <v>580</v>
      </c>
      <c r="CR848">
        <v>0</v>
      </c>
      <c r="CW848">
        <v>909339</v>
      </c>
      <c r="CY848">
        <v>0</v>
      </c>
      <c r="CZ848">
        <v>0</v>
      </c>
      <c r="DA848">
        <v>0</v>
      </c>
      <c r="DB848">
        <v>1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</row>
    <row r="849" spans="1:113" x14ac:dyDescent="0.3">
      <c r="A849" t="str">
        <f>"06/16/2022 19:18:05.160"</f>
        <v>06/16/2022 19:18:05.160</v>
      </c>
      <c r="C849" t="str">
        <f t="shared" si="42"/>
        <v>FFBF5BC0</v>
      </c>
      <c r="D849" t="s">
        <v>113</v>
      </c>
      <c r="E849">
        <v>8</v>
      </c>
      <c r="H849">
        <v>206</v>
      </c>
      <c r="I849" t="s">
        <v>114</v>
      </c>
      <c r="J849" t="s">
        <v>115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>"19:18:04.828"</f>
        <v>19:18:04.828</v>
      </c>
      <c r="T849" t="str">
        <f>"19:18:04.828"</f>
        <v>19:18:04.828</v>
      </c>
      <c r="U849" t="str">
        <f t="shared" si="40"/>
        <v>AB63B2</v>
      </c>
      <c r="V849">
        <v>0</v>
      </c>
      <c r="W849">
        <v>0</v>
      </c>
      <c r="X849">
        <v>6</v>
      </c>
      <c r="Z849">
        <v>0</v>
      </c>
      <c r="AA849">
        <v>9</v>
      </c>
      <c r="AB849">
        <v>3</v>
      </c>
      <c r="AC849">
        <v>0</v>
      </c>
      <c r="AD849">
        <v>10</v>
      </c>
      <c r="AE849">
        <v>0</v>
      </c>
      <c r="AF849">
        <v>0</v>
      </c>
      <c r="AG849">
        <v>2</v>
      </c>
      <c r="AH849">
        <v>0</v>
      </c>
      <c r="AI849" t="s">
        <v>769</v>
      </c>
      <c r="AJ849">
        <v>41.976871000000003</v>
      </c>
      <c r="AK849" t="s">
        <v>277</v>
      </c>
      <c r="AL849">
        <v>-87.894316000000003</v>
      </c>
      <c r="AS849">
        <v>1</v>
      </c>
      <c r="AT849" t="s">
        <v>118</v>
      </c>
      <c r="AU849" t="b">
        <v>1</v>
      </c>
      <c r="AV849">
        <v>0</v>
      </c>
      <c r="AW849">
        <v>18.125</v>
      </c>
      <c r="AX849">
        <v>1</v>
      </c>
      <c r="AZ849">
        <v>7205</v>
      </c>
      <c r="BA849">
        <v>1</v>
      </c>
      <c r="BB849" t="str">
        <f t="shared" si="41"/>
        <v xml:space="preserve">KAP400  </v>
      </c>
      <c r="BC849">
        <v>1</v>
      </c>
      <c r="BE849">
        <v>0</v>
      </c>
      <c r="BF849">
        <v>0</v>
      </c>
      <c r="BG849">
        <v>0</v>
      </c>
      <c r="BI849">
        <v>1</v>
      </c>
      <c r="BJ849">
        <v>1</v>
      </c>
      <c r="BK849">
        <v>1</v>
      </c>
      <c r="BL849">
        <v>0</v>
      </c>
      <c r="BO849">
        <v>0</v>
      </c>
      <c r="BP849">
        <v>0</v>
      </c>
      <c r="BW849" t="str">
        <f>"19:18:04.831"</f>
        <v>19:18:04.831</v>
      </c>
      <c r="BX849" t="s">
        <v>119</v>
      </c>
      <c r="BY849" t="s">
        <v>120</v>
      </c>
      <c r="CJ849">
        <v>0</v>
      </c>
      <c r="CK849">
        <v>0</v>
      </c>
      <c r="CL849">
        <v>0</v>
      </c>
      <c r="CM849">
        <v>2</v>
      </c>
      <c r="CN849">
        <v>0</v>
      </c>
      <c r="CO849">
        <v>5</v>
      </c>
      <c r="CP849" t="s">
        <v>121</v>
      </c>
      <c r="CQ849">
        <v>581</v>
      </c>
      <c r="CR849">
        <v>0</v>
      </c>
      <c r="CW849">
        <v>15739995</v>
      </c>
      <c r="CY849">
        <v>0</v>
      </c>
      <c r="CZ849">
        <v>0</v>
      </c>
      <c r="DA849">
        <v>0</v>
      </c>
      <c r="DB849">
        <v>1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</row>
    <row r="850" spans="1:113" x14ac:dyDescent="0.3">
      <c r="A850" t="str">
        <f>"06/16/2022 19:18:06.144"</f>
        <v>06/16/2022 19:18:06.144</v>
      </c>
      <c r="C850" t="str">
        <f t="shared" si="42"/>
        <v>FFBF5BC0</v>
      </c>
      <c r="D850" t="s">
        <v>113</v>
      </c>
      <c r="E850">
        <v>8</v>
      </c>
      <c r="H850">
        <v>206</v>
      </c>
      <c r="I850" t="s">
        <v>114</v>
      </c>
      <c r="J850" t="s">
        <v>115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>"19:18:05.836"</f>
        <v>19:18:05.836</v>
      </c>
      <c r="T850" t="str">
        <f>"19:18:05.836"</f>
        <v>19:18:05.836</v>
      </c>
      <c r="U850" t="str">
        <f t="shared" si="40"/>
        <v>AB63B2</v>
      </c>
      <c r="V850">
        <v>0</v>
      </c>
      <c r="W850">
        <v>0</v>
      </c>
      <c r="X850">
        <v>6</v>
      </c>
      <c r="Z850">
        <v>0</v>
      </c>
      <c r="AA850">
        <v>9</v>
      </c>
      <c r="AB850">
        <v>3</v>
      </c>
      <c r="AC850">
        <v>0</v>
      </c>
      <c r="AD850">
        <v>10</v>
      </c>
      <c r="AE850">
        <v>0</v>
      </c>
      <c r="AF850">
        <v>0</v>
      </c>
      <c r="AG850">
        <v>2</v>
      </c>
      <c r="AH850">
        <v>0</v>
      </c>
      <c r="AI850" t="s">
        <v>770</v>
      </c>
      <c r="AJ850">
        <v>41.976956999999999</v>
      </c>
      <c r="AK850" t="s">
        <v>277</v>
      </c>
      <c r="AL850">
        <v>-87.894316000000003</v>
      </c>
      <c r="AS850">
        <v>1</v>
      </c>
      <c r="AT850" t="s">
        <v>118</v>
      </c>
      <c r="AU850" t="b">
        <v>1</v>
      </c>
      <c r="AV850">
        <v>0</v>
      </c>
      <c r="AW850">
        <v>18.125</v>
      </c>
      <c r="AX850">
        <v>1</v>
      </c>
      <c r="AZ850">
        <v>7205</v>
      </c>
      <c r="BA850">
        <v>1</v>
      </c>
      <c r="BB850" t="str">
        <f t="shared" si="41"/>
        <v xml:space="preserve">KAP400  </v>
      </c>
      <c r="BC850">
        <v>1</v>
      </c>
      <c r="BE850">
        <v>0</v>
      </c>
      <c r="BF850">
        <v>0</v>
      </c>
      <c r="BG850">
        <v>0</v>
      </c>
      <c r="BI850">
        <v>1</v>
      </c>
      <c r="BJ850">
        <v>1</v>
      </c>
      <c r="BK850">
        <v>1</v>
      </c>
      <c r="BL850">
        <v>0</v>
      </c>
      <c r="BO850">
        <v>0</v>
      </c>
      <c r="BP850">
        <v>0</v>
      </c>
      <c r="BW850" t="str">
        <f>"19:18:05.837"</f>
        <v>19:18:05.837</v>
      </c>
      <c r="BX850" t="s">
        <v>119</v>
      </c>
      <c r="BY850" t="s">
        <v>120</v>
      </c>
      <c r="CJ850">
        <v>0</v>
      </c>
      <c r="CK850">
        <v>0</v>
      </c>
      <c r="CL850">
        <v>0</v>
      </c>
      <c r="CM850">
        <v>2</v>
      </c>
      <c r="CN850">
        <v>0</v>
      </c>
      <c r="CO850">
        <v>5</v>
      </c>
      <c r="CP850" t="s">
        <v>121</v>
      </c>
      <c r="CQ850">
        <v>582</v>
      </c>
      <c r="CR850">
        <v>0</v>
      </c>
      <c r="CW850">
        <v>6641952</v>
      </c>
      <c r="CY850">
        <v>0</v>
      </c>
      <c r="CZ850">
        <v>0</v>
      </c>
      <c r="DA850">
        <v>0</v>
      </c>
      <c r="DB850">
        <v>1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</row>
    <row r="851" spans="1:113" x14ac:dyDescent="0.3">
      <c r="A851" t="str">
        <f>"06/16/2022 19:18:06.972"</f>
        <v>06/16/2022 19:18:06.972</v>
      </c>
      <c r="C851" t="str">
        <f t="shared" si="42"/>
        <v>FFBF5BC0</v>
      </c>
      <c r="D851" t="s">
        <v>113</v>
      </c>
      <c r="E851">
        <v>8</v>
      </c>
      <c r="H851">
        <v>206</v>
      </c>
      <c r="I851" t="s">
        <v>114</v>
      </c>
      <c r="J851" t="s">
        <v>115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>"19:18:06.734"</f>
        <v>19:18:06.734</v>
      </c>
      <c r="T851" t="str">
        <f>"19:18:06.734"</f>
        <v>19:18:06.734</v>
      </c>
      <c r="U851" t="str">
        <f t="shared" si="40"/>
        <v>AB63B2</v>
      </c>
      <c r="V851">
        <v>0</v>
      </c>
      <c r="W851">
        <v>0</v>
      </c>
      <c r="X851">
        <v>6</v>
      </c>
      <c r="Z851">
        <v>0</v>
      </c>
      <c r="AA851">
        <v>9</v>
      </c>
      <c r="AB851">
        <v>3</v>
      </c>
      <c r="AC851">
        <v>0</v>
      </c>
      <c r="AD851">
        <v>10</v>
      </c>
      <c r="AE851">
        <v>0</v>
      </c>
      <c r="AF851">
        <v>0</v>
      </c>
      <c r="AG851">
        <v>2</v>
      </c>
      <c r="AH851">
        <v>0</v>
      </c>
      <c r="AI851" t="s">
        <v>374</v>
      </c>
      <c r="AJ851">
        <v>41.977021999999998</v>
      </c>
      <c r="AK851" t="s">
        <v>277</v>
      </c>
      <c r="AL851">
        <v>-87.894316000000003</v>
      </c>
      <c r="AS851">
        <v>1</v>
      </c>
      <c r="AT851" t="s">
        <v>118</v>
      </c>
      <c r="AU851" t="b">
        <v>1</v>
      </c>
      <c r="AV851">
        <v>0</v>
      </c>
      <c r="AW851">
        <v>18.125</v>
      </c>
      <c r="AX851">
        <v>1</v>
      </c>
      <c r="AZ851">
        <v>7205</v>
      </c>
      <c r="BA851">
        <v>1</v>
      </c>
      <c r="BB851" t="str">
        <f t="shared" si="41"/>
        <v xml:space="preserve">KAP400  </v>
      </c>
      <c r="BC851">
        <v>1</v>
      </c>
      <c r="BE851">
        <v>0</v>
      </c>
      <c r="BF851">
        <v>0</v>
      </c>
      <c r="BG851">
        <v>0</v>
      </c>
      <c r="BI851">
        <v>1</v>
      </c>
      <c r="BJ851">
        <v>1</v>
      </c>
      <c r="BK851">
        <v>1</v>
      </c>
      <c r="BL851">
        <v>0</v>
      </c>
      <c r="BO851">
        <v>0</v>
      </c>
      <c r="BP851">
        <v>0</v>
      </c>
      <c r="BW851" t="str">
        <f>"19:18:06.739"</f>
        <v>19:18:06.739</v>
      </c>
      <c r="BX851" t="s">
        <v>119</v>
      </c>
      <c r="BY851" t="s">
        <v>120</v>
      </c>
      <c r="CJ851">
        <v>0</v>
      </c>
      <c r="CK851">
        <v>0</v>
      </c>
      <c r="CL851">
        <v>0</v>
      </c>
      <c r="CM851">
        <v>2</v>
      </c>
      <c r="CN851">
        <v>0</v>
      </c>
      <c r="CO851">
        <v>6</v>
      </c>
      <c r="CP851" t="s">
        <v>121</v>
      </c>
      <c r="CQ851">
        <v>582</v>
      </c>
      <c r="CR851">
        <v>0</v>
      </c>
      <c r="CW851">
        <v>6643126</v>
      </c>
      <c r="CY851">
        <v>0</v>
      </c>
      <c r="CZ851">
        <v>0</v>
      </c>
      <c r="DA851">
        <v>0</v>
      </c>
      <c r="DB851">
        <v>1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</row>
    <row r="852" spans="1:113" x14ac:dyDescent="0.3">
      <c r="A852" t="str">
        <f>"06/16/2022 19:18:08.082"</f>
        <v>06/16/2022 19:18:08.082</v>
      </c>
      <c r="C852" t="str">
        <f t="shared" si="42"/>
        <v>FFBF5BC0</v>
      </c>
      <c r="D852" t="s">
        <v>113</v>
      </c>
      <c r="E852">
        <v>8</v>
      </c>
      <c r="H852">
        <v>206</v>
      </c>
      <c r="I852" t="s">
        <v>114</v>
      </c>
      <c r="J852" t="s">
        <v>115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>"19:18:07.695"</f>
        <v>19:18:07.695</v>
      </c>
      <c r="T852" t="str">
        <f>"19:18:07.695"</f>
        <v>19:18:07.695</v>
      </c>
      <c r="U852" t="str">
        <f t="shared" si="40"/>
        <v>AB63B2</v>
      </c>
      <c r="V852">
        <v>0</v>
      </c>
      <c r="W852">
        <v>0</v>
      </c>
      <c r="X852">
        <v>6</v>
      </c>
      <c r="Z852">
        <v>0</v>
      </c>
      <c r="AA852">
        <v>9</v>
      </c>
      <c r="AB852">
        <v>3</v>
      </c>
      <c r="AC852">
        <v>0</v>
      </c>
      <c r="AD852">
        <v>10</v>
      </c>
      <c r="AE852">
        <v>0</v>
      </c>
      <c r="AF852">
        <v>0</v>
      </c>
      <c r="AG852">
        <v>2</v>
      </c>
      <c r="AH852">
        <v>0</v>
      </c>
      <c r="AI852" t="s">
        <v>771</v>
      </c>
      <c r="AJ852">
        <v>41.977108000000001</v>
      </c>
      <c r="AK852" t="s">
        <v>277</v>
      </c>
      <c r="AL852">
        <v>-87.894316000000003</v>
      </c>
      <c r="AS852">
        <v>1</v>
      </c>
      <c r="AT852" t="s">
        <v>118</v>
      </c>
      <c r="AU852" t="b">
        <v>1</v>
      </c>
      <c r="AV852">
        <v>0</v>
      </c>
      <c r="AW852">
        <v>18.125</v>
      </c>
      <c r="AX852">
        <v>1</v>
      </c>
      <c r="AZ852">
        <v>7205</v>
      </c>
      <c r="BA852">
        <v>1</v>
      </c>
      <c r="BB852" t="str">
        <f t="shared" si="41"/>
        <v xml:space="preserve">KAP400  </v>
      </c>
      <c r="BC852">
        <v>1</v>
      </c>
      <c r="BE852">
        <v>0</v>
      </c>
      <c r="BF852">
        <v>0</v>
      </c>
      <c r="BG852">
        <v>0</v>
      </c>
      <c r="BI852">
        <v>1</v>
      </c>
      <c r="BJ852">
        <v>1</v>
      </c>
      <c r="BK852">
        <v>1</v>
      </c>
      <c r="BL852">
        <v>0</v>
      </c>
      <c r="BO852">
        <v>0</v>
      </c>
      <c r="BP852">
        <v>0</v>
      </c>
      <c r="BW852" t="str">
        <f>"19:18:07.700"</f>
        <v>19:18:07.700</v>
      </c>
      <c r="BX852" t="s">
        <v>119</v>
      </c>
      <c r="BY852" t="s">
        <v>120</v>
      </c>
      <c r="CJ852">
        <v>0</v>
      </c>
      <c r="CK852">
        <v>0</v>
      </c>
      <c r="CL852">
        <v>0</v>
      </c>
      <c r="CM852">
        <v>2</v>
      </c>
      <c r="CN852">
        <v>0</v>
      </c>
      <c r="CO852">
        <v>6</v>
      </c>
      <c r="CP852" t="s">
        <v>121</v>
      </c>
      <c r="CQ852">
        <v>581</v>
      </c>
      <c r="CR852">
        <v>0</v>
      </c>
      <c r="CW852">
        <v>15743892</v>
      </c>
      <c r="CY852">
        <v>0</v>
      </c>
      <c r="CZ852">
        <v>0</v>
      </c>
      <c r="DA852">
        <v>0</v>
      </c>
      <c r="DB852">
        <v>1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</row>
    <row r="853" spans="1:113" x14ac:dyDescent="0.3">
      <c r="A853" t="str">
        <f>"06/16/2022 19:18:08.910"</f>
        <v>06/16/2022 19:18:08.910</v>
      </c>
      <c r="C853" t="str">
        <f t="shared" si="42"/>
        <v>FFBF5BC0</v>
      </c>
      <c r="D853" t="s">
        <v>113</v>
      </c>
      <c r="E853">
        <v>8</v>
      </c>
      <c r="H853">
        <v>206</v>
      </c>
      <c r="I853" t="s">
        <v>114</v>
      </c>
      <c r="J853" t="s">
        <v>115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>"19:18:08.695"</f>
        <v>19:18:08.695</v>
      </c>
      <c r="T853" t="str">
        <f>"19:18:08.695"</f>
        <v>19:18:08.695</v>
      </c>
      <c r="U853" t="str">
        <f t="shared" si="40"/>
        <v>AB63B2</v>
      </c>
      <c r="V853">
        <v>0</v>
      </c>
      <c r="W853">
        <v>0</v>
      </c>
      <c r="X853">
        <v>6</v>
      </c>
      <c r="Z853">
        <v>0</v>
      </c>
      <c r="AA853">
        <v>9</v>
      </c>
      <c r="AB853">
        <v>3</v>
      </c>
      <c r="AC853">
        <v>0</v>
      </c>
      <c r="AD853">
        <v>10</v>
      </c>
      <c r="AE853">
        <v>0</v>
      </c>
      <c r="AF853">
        <v>0</v>
      </c>
      <c r="AG853">
        <v>2</v>
      </c>
      <c r="AH853">
        <v>0</v>
      </c>
      <c r="AI853" t="s">
        <v>772</v>
      </c>
      <c r="AJ853">
        <v>41.977193</v>
      </c>
      <c r="AK853" t="s">
        <v>277</v>
      </c>
      <c r="AL853">
        <v>-87.894316000000003</v>
      </c>
      <c r="AS853">
        <v>1</v>
      </c>
      <c r="AT853" t="s">
        <v>118</v>
      </c>
      <c r="AU853" t="b">
        <v>1</v>
      </c>
      <c r="AV853">
        <v>0</v>
      </c>
      <c r="AW853">
        <v>18.125</v>
      </c>
      <c r="AX853">
        <v>1</v>
      </c>
      <c r="AZ853">
        <v>7205</v>
      </c>
      <c r="BA853">
        <v>1</v>
      </c>
      <c r="BB853" t="str">
        <f t="shared" si="41"/>
        <v xml:space="preserve">KAP400  </v>
      </c>
      <c r="BC853">
        <v>1</v>
      </c>
      <c r="BE853">
        <v>0</v>
      </c>
      <c r="BF853">
        <v>0</v>
      </c>
      <c r="BG853">
        <v>0</v>
      </c>
      <c r="BI853">
        <v>1</v>
      </c>
      <c r="BJ853">
        <v>1</v>
      </c>
      <c r="BK853">
        <v>1</v>
      </c>
      <c r="BL853">
        <v>0</v>
      </c>
      <c r="BO853">
        <v>0</v>
      </c>
      <c r="BP853">
        <v>0</v>
      </c>
      <c r="BW853" t="str">
        <f>"19:18:08.702"</f>
        <v>19:18:08.702</v>
      </c>
      <c r="BX853" t="s">
        <v>119</v>
      </c>
      <c r="BY853" t="s">
        <v>120</v>
      </c>
      <c r="CJ853">
        <v>0</v>
      </c>
      <c r="CK853">
        <v>0</v>
      </c>
      <c r="CL853">
        <v>0</v>
      </c>
      <c r="CM853">
        <v>2</v>
      </c>
      <c r="CN853">
        <v>0</v>
      </c>
      <c r="CO853">
        <v>6</v>
      </c>
      <c r="CP853" t="s">
        <v>121</v>
      </c>
      <c r="CQ853">
        <v>582</v>
      </c>
      <c r="CR853">
        <v>0</v>
      </c>
      <c r="CW853">
        <v>6645787</v>
      </c>
      <c r="CY853">
        <v>0</v>
      </c>
      <c r="CZ853">
        <v>0</v>
      </c>
      <c r="DA853">
        <v>0</v>
      </c>
      <c r="DB853">
        <v>1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</row>
    <row r="854" spans="1:113" x14ac:dyDescent="0.3">
      <c r="A854" t="str">
        <f>"06/16/2022 19:18:09.801"</f>
        <v>06/16/2022 19:18:09.801</v>
      </c>
      <c r="C854" t="str">
        <f t="shared" si="42"/>
        <v>FFBF5BC0</v>
      </c>
      <c r="D854" t="s">
        <v>113</v>
      </c>
      <c r="E854">
        <v>8</v>
      </c>
      <c r="H854">
        <v>206</v>
      </c>
      <c r="I854" t="s">
        <v>114</v>
      </c>
      <c r="J854" t="s">
        <v>115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>"19:18:09.602"</f>
        <v>19:18:09.602</v>
      </c>
      <c r="T854" t="str">
        <f>"19:18:09.602"</f>
        <v>19:18:09.602</v>
      </c>
      <c r="U854" t="str">
        <f t="shared" si="40"/>
        <v>AB63B2</v>
      </c>
      <c r="V854">
        <v>0</v>
      </c>
      <c r="W854">
        <v>0</v>
      </c>
      <c r="X854">
        <v>6</v>
      </c>
      <c r="Z854">
        <v>0</v>
      </c>
      <c r="AA854">
        <v>9</v>
      </c>
      <c r="AB854">
        <v>3</v>
      </c>
      <c r="AC854">
        <v>0</v>
      </c>
      <c r="AD854">
        <v>10</v>
      </c>
      <c r="AE854">
        <v>0</v>
      </c>
      <c r="AF854">
        <v>0</v>
      </c>
      <c r="AG854">
        <v>2</v>
      </c>
      <c r="AH854">
        <v>0</v>
      </c>
      <c r="AI854" t="s">
        <v>773</v>
      </c>
      <c r="AJ854">
        <v>41.977279000000003</v>
      </c>
      <c r="AK854" t="s">
        <v>277</v>
      </c>
      <c r="AL854">
        <v>-87.894316000000003</v>
      </c>
      <c r="AS854">
        <v>1</v>
      </c>
      <c r="AT854" t="s">
        <v>118</v>
      </c>
      <c r="AU854" t="b">
        <v>1</v>
      </c>
      <c r="AV854">
        <v>0</v>
      </c>
      <c r="AW854">
        <v>18.125</v>
      </c>
      <c r="AX854">
        <v>1</v>
      </c>
      <c r="AZ854">
        <v>7205</v>
      </c>
      <c r="BA854">
        <v>1</v>
      </c>
      <c r="BB854" t="str">
        <f t="shared" si="41"/>
        <v xml:space="preserve">KAP400  </v>
      </c>
      <c r="BC854">
        <v>1</v>
      </c>
      <c r="BE854">
        <v>0</v>
      </c>
      <c r="BF854">
        <v>0</v>
      </c>
      <c r="BG854">
        <v>0</v>
      </c>
      <c r="BI854">
        <v>1</v>
      </c>
      <c r="BJ854">
        <v>1</v>
      </c>
      <c r="BK854">
        <v>1</v>
      </c>
      <c r="BL854">
        <v>0</v>
      </c>
      <c r="BO854">
        <v>0</v>
      </c>
      <c r="BP854">
        <v>0</v>
      </c>
      <c r="BW854" t="str">
        <f>"19:18:09.603"</f>
        <v>19:18:09.603</v>
      </c>
      <c r="BX854" t="s">
        <v>119</v>
      </c>
      <c r="BY854" t="s">
        <v>120</v>
      </c>
      <c r="CJ854">
        <v>0</v>
      </c>
      <c r="CK854">
        <v>0</v>
      </c>
      <c r="CL854">
        <v>0</v>
      </c>
      <c r="CM854">
        <v>2</v>
      </c>
      <c r="CN854">
        <v>0</v>
      </c>
      <c r="CO854">
        <v>6</v>
      </c>
      <c r="CP854" t="s">
        <v>121</v>
      </c>
      <c r="CQ854">
        <v>581</v>
      </c>
      <c r="CR854">
        <v>0</v>
      </c>
      <c r="CW854">
        <v>15746617</v>
      </c>
      <c r="CY854">
        <v>0</v>
      </c>
      <c r="CZ854">
        <v>0</v>
      </c>
      <c r="DA854">
        <v>0</v>
      </c>
      <c r="DB854">
        <v>1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</row>
    <row r="855" spans="1:113" x14ac:dyDescent="0.3">
      <c r="A855" t="str">
        <f>"06/16/2022 19:18:10.707"</f>
        <v>06/16/2022 19:18:10.707</v>
      </c>
      <c r="C855" t="str">
        <f t="shared" si="42"/>
        <v>FFBF5BC0</v>
      </c>
      <c r="D855" t="s">
        <v>113</v>
      </c>
      <c r="E855">
        <v>8</v>
      </c>
      <c r="H855">
        <v>206</v>
      </c>
      <c r="I855" t="s">
        <v>114</v>
      </c>
      <c r="J855" t="s">
        <v>115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>"19:18:10.461"</f>
        <v>19:18:10.461</v>
      </c>
      <c r="T855" t="str">
        <f>"19:18:10.461"</f>
        <v>19:18:10.461</v>
      </c>
      <c r="U855" t="str">
        <f t="shared" si="40"/>
        <v>AB63B2</v>
      </c>
      <c r="V855">
        <v>0</v>
      </c>
      <c r="W855">
        <v>0</v>
      </c>
      <c r="X855">
        <v>6</v>
      </c>
      <c r="Z855">
        <v>0</v>
      </c>
      <c r="AA855">
        <v>9</v>
      </c>
      <c r="AB855">
        <v>3</v>
      </c>
      <c r="AC855">
        <v>0</v>
      </c>
      <c r="AD855">
        <v>10</v>
      </c>
      <c r="AE855">
        <v>0</v>
      </c>
      <c r="AF855">
        <v>0</v>
      </c>
      <c r="AG855">
        <v>2</v>
      </c>
      <c r="AH855">
        <v>0</v>
      </c>
      <c r="AI855" t="s">
        <v>774</v>
      </c>
      <c r="AJ855">
        <v>41.977344000000002</v>
      </c>
      <c r="AK855" t="s">
        <v>277</v>
      </c>
      <c r="AL855">
        <v>-87.894316000000003</v>
      </c>
      <c r="AS855">
        <v>1</v>
      </c>
      <c r="AT855" t="s">
        <v>118</v>
      </c>
      <c r="AU855" t="b">
        <v>1</v>
      </c>
      <c r="AV855">
        <v>2.81</v>
      </c>
      <c r="AW855">
        <v>18.125</v>
      </c>
      <c r="AX855">
        <v>1</v>
      </c>
      <c r="AZ855">
        <v>7205</v>
      </c>
      <c r="BA855">
        <v>1</v>
      </c>
      <c r="BB855" t="str">
        <f t="shared" si="41"/>
        <v xml:space="preserve">KAP400  </v>
      </c>
      <c r="BC855">
        <v>1</v>
      </c>
      <c r="BE855">
        <v>0</v>
      </c>
      <c r="BF855">
        <v>0</v>
      </c>
      <c r="BG855">
        <v>0</v>
      </c>
      <c r="BI855">
        <v>1</v>
      </c>
      <c r="BJ855">
        <v>1</v>
      </c>
      <c r="BK855">
        <v>1</v>
      </c>
      <c r="BL855">
        <v>0</v>
      </c>
      <c r="BO855">
        <v>0</v>
      </c>
      <c r="BP855">
        <v>0</v>
      </c>
      <c r="BW855" t="str">
        <f>"19:18:10.465"</f>
        <v>19:18:10.465</v>
      </c>
      <c r="BX855" t="s">
        <v>119</v>
      </c>
      <c r="BY855" t="s">
        <v>120</v>
      </c>
      <c r="CJ855">
        <v>0</v>
      </c>
      <c r="CK855">
        <v>0</v>
      </c>
      <c r="CL855">
        <v>0</v>
      </c>
      <c r="CM855">
        <v>2</v>
      </c>
      <c r="CN855">
        <v>0</v>
      </c>
      <c r="CO855">
        <v>6</v>
      </c>
      <c r="CP855" t="s">
        <v>121</v>
      </c>
      <c r="CQ855">
        <v>580</v>
      </c>
      <c r="CR855">
        <v>0</v>
      </c>
      <c r="CW855">
        <v>921006</v>
      </c>
      <c r="CY855">
        <v>0</v>
      </c>
      <c r="CZ855">
        <v>0</v>
      </c>
      <c r="DA855">
        <v>0</v>
      </c>
      <c r="DB855">
        <v>1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</row>
    <row r="856" spans="1:113" x14ac:dyDescent="0.3">
      <c r="A856" t="str">
        <f>"06/16/2022 19:18:11.629"</f>
        <v>06/16/2022 19:18:11.629</v>
      </c>
      <c r="C856" t="str">
        <f t="shared" si="42"/>
        <v>FFBF5BC0</v>
      </c>
      <c r="D856" t="s">
        <v>113</v>
      </c>
      <c r="E856">
        <v>8</v>
      </c>
      <c r="H856">
        <v>206</v>
      </c>
      <c r="I856" t="s">
        <v>114</v>
      </c>
      <c r="J856" t="s">
        <v>115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>"19:18:11.469"</f>
        <v>19:18:11.469</v>
      </c>
      <c r="T856" t="str">
        <f>"19:18:11.469"</f>
        <v>19:18:11.469</v>
      </c>
      <c r="U856" t="str">
        <f t="shared" si="40"/>
        <v>AB63B2</v>
      </c>
      <c r="V856">
        <v>0</v>
      </c>
      <c r="W856">
        <v>0</v>
      </c>
      <c r="X856">
        <v>6</v>
      </c>
      <c r="Z856">
        <v>0</v>
      </c>
      <c r="AA856">
        <v>9</v>
      </c>
      <c r="AB856">
        <v>3</v>
      </c>
      <c r="AC856">
        <v>0</v>
      </c>
      <c r="AD856">
        <v>10</v>
      </c>
      <c r="AE856">
        <v>0</v>
      </c>
      <c r="AF856">
        <v>0</v>
      </c>
      <c r="AG856">
        <v>2</v>
      </c>
      <c r="AH856">
        <v>0</v>
      </c>
      <c r="AI856" t="s">
        <v>775</v>
      </c>
      <c r="AJ856">
        <v>41.977429000000001</v>
      </c>
      <c r="AK856" t="s">
        <v>277</v>
      </c>
      <c r="AL856">
        <v>-87.894316000000003</v>
      </c>
      <c r="AS856">
        <v>1</v>
      </c>
      <c r="AT856" t="s">
        <v>118</v>
      </c>
      <c r="AU856" t="b">
        <v>1</v>
      </c>
      <c r="AV856">
        <v>2.81</v>
      </c>
      <c r="AW856">
        <v>18.125</v>
      </c>
      <c r="AX856">
        <v>1</v>
      </c>
      <c r="AZ856">
        <v>7205</v>
      </c>
      <c r="BA856">
        <v>1</v>
      </c>
      <c r="BB856" t="str">
        <f t="shared" si="41"/>
        <v xml:space="preserve">KAP400  </v>
      </c>
      <c r="BC856">
        <v>1</v>
      </c>
      <c r="BE856">
        <v>0</v>
      </c>
      <c r="BF856">
        <v>0</v>
      </c>
      <c r="BG856">
        <v>0</v>
      </c>
      <c r="BI856">
        <v>1</v>
      </c>
      <c r="BJ856">
        <v>1</v>
      </c>
      <c r="BK856">
        <v>1</v>
      </c>
      <c r="BL856">
        <v>0</v>
      </c>
      <c r="BO856">
        <v>0</v>
      </c>
      <c r="BP856">
        <v>0</v>
      </c>
      <c r="BW856" t="str">
        <f>"19:18:11.476"</f>
        <v>19:18:11.476</v>
      </c>
      <c r="BX856" t="s">
        <v>119</v>
      </c>
      <c r="BY856" t="s">
        <v>120</v>
      </c>
      <c r="CJ856">
        <v>0</v>
      </c>
      <c r="CK856">
        <v>0</v>
      </c>
      <c r="CL856">
        <v>0</v>
      </c>
      <c r="CM856">
        <v>2</v>
      </c>
      <c r="CN856">
        <v>0</v>
      </c>
      <c r="CO856">
        <v>6</v>
      </c>
      <c r="CP856" t="s">
        <v>121</v>
      </c>
      <c r="CQ856">
        <v>582</v>
      </c>
      <c r="CR856">
        <v>0</v>
      </c>
      <c r="CW856">
        <v>6649346</v>
      </c>
      <c r="CY856">
        <v>0</v>
      </c>
      <c r="CZ856">
        <v>0</v>
      </c>
      <c r="DA856">
        <v>0</v>
      </c>
      <c r="DB856">
        <v>1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</row>
    <row r="857" spans="1:113" x14ac:dyDescent="0.3">
      <c r="A857" t="str">
        <f>"06/16/2022 19:18:12.815"</f>
        <v>06/16/2022 19:18:12.815</v>
      </c>
      <c r="C857" t="str">
        <f t="shared" si="42"/>
        <v>FFBF5BC0</v>
      </c>
      <c r="D857" t="s">
        <v>113</v>
      </c>
      <c r="E857">
        <v>8</v>
      </c>
      <c r="H857">
        <v>206</v>
      </c>
      <c r="I857" t="s">
        <v>114</v>
      </c>
      <c r="J857" t="s">
        <v>115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>"19:18:12.570"</f>
        <v>19:18:12.570</v>
      </c>
      <c r="T857" t="str">
        <f>"19:18:12.570"</f>
        <v>19:18:12.570</v>
      </c>
      <c r="U857" t="str">
        <f t="shared" si="40"/>
        <v>AB63B2</v>
      </c>
      <c r="V857">
        <v>0</v>
      </c>
      <c r="W857">
        <v>0</v>
      </c>
      <c r="X857">
        <v>6</v>
      </c>
      <c r="Z857">
        <v>0</v>
      </c>
      <c r="AA857">
        <v>9</v>
      </c>
      <c r="AB857">
        <v>3</v>
      </c>
      <c r="AC857">
        <v>0</v>
      </c>
      <c r="AD857">
        <v>10</v>
      </c>
      <c r="AE857">
        <v>0</v>
      </c>
      <c r="AF857">
        <v>0</v>
      </c>
      <c r="AG857">
        <v>2</v>
      </c>
      <c r="AH857">
        <v>0</v>
      </c>
      <c r="AI857" t="s">
        <v>369</v>
      </c>
      <c r="AJ857">
        <v>41.977494</v>
      </c>
      <c r="AK857" t="s">
        <v>277</v>
      </c>
      <c r="AL857">
        <v>-87.894316000000003</v>
      </c>
      <c r="AS857">
        <v>1</v>
      </c>
      <c r="AT857" t="s">
        <v>118</v>
      </c>
      <c r="AU857" t="b">
        <v>1</v>
      </c>
      <c r="AV857">
        <v>2.81</v>
      </c>
      <c r="AW857">
        <v>17.125</v>
      </c>
      <c r="AX857">
        <v>1</v>
      </c>
      <c r="AZ857">
        <v>7205</v>
      </c>
      <c r="BA857">
        <v>1</v>
      </c>
      <c r="BB857" t="str">
        <f t="shared" si="41"/>
        <v xml:space="preserve">KAP400  </v>
      </c>
      <c r="BC857">
        <v>1</v>
      </c>
      <c r="BE857">
        <v>0</v>
      </c>
      <c r="BF857">
        <v>0</v>
      </c>
      <c r="BG857">
        <v>0</v>
      </c>
      <c r="BI857">
        <v>1</v>
      </c>
      <c r="BJ857">
        <v>1</v>
      </c>
      <c r="BK857">
        <v>1</v>
      </c>
      <c r="BL857">
        <v>0</v>
      </c>
      <c r="BO857">
        <v>0</v>
      </c>
      <c r="BP857">
        <v>0</v>
      </c>
      <c r="BW857" t="str">
        <f>"19:18:12.577"</f>
        <v>19:18:12.577</v>
      </c>
      <c r="BX857" t="s">
        <v>119</v>
      </c>
      <c r="BY857" t="s">
        <v>120</v>
      </c>
      <c r="CJ857">
        <v>0</v>
      </c>
      <c r="CK857">
        <v>0</v>
      </c>
      <c r="CL857">
        <v>0</v>
      </c>
      <c r="CM857">
        <v>2</v>
      </c>
      <c r="CN857">
        <v>0</v>
      </c>
      <c r="CO857">
        <v>7</v>
      </c>
      <c r="CP857" t="s">
        <v>121</v>
      </c>
      <c r="CQ857">
        <v>580</v>
      </c>
      <c r="CR857">
        <v>0</v>
      </c>
      <c r="CW857">
        <v>924722</v>
      </c>
      <c r="CY857">
        <v>0</v>
      </c>
      <c r="CZ857">
        <v>0</v>
      </c>
      <c r="DA857">
        <v>0</v>
      </c>
      <c r="DB857">
        <v>1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</row>
    <row r="858" spans="1:113" x14ac:dyDescent="0.3">
      <c r="A858" t="str">
        <f>"06/16/2022 19:18:13.832"</f>
        <v>06/16/2022 19:18:13.832</v>
      </c>
      <c r="C858" t="str">
        <f t="shared" si="42"/>
        <v>FFBF5BC0</v>
      </c>
      <c r="D858" t="s">
        <v>113</v>
      </c>
      <c r="E858">
        <v>8</v>
      </c>
      <c r="H858">
        <v>206</v>
      </c>
      <c r="I858" t="s">
        <v>114</v>
      </c>
      <c r="J858" t="s">
        <v>115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>"19:18:13.602"</f>
        <v>19:18:13.602</v>
      </c>
      <c r="T858" t="str">
        <f>"19:18:13.602"</f>
        <v>19:18:13.602</v>
      </c>
      <c r="U858" t="str">
        <f t="shared" si="40"/>
        <v>AB63B2</v>
      </c>
      <c r="V858">
        <v>0</v>
      </c>
      <c r="W858">
        <v>0</v>
      </c>
      <c r="X858">
        <v>6</v>
      </c>
      <c r="Z858">
        <v>0</v>
      </c>
      <c r="AA858">
        <v>9</v>
      </c>
      <c r="AB858">
        <v>3</v>
      </c>
      <c r="AC858">
        <v>0</v>
      </c>
      <c r="AD858">
        <v>10</v>
      </c>
      <c r="AE858">
        <v>0</v>
      </c>
      <c r="AF858">
        <v>0</v>
      </c>
      <c r="AG858">
        <v>2</v>
      </c>
      <c r="AH858">
        <v>0</v>
      </c>
      <c r="AI858" t="s">
        <v>776</v>
      </c>
      <c r="AJ858">
        <v>41.977580000000003</v>
      </c>
      <c r="AK858" t="s">
        <v>728</v>
      </c>
      <c r="AL858">
        <v>-87.894294000000002</v>
      </c>
      <c r="AS858">
        <v>1</v>
      </c>
      <c r="AT858" t="s">
        <v>118</v>
      </c>
      <c r="AU858" t="b">
        <v>1</v>
      </c>
      <c r="AV858">
        <v>0</v>
      </c>
      <c r="AW858">
        <v>17.125</v>
      </c>
      <c r="AX858">
        <v>1</v>
      </c>
      <c r="AZ858">
        <v>7205</v>
      </c>
      <c r="BA858">
        <v>1</v>
      </c>
      <c r="BB858" t="str">
        <f t="shared" si="41"/>
        <v xml:space="preserve">KAP400  </v>
      </c>
      <c r="BC858">
        <v>1</v>
      </c>
      <c r="BE858">
        <v>0</v>
      </c>
      <c r="BF858">
        <v>0</v>
      </c>
      <c r="BG858">
        <v>0</v>
      </c>
      <c r="BI858">
        <v>1</v>
      </c>
      <c r="BJ858">
        <v>1</v>
      </c>
      <c r="BK858">
        <v>1</v>
      </c>
      <c r="BL858">
        <v>0</v>
      </c>
      <c r="BO858">
        <v>0</v>
      </c>
      <c r="BP858">
        <v>0</v>
      </c>
      <c r="BW858" t="str">
        <f>"19:18:13.606"</f>
        <v>19:18:13.606</v>
      </c>
      <c r="BX858" t="s">
        <v>119</v>
      </c>
      <c r="BY858" t="s">
        <v>120</v>
      </c>
      <c r="CJ858">
        <v>0</v>
      </c>
      <c r="CK858">
        <v>0</v>
      </c>
      <c r="CL858">
        <v>0</v>
      </c>
      <c r="CM858">
        <v>2</v>
      </c>
      <c r="CN858">
        <v>0</v>
      </c>
      <c r="CO858">
        <v>6</v>
      </c>
      <c r="CP858" t="s">
        <v>121</v>
      </c>
      <c r="CQ858">
        <v>580</v>
      </c>
      <c r="CR858">
        <v>0</v>
      </c>
      <c r="CW858">
        <v>926519</v>
      </c>
      <c r="CY858">
        <v>0</v>
      </c>
      <c r="CZ858">
        <v>0</v>
      </c>
      <c r="DA858">
        <v>0</v>
      </c>
      <c r="DB858">
        <v>1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</row>
    <row r="859" spans="1:113" x14ac:dyDescent="0.3">
      <c r="A859" t="str">
        <f>"06/16/2022 19:18:14.863"</f>
        <v>06/16/2022 19:18:14.863</v>
      </c>
      <c r="C859" t="str">
        <f t="shared" si="42"/>
        <v>FFBF5BC0</v>
      </c>
      <c r="D859" t="s">
        <v>113</v>
      </c>
      <c r="E859">
        <v>8</v>
      </c>
      <c r="H859">
        <v>206</v>
      </c>
      <c r="I859" t="s">
        <v>114</v>
      </c>
      <c r="J859" t="s">
        <v>115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>"19:18:14.625"</f>
        <v>19:18:14.625</v>
      </c>
      <c r="T859" t="str">
        <f>"19:18:14.625"</f>
        <v>19:18:14.625</v>
      </c>
      <c r="U859" t="str">
        <f t="shared" si="40"/>
        <v>AB63B2</v>
      </c>
      <c r="V859">
        <v>0</v>
      </c>
      <c r="W859">
        <v>0</v>
      </c>
      <c r="X859">
        <v>6</v>
      </c>
      <c r="Z859">
        <v>0</v>
      </c>
      <c r="AA859">
        <v>9</v>
      </c>
      <c r="AB859">
        <v>3</v>
      </c>
      <c r="AC859">
        <v>0</v>
      </c>
      <c r="AD859">
        <v>10</v>
      </c>
      <c r="AE859">
        <v>0</v>
      </c>
      <c r="AF859">
        <v>0</v>
      </c>
      <c r="AG859">
        <v>2</v>
      </c>
      <c r="AH859">
        <v>0</v>
      </c>
      <c r="AI859" t="s">
        <v>777</v>
      </c>
      <c r="AJ859">
        <v>41.977665000000002</v>
      </c>
      <c r="AK859" t="s">
        <v>728</v>
      </c>
      <c r="AL859">
        <v>-87.894294000000002</v>
      </c>
      <c r="AS859">
        <v>1</v>
      </c>
      <c r="AT859" t="s">
        <v>118</v>
      </c>
      <c r="AU859" t="b">
        <v>1</v>
      </c>
      <c r="AV859">
        <v>0</v>
      </c>
      <c r="AW859">
        <v>17.125</v>
      </c>
      <c r="AX859">
        <v>1</v>
      </c>
      <c r="AZ859">
        <v>7205</v>
      </c>
      <c r="BA859">
        <v>1</v>
      </c>
      <c r="BB859" t="str">
        <f t="shared" si="41"/>
        <v xml:space="preserve">KAP400  </v>
      </c>
      <c r="BC859">
        <v>1</v>
      </c>
      <c r="BE859">
        <v>0</v>
      </c>
      <c r="BF859">
        <v>0</v>
      </c>
      <c r="BG859">
        <v>0</v>
      </c>
      <c r="BI859">
        <v>1</v>
      </c>
      <c r="BJ859">
        <v>1</v>
      </c>
      <c r="BK859">
        <v>1</v>
      </c>
      <c r="BL859">
        <v>0</v>
      </c>
      <c r="BO859">
        <v>0</v>
      </c>
      <c r="BP859">
        <v>0</v>
      </c>
      <c r="BW859" t="str">
        <f>"19:18:14.625"</f>
        <v>19:18:14.625</v>
      </c>
      <c r="BX859" t="s">
        <v>119</v>
      </c>
      <c r="BY859" t="s">
        <v>120</v>
      </c>
      <c r="CJ859">
        <v>0</v>
      </c>
      <c r="CK859">
        <v>0</v>
      </c>
      <c r="CL859">
        <v>0</v>
      </c>
      <c r="CM859">
        <v>2</v>
      </c>
      <c r="CN859">
        <v>0</v>
      </c>
      <c r="CO859">
        <v>6</v>
      </c>
      <c r="CP859" t="s">
        <v>121</v>
      </c>
      <c r="CQ859">
        <v>582</v>
      </c>
      <c r="CR859">
        <v>0</v>
      </c>
      <c r="CW859">
        <v>6653354</v>
      </c>
      <c r="CY859">
        <v>0</v>
      </c>
      <c r="CZ859">
        <v>0</v>
      </c>
      <c r="DA859">
        <v>0</v>
      </c>
      <c r="DB859">
        <v>1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</row>
    <row r="860" spans="1:113" x14ac:dyDescent="0.3">
      <c r="A860" t="str">
        <f>"06/16/2022 19:18:15.863"</f>
        <v>06/16/2022 19:18:15.863</v>
      </c>
      <c r="C860" t="str">
        <f t="shared" si="42"/>
        <v>FFBF5BC0</v>
      </c>
      <c r="D860" t="s">
        <v>113</v>
      </c>
      <c r="E860">
        <v>8</v>
      </c>
      <c r="H860">
        <v>206</v>
      </c>
      <c r="I860" t="s">
        <v>114</v>
      </c>
      <c r="J860" t="s">
        <v>115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>"19:18:15.672"</f>
        <v>19:18:15.672</v>
      </c>
      <c r="T860" t="str">
        <f>"19:18:15.672"</f>
        <v>19:18:15.672</v>
      </c>
      <c r="U860" t="str">
        <f t="shared" si="40"/>
        <v>AB63B2</v>
      </c>
      <c r="V860">
        <v>0</v>
      </c>
      <c r="W860">
        <v>0</v>
      </c>
      <c r="X860">
        <v>6</v>
      </c>
      <c r="Z860">
        <v>0</v>
      </c>
      <c r="AA860">
        <v>9</v>
      </c>
      <c r="AB860">
        <v>3</v>
      </c>
      <c r="AC860">
        <v>0</v>
      </c>
      <c r="AD860">
        <v>10</v>
      </c>
      <c r="AE860">
        <v>0</v>
      </c>
      <c r="AF860">
        <v>0</v>
      </c>
      <c r="AG860">
        <v>2</v>
      </c>
      <c r="AH860">
        <v>0</v>
      </c>
      <c r="AI860" t="s">
        <v>778</v>
      </c>
      <c r="AJ860">
        <v>41.977750999999998</v>
      </c>
      <c r="AK860" t="s">
        <v>277</v>
      </c>
      <c r="AL860">
        <v>-87.894316000000003</v>
      </c>
      <c r="AS860">
        <v>1</v>
      </c>
      <c r="AT860" t="s">
        <v>118</v>
      </c>
      <c r="AU860" t="b">
        <v>1</v>
      </c>
      <c r="AV860">
        <v>357.19</v>
      </c>
      <c r="AW860">
        <v>17.125</v>
      </c>
      <c r="AX860">
        <v>1</v>
      </c>
      <c r="AZ860">
        <v>7205</v>
      </c>
      <c r="BA860">
        <v>1</v>
      </c>
      <c r="BB860" t="str">
        <f t="shared" si="41"/>
        <v xml:space="preserve">KAP400  </v>
      </c>
      <c r="BC860">
        <v>1</v>
      </c>
      <c r="BE860">
        <v>0</v>
      </c>
      <c r="BF860">
        <v>0</v>
      </c>
      <c r="BG860">
        <v>0</v>
      </c>
      <c r="BI860">
        <v>1</v>
      </c>
      <c r="BJ860">
        <v>1</v>
      </c>
      <c r="BK860">
        <v>1</v>
      </c>
      <c r="BL860">
        <v>0</v>
      </c>
      <c r="BO860">
        <v>0</v>
      </c>
      <c r="BP860">
        <v>0</v>
      </c>
      <c r="BW860" t="str">
        <f>"19:18:15.679"</f>
        <v>19:18:15.679</v>
      </c>
      <c r="BX860" t="s">
        <v>119</v>
      </c>
      <c r="BY860" t="s">
        <v>120</v>
      </c>
      <c r="CJ860">
        <v>0</v>
      </c>
      <c r="CK860">
        <v>0</v>
      </c>
      <c r="CL860">
        <v>0</v>
      </c>
      <c r="CM860">
        <v>2</v>
      </c>
      <c r="CN860">
        <v>0</v>
      </c>
      <c r="CO860">
        <v>6</v>
      </c>
      <c r="CP860" t="s">
        <v>121</v>
      </c>
      <c r="CQ860">
        <v>581</v>
      </c>
      <c r="CR860">
        <v>0</v>
      </c>
      <c r="CW860">
        <v>15754723</v>
      </c>
      <c r="CY860">
        <v>0</v>
      </c>
      <c r="CZ860">
        <v>0</v>
      </c>
      <c r="DA860">
        <v>0</v>
      </c>
      <c r="DB860">
        <v>1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</row>
    <row r="861" spans="1:113" x14ac:dyDescent="0.3">
      <c r="A861" t="str">
        <f>"06/16/2022 19:18:16.851"</f>
        <v>06/16/2022 19:18:16.851</v>
      </c>
      <c r="C861" t="str">
        <f t="shared" si="42"/>
        <v>FFBF5BC0</v>
      </c>
      <c r="D861" t="s">
        <v>113</v>
      </c>
      <c r="E861">
        <v>8</v>
      </c>
      <c r="H861">
        <v>206</v>
      </c>
      <c r="I861" t="s">
        <v>114</v>
      </c>
      <c r="J861" t="s">
        <v>115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>"19:18:16.594"</f>
        <v>19:18:16.594</v>
      </c>
      <c r="T861" t="str">
        <f>"19:18:16.594"</f>
        <v>19:18:16.594</v>
      </c>
      <c r="U861" t="str">
        <f t="shared" si="40"/>
        <v>AB63B2</v>
      </c>
      <c r="V861">
        <v>0</v>
      </c>
      <c r="W861">
        <v>0</v>
      </c>
      <c r="X861">
        <v>6</v>
      </c>
      <c r="Z861">
        <v>0</v>
      </c>
      <c r="AA861">
        <v>9</v>
      </c>
      <c r="AB861">
        <v>3</v>
      </c>
      <c r="AC861">
        <v>0</v>
      </c>
      <c r="AD861">
        <v>10</v>
      </c>
      <c r="AE861">
        <v>0</v>
      </c>
      <c r="AF861">
        <v>0</v>
      </c>
      <c r="AG861">
        <v>2</v>
      </c>
      <c r="AH861">
        <v>0</v>
      </c>
      <c r="AI861" t="s">
        <v>779</v>
      </c>
      <c r="AJ861">
        <v>41.977815999999997</v>
      </c>
      <c r="AK861" t="s">
        <v>728</v>
      </c>
      <c r="AL861">
        <v>-87.894294000000002</v>
      </c>
      <c r="AS861">
        <v>1</v>
      </c>
      <c r="AT861" t="s">
        <v>118</v>
      </c>
      <c r="AU861" t="b">
        <v>1</v>
      </c>
      <c r="AV861">
        <v>357.19</v>
      </c>
      <c r="AW861">
        <v>17.125</v>
      </c>
      <c r="AX861">
        <v>1</v>
      </c>
      <c r="AZ861">
        <v>7205</v>
      </c>
      <c r="BA861">
        <v>1</v>
      </c>
      <c r="BB861" t="str">
        <f t="shared" si="41"/>
        <v xml:space="preserve">KAP400  </v>
      </c>
      <c r="BC861">
        <v>1</v>
      </c>
      <c r="BE861">
        <v>0</v>
      </c>
      <c r="BF861">
        <v>0</v>
      </c>
      <c r="BG861">
        <v>0</v>
      </c>
      <c r="BI861">
        <v>1</v>
      </c>
      <c r="BJ861">
        <v>1</v>
      </c>
      <c r="BK861">
        <v>1</v>
      </c>
      <c r="BL861">
        <v>0</v>
      </c>
      <c r="BO861">
        <v>0</v>
      </c>
      <c r="BP861">
        <v>0</v>
      </c>
      <c r="BW861" t="str">
        <f>"19:18:16.599"</f>
        <v>19:18:16.599</v>
      </c>
      <c r="BX861" t="s">
        <v>119</v>
      </c>
      <c r="BY861" t="s">
        <v>120</v>
      </c>
      <c r="CJ861">
        <v>0</v>
      </c>
      <c r="CK861">
        <v>0</v>
      </c>
      <c r="CL861">
        <v>0</v>
      </c>
      <c r="CM861">
        <v>2</v>
      </c>
      <c r="CN861">
        <v>0</v>
      </c>
      <c r="CO861">
        <v>7</v>
      </c>
      <c r="CP861" t="s">
        <v>121</v>
      </c>
      <c r="CQ861">
        <v>582</v>
      </c>
      <c r="CR861">
        <v>0</v>
      </c>
      <c r="CW861">
        <v>6655822</v>
      </c>
      <c r="CY861">
        <v>0</v>
      </c>
      <c r="CZ861">
        <v>0</v>
      </c>
      <c r="DA861">
        <v>0</v>
      </c>
      <c r="DB861">
        <v>1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</row>
    <row r="862" spans="1:113" x14ac:dyDescent="0.3">
      <c r="A862" t="str">
        <f>"06/16/2022 19:18:17.972"</f>
        <v>06/16/2022 19:18:17.972</v>
      </c>
      <c r="C862" t="str">
        <f t="shared" si="42"/>
        <v>FFBF5BC0</v>
      </c>
      <c r="D862" t="s">
        <v>113</v>
      </c>
      <c r="E862">
        <v>8</v>
      </c>
      <c r="H862">
        <v>206</v>
      </c>
      <c r="I862" t="s">
        <v>114</v>
      </c>
      <c r="J862" t="s">
        <v>115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>"19:18:17.625"</f>
        <v>19:18:17.625</v>
      </c>
      <c r="T862" t="str">
        <f>"19:18:17.625"</f>
        <v>19:18:17.625</v>
      </c>
      <c r="U862" t="str">
        <f t="shared" si="40"/>
        <v>AB63B2</v>
      </c>
      <c r="V862">
        <v>0</v>
      </c>
      <c r="W862">
        <v>0</v>
      </c>
      <c r="X862">
        <v>6</v>
      </c>
      <c r="Z862">
        <v>0</v>
      </c>
      <c r="AA862">
        <v>9</v>
      </c>
      <c r="AB862">
        <v>3</v>
      </c>
      <c r="AC862">
        <v>0</v>
      </c>
      <c r="AD862">
        <v>10</v>
      </c>
      <c r="AE862">
        <v>0</v>
      </c>
      <c r="AF862">
        <v>0</v>
      </c>
      <c r="AG862">
        <v>2</v>
      </c>
      <c r="AH862">
        <v>0</v>
      </c>
      <c r="AI862" t="s">
        <v>365</v>
      </c>
      <c r="AJ862">
        <v>41.977901000000003</v>
      </c>
      <c r="AK862" t="s">
        <v>277</v>
      </c>
      <c r="AL862">
        <v>-87.894316000000003</v>
      </c>
      <c r="AS862">
        <v>1</v>
      </c>
      <c r="AT862" t="s">
        <v>118</v>
      </c>
      <c r="AU862" t="b">
        <v>1</v>
      </c>
      <c r="AV862">
        <v>357.19</v>
      </c>
      <c r="AW862">
        <v>17.125</v>
      </c>
      <c r="AX862">
        <v>1</v>
      </c>
      <c r="AZ862">
        <v>7205</v>
      </c>
      <c r="BA862">
        <v>1</v>
      </c>
      <c r="BB862" t="str">
        <f t="shared" si="41"/>
        <v xml:space="preserve">KAP400  </v>
      </c>
      <c r="BC862">
        <v>1</v>
      </c>
      <c r="BE862">
        <v>0</v>
      </c>
      <c r="BF862">
        <v>0</v>
      </c>
      <c r="BG862">
        <v>0</v>
      </c>
      <c r="BI862">
        <v>1</v>
      </c>
      <c r="BJ862">
        <v>1</v>
      </c>
      <c r="BK862">
        <v>1</v>
      </c>
      <c r="BL862">
        <v>0</v>
      </c>
      <c r="BO862">
        <v>0</v>
      </c>
      <c r="BP862">
        <v>0</v>
      </c>
      <c r="BW862" t="str">
        <f>"19:18:17.627"</f>
        <v>19:18:17.627</v>
      </c>
      <c r="BX862" t="s">
        <v>119</v>
      </c>
      <c r="BY862" t="s">
        <v>120</v>
      </c>
      <c r="CJ862">
        <v>0</v>
      </c>
      <c r="CK862">
        <v>0</v>
      </c>
      <c r="CL862">
        <v>0</v>
      </c>
      <c r="CM862">
        <v>2</v>
      </c>
      <c r="CN862">
        <v>0</v>
      </c>
      <c r="CO862">
        <v>5</v>
      </c>
      <c r="CP862" t="s">
        <v>121</v>
      </c>
      <c r="CQ862">
        <v>581</v>
      </c>
      <c r="CR862">
        <v>0</v>
      </c>
      <c r="CW862">
        <v>15757391</v>
      </c>
      <c r="CY862">
        <v>0</v>
      </c>
      <c r="CZ862">
        <v>0</v>
      </c>
      <c r="DA862">
        <v>0</v>
      </c>
      <c r="DB862">
        <v>1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</row>
    <row r="863" spans="1:113" x14ac:dyDescent="0.3">
      <c r="A863" t="str">
        <f>"06/16/2022 19:18:19.441"</f>
        <v>06/16/2022 19:18:19.441</v>
      </c>
      <c r="C863" t="str">
        <f t="shared" si="42"/>
        <v>FFBF5BC0</v>
      </c>
      <c r="D863" t="s">
        <v>113</v>
      </c>
      <c r="E863">
        <v>8</v>
      </c>
      <c r="H863">
        <v>206</v>
      </c>
      <c r="I863" t="s">
        <v>114</v>
      </c>
      <c r="J863" t="s">
        <v>115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>"19:18:19.195"</f>
        <v>19:18:19.195</v>
      </c>
      <c r="T863" t="str">
        <f>"19:18:19.195"</f>
        <v>19:18:19.195</v>
      </c>
      <c r="U863" t="str">
        <f t="shared" si="40"/>
        <v>AB63B2</v>
      </c>
      <c r="V863">
        <v>0</v>
      </c>
      <c r="W863">
        <v>0</v>
      </c>
      <c r="X863">
        <v>6</v>
      </c>
      <c r="Z863">
        <v>0</v>
      </c>
      <c r="AA863">
        <v>9</v>
      </c>
      <c r="AB863">
        <v>3</v>
      </c>
      <c r="AC863">
        <v>0</v>
      </c>
      <c r="AD863">
        <v>10</v>
      </c>
      <c r="AE863">
        <v>0</v>
      </c>
      <c r="AF863">
        <v>0</v>
      </c>
      <c r="AG863">
        <v>2</v>
      </c>
      <c r="AH863">
        <v>0</v>
      </c>
      <c r="AI863" t="s">
        <v>363</v>
      </c>
      <c r="AJ863">
        <v>41.978009</v>
      </c>
      <c r="AK863" t="s">
        <v>277</v>
      </c>
      <c r="AL863">
        <v>-87.894316000000003</v>
      </c>
      <c r="AS863">
        <v>1</v>
      </c>
      <c r="AT863" t="s">
        <v>118</v>
      </c>
      <c r="AU863" t="b">
        <v>1</v>
      </c>
      <c r="AV863">
        <v>0</v>
      </c>
      <c r="AW863">
        <v>17.125</v>
      </c>
      <c r="AX863">
        <v>1</v>
      </c>
      <c r="AZ863">
        <v>7205</v>
      </c>
      <c r="BA863">
        <v>1</v>
      </c>
      <c r="BB863" t="str">
        <f t="shared" si="41"/>
        <v xml:space="preserve">KAP400  </v>
      </c>
      <c r="BC863">
        <v>1</v>
      </c>
      <c r="BE863">
        <v>0</v>
      </c>
      <c r="BF863">
        <v>0</v>
      </c>
      <c r="BG863">
        <v>0</v>
      </c>
      <c r="BI863">
        <v>1</v>
      </c>
      <c r="BJ863">
        <v>1</v>
      </c>
      <c r="BK863">
        <v>1</v>
      </c>
      <c r="BL863">
        <v>0</v>
      </c>
      <c r="BO863">
        <v>0</v>
      </c>
      <c r="BP863">
        <v>0</v>
      </c>
      <c r="BW863" t="str">
        <f>"19:18:19.201"</f>
        <v>19:18:19.201</v>
      </c>
      <c r="BX863" t="s">
        <v>119</v>
      </c>
      <c r="BY863" t="s">
        <v>120</v>
      </c>
      <c r="CJ863">
        <v>0</v>
      </c>
      <c r="CK863">
        <v>0</v>
      </c>
      <c r="CL863">
        <v>0</v>
      </c>
      <c r="CM863">
        <v>2</v>
      </c>
      <c r="CN863">
        <v>0</v>
      </c>
      <c r="CO863">
        <v>0</v>
      </c>
      <c r="CP863" t="s">
        <v>121</v>
      </c>
      <c r="CQ863">
        <v>580</v>
      </c>
      <c r="CR863">
        <v>0</v>
      </c>
      <c r="CW863">
        <v>936251</v>
      </c>
      <c r="CY863">
        <v>0</v>
      </c>
      <c r="CZ863">
        <v>0</v>
      </c>
      <c r="DA863">
        <v>0</v>
      </c>
      <c r="DB863">
        <v>1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</row>
    <row r="864" spans="1:113" x14ac:dyDescent="0.3">
      <c r="A864" t="str">
        <f>"06/16/2022 19:18:20.426"</f>
        <v>06/16/2022 19:18:20.426</v>
      </c>
      <c r="C864" t="str">
        <f t="shared" si="42"/>
        <v>FFBF5BC0</v>
      </c>
      <c r="D864" t="s">
        <v>113</v>
      </c>
      <c r="E864">
        <v>8</v>
      </c>
      <c r="H864">
        <v>206</v>
      </c>
      <c r="I864" t="s">
        <v>114</v>
      </c>
      <c r="J864" t="s">
        <v>115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>"19:18:20.188"</f>
        <v>19:18:20.188</v>
      </c>
      <c r="T864" t="str">
        <f>"19:18:20.188"</f>
        <v>19:18:20.188</v>
      </c>
      <c r="U864" t="str">
        <f t="shared" si="40"/>
        <v>AB63B2</v>
      </c>
      <c r="V864">
        <v>0</v>
      </c>
      <c r="W864">
        <v>0</v>
      </c>
      <c r="X864">
        <v>6</v>
      </c>
      <c r="Z864">
        <v>0</v>
      </c>
      <c r="AA864">
        <v>9</v>
      </c>
      <c r="AB864">
        <v>3</v>
      </c>
      <c r="AC864">
        <v>0</v>
      </c>
      <c r="AD864">
        <v>10</v>
      </c>
      <c r="AE864">
        <v>0</v>
      </c>
      <c r="AF864">
        <v>0</v>
      </c>
      <c r="AG864">
        <v>2</v>
      </c>
      <c r="AH864">
        <v>0</v>
      </c>
      <c r="AI864" t="s">
        <v>780</v>
      </c>
      <c r="AJ864">
        <v>41.978095000000003</v>
      </c>
      <c r="AK864" t="s">
        <v>277</v>
      </c>
      <c r="AL864">
        <v>-87.894316000000003</v>
      </c>
      <c r="AS864">
        <v>1</v>
      </c>
      <c r="AT864" t="s">
        <v>118</v>
      </c>
      <c r="AU864" t="b">
        <v>1</v>
      </c>
      <c r="AV864">
        <v>0</v>
      </c>
      <c r="AW864">
        <v>17.125</v>
      </c>
      <c r="AX864">
        <v>1</v>
      </c>
      <c r="AZ864">
        <v>7205</v>
      </c>
      <c r="BA864">
        <v>1</v>
      </c>
      <c r="BB864" t="str">
        <f t="shared" si="41"/>
        <v xml:space="preserve">KAP400  </v>
      </c>
      <c r="BC864">
        <v>1</v>
      </c>
      <c r="BE864">
        <v>0</v>
      </c>
      <c r="BF864">
        <v>0</v>
      </c>
      <c r="BG864">
        <v>0</v>
      </c>
      <c r="BI864">
        <v>1</v>
      </c>
      <c r="BJ864">
        <v>1</v>
      </c>
      <c r="BK864">
        <v>1</v>
      </c>
      <c r="BL864">
        <v>0</v>
      </c>
      <c r="BO864">
        <v>0</v>
      </c>
      <c r="BP864">
        <v>0</v>
      </c>
      <c r="BW864" t="str">
        <f>"19:18:20.194"</f>
        <v>19:18:20.194</v>
      </c>
      <c r="BX864" t="s">
        <v>119</v>
      </c>
      <c r="BY864" t="s">
        <v>120</v>
      </c>
      <c r="CJ864">
        <v>0</v>
      </c>
      <c r="CK864">
        <v>0</v>
      </c>
      <c r="CL864">
        <v>0</v>
      </c>
      <c r="CM864">
        <v>2</v>
      </c>
      <c r="CN864">
        <v>0</v>
      </c>
      <c r="CO864">
        <v>7</v>
      </c>
      <c r="CP864" t="s">
        <v>121</v>
      </c>
      <c r="CQ864">
        <v>582</v>
      </c>
      <c r="CR864">
        <v>0</v>
      </c>
      <c r="CW864">
        <v>6660298</v>
      </c>
      <c r="CY864">
        <v>0</v>
      </c>
      <c r="CZ864">
        <v>0</v>
      </c>
      <c r="DA864">
        <v>0</v>
      </c>
      <c r="DB864">
        <v>1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</row>
    <row r="865" spans="1:113" x14ac:dyDescent="0.3">
      <c r="A865" t="str">
        <f>"06/16/2022 19:18:21.426"</f>
        <v>06/16/2022 19:18:21.426</v>
      </c>
      <c r="C865" t="str">
        <f t="shared" si="42"/>
        <v>FFBF5BC0</v>
      </c>
      <c r="D865" t="s">
        <v>113</v>
      </c>
      <c r="E865">
        <v>8</v>
      </c>
      <c r="H865">
        <v>206</v>
      </c>
      <c r="I865" t="s">
        <v>114</v>
      </c>
      <c r="J865" t="s">
        <v>115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>"19:18:21.164"</f>
        <v>19:18:21.164</v>
      </c>
      <c r="T865" t="str">
        <f>"19:18:21.164"</f>
        <v>19:18:21.164</v>
      </c>
      <c r="U865" t="str">
        <f t="shared" si="40"/>
        <v>AB63B2</v>
      </c>
      <c r="V865">
        <v>0</v>
      </c>
      <c r="W865">
        <v>0</v>
      </c>
      <c r="X865">
        <v>6</v>
      </c>
      <c r="Z865">
        <v>0</v>
      </c>
      <c r="AA865">
        <v>9</v>
      </c>
      <c r="AB865">
        <v>3</v>
      </c>
      <c r="AC865">
        <v>0</v>
      </c>
      <c r="AD865">
        <v>10</v>
      </c>
      <c r="AE865">
        <v>0</v>
      </c>
      <c r="AF865">
        <v>0</v>
      </c>
      <c r="AG865">
        <v>2</v>
      </c>
      <c r="AH865">
        <v>0</v>
      </c>
      <c r="AI865" t="s">
        <v>781</v>
      </c>
      <c r="AJ865">
        <v>41.978158999999998</v>
      </c>
      <c r="AK865" t="s">
        <v>277</v>
      </c>
      <c r="AL865">
        <v>-87.894316000000003</v>
      </c>
      <c r="AS865">
        <v>1</v>
      </c>
      <c r="AT865" t="s">
        <v>118</v>
      </c>
      <c r="AU865" t="b">
        <v>1</v>
      </c>
      <c r="AV865">
        <v>0</v>
      </c>
      <c r="AW865">
        <v>17.125</v>
      </c>
      <c r="AX865">
        <v>1</v>
      </c>
      <c r="AZ865">
        <v>7205</v>
      </c>
      <c r="BA865">
        <v>1</v>
      </c>
      <c r="BB865" t="str">
        <f t="shared" si="41"/>
        <v xml:space="preserve">KAP400  </v>
      </c>
      <c r="BC865">
        <v>1</v>
      </c>
      <c r="BE865">
        <v>0</v>
      </c>
      <c r="BF865">
        <v>0</v>
      </c>
      <c r="BG865">
        <v>0</v>
      </c>
      <c r="BI865">
        <v>1</v>
      </c>
      <c r="BJ865">
        <v>1</v>
      </c>
      <c r="BK865">
        <v>1</v>
      </c>
      <c r="BL865">
        <v>0</v>
      </c>
      <c r="BO865">
        <v>0</v>
      </c>
      <c r="BP865">
        <v>0</v>
      </c>
      <c r="BW865" t="str">
        <f>"19:18:21.164"</f>
        <v>19:18:21.164</v>
      </c>
      <c r="BX865" t="s">
        <v>119</v>
      </c>
      <c r="BY865" t="s">
        <v>120</v>
      </c>
      <c r="CJ865">
        <v>0</v>
      </c>
      <c r="CK865">
        <v>0</v>
      </c>
      <c r="CL865">
        <v>0</v>
      </c>
      <c r="CM865">
        <v>2</v>
      </c>
      <c r="CN865">
        <v>0</v>
      </c>
      <c r="CO865">
        <v>6</v>
      </c>
      <c r="CP865" t="s">
        <v>121</v>
      </c>
      <c r="CQ865">
        <v>580</v>
      </c>
      <c r="CR865">
        <v>0</v>
      </c>
      <c r="CW865">
        <v>939614</v>
      </c>
      <c r="CY865">
        <v>0</v>
      </c>
      <c r="CZ865">
        <v>0</v>
      </c>
      <c r="DA865">
        <v>0</v>
      </c>
      <c r="DB865">
        <v>1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</row>
    <row r="866" spans="1:113" x14ac:dyDescent="0.3">
      <c r="A866" t="str">
        <f>"06/16/2022 19:18:22.894"</f>
        <v>06/16/2022 19:18:22.894</v>
      </c>
      <c r="C866" t="str">
        <f t="shared" si="42"/>
        <v>FFBF5BC0</v>
      </c>
      <c r="D866" t="s">
        <v>113</v>
      </c>
      <c r="E866">
        <v>8</v>
      </c>
      <c r="H866">
        <v>206</v>
      </c>
      <c r="I866" t="s">
        <v>114</v>
      </c>
      <c r="J866" t="s">
        <v>115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>"19:18:22.703"</f>
        <v>19:18:22.703</v>
      </c>
      <c r="T866" t="str">
        <f>"19:18:22.703"</f>
        <v>19:18:22.703</v>
      </c>
      <c r="U866" t="str">
        <f t="shared" si="40"/>
        <v>AB63B2</v>
      </c>
      <c r="V866">
        <v>0</v>
      </c>
      <c r="W866">
        <v>0</v>
      </c>
      <c r="X866">
        <v>6</v>
      </c>
      <c r="Z866">
        <v>0</v>
      </c>
      <c r="AA866">
        <v>9</v>
      </c>
      <c r="AB866">
        <v>3</v>
      </c>
      <c r="AC866">
        <v>0</v>
      </c>
      <c r="AD866">
        <v>10</v>
      </c>
      <c r="AE866">
        <v>0</v>
      </c>
      <c r="AF866">
        <v>0</v>
      </c>
      <c r="AG866">
        <v>2</v>
      </c>
      <c r="AH866">
        <v>0</v>
      </c>
      <c r="AI866" t="s">
        <v>782</v>
      </c>
      <c r="AJ866">
        <v>41.978287999999999</v>
      </c>
      <c r="AK866" t="s">
        <v>277</v>
      </c>
      <c r="AL866">
        <v>-87.894316000000003</v>
      </c>
      <c r="AS866">
        <v>1</v>
      </c>
      <c r="AT866" t="s">
        <v>118</v>
      </c>
      <c r="AU866" t="b">
        <v>1</v>
      </c>
      <c r="AV866">
        <v>0</v>
      </c>
      <c r="AW866">
        <v>16.125</v>
      </c>
      <c r="AX866">
        <v>1</v>
      </c>
      <c r="AZ866">
        <v>7205</v>
      </c>
      <c r="BA866">
        <v>1</v>
      </c>
      <c r="BB866" t="str">
        <f t="shared" si="41"/>
        <v xml:space="preserve">KAP400  </v>
      </c>
      <c r="BC866">
        <v>1</v>
      </c>
      <c r="BE866">
        <v>0</v>
      </c>
      <c r="BF866">
        <v>0</v>
      </c>
      <c r="BG866">
        <v>0</v>
      </c>
      <c r="BI866">
        <v>1</v>
      </c>
      <c r="BJ866">
        <v>1</v>
      </c>
      <c r="BK866">
        <v>1</v>
      </c>
      <c r="BL866">
        <v>0</v>
      </c>
      <c r="BO866">
        <v>0</v>
      </c>
      <c r="BP866">
        <v>0</v>
      </c>
      <c r="BW866" t="str">
        <f>"19:18:22.709"</f>
        <v>19:18:22.709</v>
      </c>
      <c r="BX866" t="s">
        <v>119</v>
      </c>
      <c r="BY866" t="s">
        <v>120</v>
      </c>
      <c r="CJ866">
        <v>0</v>
      </c>
      <c r="CK866">
        <v>0</v>
      </c>
      <c r="CL866">
        <v>0</v>
      </c>
      <c r="CM866">
        <v>2</v>
      </c>
      <c r="CN866">
        <v>0</v>
      </c>
      <c r="CO866">
        <v>6</v>
      </c>
      <c r="CP866" t="s">
        <v>121</v>
      </c>
      <c r="CQ866">
        <v>582</v>
      </c>
      <c r="CR866">
        <v>0</v>
      </c>
      <c r="CW866">
        <v>6663641</v>
      </c>
      <c r="CY866">
        <v>0</v>
      </c>
      <c r="CZ866">
        <v>0</v>
      </c>
      <c r="DA866">
        <v>0</v>
      </c>
      <c r="DB866">
        <v>1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</row>
    <row r="867" spans="1:113" x14ac:dyDescent="0.3">
      <c r="A867" t="str">
        <f>"06/16/2022 19:18:24.659"</f>
        <v>06/16/2022 19:18:24.659</v>
      </c>
      <c r="C867" t="str">
        <f t="shared" si="42"/>
        <v>FFBF5BC0</v>
      </c>
      <c r="D867" t="s">
        <v>113</v>
      </c>
      <c r="E867">
        <v>8</v>
      </c>
      <c r="H867">
        <v>206</v>
      </c>
      <c r="I867" t="s">
        <v>114</v>
      </c>
      <c r="J867" t="s">
        <v>115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>"19:18:24.336"</f>
        <v>19:18:24.336</v>
      </c>
      <c r="T867" t="str">
        <f>"19:18:24.336"</f>
        <v>19:18:24.336</v>
      </c>
      <c r="U867" t="str">
        <f t="shared" si="40"/>
        <v>AB63B2</v>
      </c>
      <c r="V867">
        <v>0</v>
      </c>
      <c r="W867">
        <v>0</v>
      </c>
      <c r="X867">
        <v>6</v>
      </c>
      <c r="Z867">
        <v>0</v>
      </c>
      <c r="AA867">
        <v>9</v>
      </c>
      <c r="AB867">
        <v>3</v>
      </c>
      <c r="AC867">
        <v>0</v>
      </c>
      <c r="AD867">
        <v>10</v>
      </c>
      <c r="AE867">
        <v>0</v>
      </c>
      <c r="AF867">
        <v>0</v>
      </c>
      <c r="AG867">
        <v>2</v>
      </c>
      <c r="AH867">
        <v>0</v>
      </c>
      <c r="AI867" t="s">
        <v>783</v>
      </c>
      <c r="AJ867">
        <v>41.978394999999999</v>
      </c>
      <c r="AK867" t="s">
        <v>277</v>
      </c>
      <c r="AL867">
        <v>-87.894316000000003</v>
      </c>
      <c r="AS867">
        <v>1</v>
      </c>
      <c r="AT867" t="s">
        <v>118</v>
      </c>
      <c r="AU867" t="b">
        <v>1</v>
      </c>
      <c r="AV867">
        <v>0</v>
      </c>
      <c r="AW867">
        <v>16.125</v>
      </c>
      <c r="AX867">
        <v>1</v>
      </c>
      <c r="AZ867">
        <v>7205</v>
      </c>
      <c r="BA867">
        <v>1</v>
      </c>
      <c r="BB867" t="str">
        <f t="shared" si="41"/>
        <v xml:space="preserve">KAP400  </v>
      </c>
      <c r="BC867">
        <v>1</v>
      </c>
      <c r="BE867">
        <v>0</v>
      </c>
      <c r="BF867">
        <v>0</v>
      </c>
      <c r="BG867">
        <v>0</v>
      </c>
      <c r="BI867">
        <v>1</v>
      </c>
      <c r="BJ867">
        <v>1</v>
      </c>
      <c r="BK867">
        <v>1</v>
      </c>
      <c r="BL867">
        <v>0</v>
      </c>
      <c r="BO867">
        <v>0</v>
      </c>
      <c r="BP867">
        <v>0</v>
      </c>
      <c r="BW867" t="str">
        <f>"19:18:24.343"</f>
        <v>19:18:24.343</v>
      </c>
      <c r="BX867" t="s">
        <v>119</v>
      </c>
      <c r="BY867" t="s">
        <v>120</v>
      </c>
      <c r="CJ867">
        <v>0</v>
      </c>
      <c r="CK867">
        <v>0</v>
      </c>
      <c r="CL867">
        <v>0</v>
      </c>
      <c r="CM867">
        <v>2</v>
      </c>
      <c r="CN867">
        <v>0</v>
      </c>
      <c r="CO867">
        <v>4</v>
      </c>
      <c r="CP867" t="s">
        <v>121</v>
      </c>
      <c r="CQ867">
        <v>579</v>
      </c>
      <c r="CR867">
        <v>0</v>
      </c>
      <c r="CW867">
        <v>2082033</v>
      </c>
      <c r="CY867">
        <v>0</v>
      </c>
      <c r="CZ867">
        <v>0</v>
      </c>
      <c r="DA867">
        <v>0</v>
      </c>
      <c r="DB867">
        <v>1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</row>
    <row r="868" spans="1:113" x14ac:dyDescent="0.3">
      <c r="A868" t="str">
        <f>"06/16/2022 19:18:25.738"</f>
        <v>06/16/2022 19:18:25.738</v>
      </c>
      <c r="C868" t="str">
        <f t="shared" si="42"/>
        <v>FFBF5BC0</v>
      </c>
      <c r="D868" t="s">
        <v>113</v>
      </c>
      <c r="E868">
        <v>8</v>
      </c>
      <c r="H868">
        <v>206</v>
      </c>
      <c r="I868" t="s">
        <v>114</v>
      </c>
      <c r="J868" t="s">
        <v>115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>"19:18:25.469"</f>
        <v>19:18:25.469</v>
      </c>
      <c r="T868" t="str">
        <f>"19:18:25.469"</f>
        <v>19:18:25.469</v>
      </c>
      <c r="U868" t="str">
        <f t="shared" si="40"/>
        <v>AB63B2</v>
      </c>
      <c r="V868">
        <v>0</v>
      </c>
      <c r="W868">
        <v>0</v>
      </c>
      <c r="X868">
        <v>6</v>
      </c>
      <c r="Z868">
        <v>0</v>
      </c>
      <c r="AA868">
        <v>9</v>
      </c>
      <c r="AB868">
        <v>3</v>
      </c>
      <c r="AC868">
        <v>0</v>
      </c>
      <c r="AD868">
        <v>10</v>
      </c>
      <c r="AE868">
        <v>0</v>
      </c>
      <c r="AF868">
        <v>0</v>
      </c>
      <c r="AG868">
        <v>2</v>
      </c>
      <c r="AH868">
        <v>0</v>
      </c>
      <c r="AI868" t="s">
        <v>784</v>
      </c>
      <c r="AJ868">
        <v>41.978481000000002</v>
      </c>
      <c r="AK868" t="s">
        <v>277</v>
      </c>
      <c r="AL868">
        <v>-87.894316000000003</v>
      </c>
      <c r="AS868">
        <v>1</v>
      </c>
      <c r="AT868" t="s">
        <v>118</v>
      </c>
      <c r="AU868" t="b">
        <v>1</v>
      </c>
      <c r="AV868">
        <v>0</v>
      </c>
      <c r="AW868">
        <v>16.125</v>
      </c>
      <c r="AX868">
        <v>1</v>
      </c>
      <c r="AZ868">
        <v>7205</v>
      </c>
      <c r="BA868">
        <v>1</v>
      </c>
      <c r="BB868" t="str">
        <f t="shared" si="41"/>
        <v xml:space="preserve">KAP400  </v>
      </c>
      <c r="BC868">
        <v>1</v>
      </c>
      <c r="BE868">
        <v>0</v>
      </c>
      <c r="BF868">
        <v>0</v>
      </c>
      <c r="BG868">
        <v>0</v>
      </c>
      <c r="BI868">
        <v>1</v>
      </c>
      <c r="BJ868">
        <v>1</v>
      </c>
      <c r="BK868">
        <v>1</v>
      </c>
      <c r="BL868">
        <v>0</v>
      </c>
      <c r="BO868">
        <v>0</v>
      </c>
      <c r="BP868">
        <v>0</v>
      </c>
      <c r="BW868" t="str">
        <f>"19:18:25.475"</f>
        <v>19:18:25.475</v>
      </c>
      <c r="BX868" t="s">
        <v>119</v>
      </c>
      <c r="BY868" t="s">
        <v>120</v>
      </c>
      <c r="CJ868">
        <v>0</v>
      </c>
      <c r="CK868">
        <v>0</v>
      </c>
      <c r="CL868">
        <v>0</v>
      </c>
      <c r="CM868">
        <v>2</v>
      </c>
      <c r="CN868">
        <v>0</v>
      </c>
      <c r="CO868">
        <v>6</v>
      </c>
      <c r="CP868" t="s">
        <v>121</v>
      </c>
      <c r="CQ868">
        <v>580</v>
      </c>
      <c r="CR868">
        <v>0</v>
      </c>
      <c r="CW868">
        <v>947406</v>
      </c>
      <c r="CY868">
        <v>0</v>
      </c>
      <c r="CZ868">
        <v>0</v>
      </c>
      <c r="DA868">
        <v>0</v>
      </c>
      <c r="DB868">
        <v>1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</row>
    <row r="869" spans="1:113" x14ac:dyDescent="0.3">
      <c r="A869" t="str">
        <f>"06/16/2022 19:18:26.840"</f>
        <v>06/16/2022 19:18:26.840</v>
      </c>
      <c r="C869" t="str">
        <f t="shared" si="42"/>
        <v>FFBF5BC0</v>
      </c>
      <c r="D869" t="s">
        <v>113</v>
      </c>
      <c r="E869">
        <v>8</v>
      </c>
      <c r="H869">
        <v>206</v>
      </c>
      <c r="I869" t="s">
        <v>114</v>
      </c>
      <c r="J869" t="s">
        <v>115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>"19:18:26.586"</f>
        <v>19:18:26.586</v>
      </c>
      <c r="T869" t="str">
        <f>"19:18:26.586"</f>
        <v>19:18:26.586</v>
      </c>
      <c r="U869" t="str">
        <f t="shared" si="40"/>
        <v>AB63B2</v>
      </c>
      <c r="V869">
        <v>0</v>
      </c>
      <c r="W869">
        <v>0</v>
      </c>
      <c r="X869">
        <v>6</v>
      </c>
      <c r="Z869">
        <v>0</v>
      </c>
      <c r="AA869">
        <v>9</v>
      </c>
      <c r="AB869">
        <v>3</v>
      </c>
      <c r="AC869">
        <v>0</v>
      </c>
      <c r="AD869">
        <v>10</v>
      </c>
      <c r="AE869">
        <v>0</v>
      </c>
      <c r="AF869">
        <v>0</v>
      </c>
      <c r="AG869">
        <v>2</v>
      </c>
      <c r="AH869">
        <v>0</v>
      </c>
      <c r="AI869" t="s">
        <v>785</v>
      </c>
      <c r="AJ869">
        <v>41.978566999999998</v>
      </c>
      <c r="AK869" t="s">
        <v>277</v>
      </c>
      <c r="AL869">
        <v>-87.894316000000003</v>
      </c>
      <c r="AS869">
        <v>1</v>
      </c>
      <c r="AT869" t="s">
        <v>118</v>
      </c>
      <c r="AU869" t="b">
        <v>1</v>
      </c>
      <c r="AV869">
        <v>2.81</v>
      </c>
      <c r="AW869">
        <v>16.125</v>
      </c>
      <c r="AX869">
        <v>1</v>
      </c>
      <c r="AZ869">
        <v>7205</v>
      </c>
      <c r="BA869">
        <v>1</v>
      </c>
      <c r="BB869" t="str">
        <f t="shared" si="41"/>
        <v xml:space="preserve">KAP400  </v>
      </c>
      <c r="BC869">
        <v>1</v>
      </c>
      <c r="BE869">
        <v>0</v>
      </c>
      <c r="BF869">
        <v>0</v>
      </c>
      <c r="BG869">
        <v>0</v>
      </c>
      <c r="BI869">
        <v>1</v>
      </c>
      <c r="BJ869">
        <v>1</v>
      </c>
      <c r="BK869">
        <v>1</v>
      </c>
      <c r="BL869">
        <v>0</v>
      </c>
      <c r="BO869">
        <v>0</v>
      </c>
      <c r="BP869">
        <v>0</v>
      </c>
      <c r="BW869" t="str">
        <f>"19:18:26.591"</f>
        <v>19:18:26.591</v>
      </c>
      <c r="BX869" t="s">
        <v>119</v>
      </c>
      <c r="BY869" t="s">
        <v>120</v>
      </c>
      <c r="CJ869">
        <v>0</v>
      </c>
      <c r="CK869">
        <v>0</v>
      </c>
      <c r="CL869">
        <v>0</v>
      </c>
      <c r="CM869">
        <v>2</v>
      </c>
      <c r="CN869">
        <v>0</v>
      </c>
      <c r="CO869">
        <v>7</v>
      </c>
      <c r="CP869" t="s">
        <v>121</v>
      </c>
      <c r="CQ869">
        <v>582</v>
      </c>
      <c r="CR869">
        <v>0</v>
      </c>
      <c r="CW869">
        <v>6668554</v>
      </c>
      <c r="CY869">
        <v>0</v>
      </c>
      <c r="CZ869">
        <v>0</v>
      </c>
      <c r="DA869">
        <v>0</v>
      </c>
      <c r="DB869">
        <v>1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</row>
    <row r="870" spans="1:113" x14ac:dyDescent="0.3">
      <c r="A870" t="str">
        <f>"06/16/2022 19:18:27.878"</f>
        <v>06/16/2022 19:18:27.878</v>
      </c>
      <c r="C870" t="str">
        <f t="shared" si="42"/>
        <v>FFBF5BC0</v>
      </c>
      <c r="D870" t="s">
        <v>113</v>
      </c>
      <c r="E870">
        <v>8</v>
      </c>
      <c r="H870">
        <v>206</v>
      </c>
      <c r="I870" t="s">
        <v>114</v>
      </c>
      <c r="J870" t="s">
        <v>115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>"19:18:27.617"</f>
        <v>19:18:27.617</v>
      </c>
      <c r="T870" t="str">
        <f>"19:18:27.617"</f>
        <v>19:18:27.617</v>
      </c>
      <c r="U870" t="str">
        <f t="shared" si="40"/>
        <v>AB63B2</v>
      </c>
      <c r="V870">
        <v>0</v>
      </c>
      <c r="W870">
        <v>0</v>
      </c>
      <c r="X870">
        <v>6</v>
      </c>
      <c r="Z870">
        <v>0</v>
      </c>
      <c r="AA870">
        <v>9</v>
      </c>
      <c r="AB870">
        <v>3</v>
      </c>
      <c r="AC870">
        <v>0</v>
      </c>
      <c r="AD870">
        <v>10</v>
      </c>
      <c r="AE870">
        <v>0</v>
      </c>
      <c r="AF870">
        <v>0</v>
      </c>
      <c r="AG870">
        <v>2</v>
      </c>
      <c r="AH870">
        <v>0</v>
      </c>
      <c r="AI870" t="s">
        <v>786</v>
      </c>
      <c r="AJ870">
        <v>41.978631</v>
      </c>
      <c r="AK870" t="s">
        <v>277</v>
      </c>
      <c r="AL870">
        <v>-87.894316000000003</v>
      </c>
      <c r="AS870">
        <v>1</v>
      </c>
      <c r="AT870" t="s">
        <v>118</v>
      </c>
      <c r="AU870" t="b">
        <v>1</v>
      </c>
      <c r="AV870">
        <v>5.63</v>
      </c>
      <c r="AW870">
        <v>15.125</v>
      </c>
      <c r="AX870">
        <v>1</v>
      </c>
      <c r="AZ870">
        <v>7205</v>
      </c>
      <c r="BA870">
        <v>1</v>
      </c>
      <c r="BB870" t="str">
        <f t="shared" si="41"/>
        <v xml:space="preserve">KAP400  </v>
      </c>
      <c r="BC870">
        <v>1</v>
      </c>
      <c r="BE870">
        <v>0</v>
      </c>
      <c r="BF870">
        <v>0</v>
      </c>
      <c r="BG870">
        <v>0</v>
      </c>
      <c r="BI870">
        <v>1</v>
      </c>
      <c r="BJ870">
        <v>1</v>
      </c>
      <c r="BK870">
        <v>1</v>
      </c>
      <c r="BL870">
        <v>0</v>
      </c>
      <c r="BO870">
        <v>0</v>
      </c>
      <c r="BP870">
        <v>0</v>
      </c>
      <c r="BW870" t="str">
        <f>"19:18:27.621"</f>
        <v>19:18:27.621</v>
      </c>
      <c r="BX870" t="s">
        <v>119</v>
      </c>
      <c r="BY870" t="s">
        <v>120</v>
      </c>
      <c r="CJ870">
        <v>0</v>
      </c>
      <c r="CK870">
        <v>0</v>
      </c>
      <c r="CL870">
        <v>0</v>
      </c>
      <c r="CM870">
        <v>2</v>
      </c>
      <c r="CN870">
        <v>0</v>
      </c>
      <c r="CO870">
        <v>7</v>
      </c>
      <c r="CP870" t="s">
        <v>121</v>
      </c>
      <c r="CQ870">
        <v>582</v>
      </c>
      <c r="CR870">
        <v>0</v>
      </c>
      <c r="CW870">
        <v>6669919</v>
      </c>
      <c r="CY870">
        <v>0</v>
      </c>
      <c r="CZ870">
        <v>0</v>
      </c>
      <c r="DA870">
        <v>0</v>
      </c>
      <c r="DB870">
        <v>1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</row>
    <row r="871" spans="1:113" x14ac:dyDescent="0.3">
      <c r="A871" t="str">
        <f>"06/16/2022 19:18:28.738"</f>
        <v>06/16/2022 19:18:28.738</v>
      </c>
      <c r="C871" t="str">
        <f t="shared" si="42"/>
        <v>FFBF5BC0</v>
      </c>
      <c r="D871" t="s">
        <v>113</v>
      </c>
      <c r="E871">
        <v>8</v>
      </c>
      <c r="H871">
        <v>206</v>
      </c>
      <c r="I871" t="s">
        <v>114</v>
      </c>
      <c r="J871" t="s">
        <v>115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>"19:18:28.539"</f>
        <v>19:18:28.539</v>
      </c>
      <c r="T871" t="str">
        <f>"19:18:28.539"</f>
        <v>19:18:28.539</v>
      </c>
      <c r="U871" t="str">
        <f t="shared" si="40"/>
        <v>AB63B2</v>
      </c>
      <c r="V871">
        <v>0</v>
      </c>
      <c r="W871">
        <v>0</v>
      </c>
      <c r="X871">
        <v>6</v>
      </c>
      <c r="Z871">
        <v>0</v>
      </c>
      <c r="AA871">
        <v>9</v>
      </c>
      <c r="AB871">
        <v>3</v>
      </c>
      <c r="AC871">
        <v>0</v>
      </c>
      <c r="AD871">
        <v>10</v>
      </c>
      <c r="AE871">
        <v>0</v>
      </c>
      <c r="AF871">
        <v>0</v>
      </c>
      <c r="AG871">
        <v>2</v>
      </c>
      <c r="AH871">
        <v>0</v>
      </c>
      <c r="AI871" t="s">
        <v>787</v>
      </c>
      <c r="AJ871">
        <v>41.978695000000002</v>
      </c>
      <c r="AK871" t="s">
        <v>728</v>
      </c>
      <c r="AL871">
        <v>-87.894294000000002</v>
      </c>
      <c r="AS871">
        <v>1</v>
      </c>
      <c r="AT871" t="s">
        <v>118</v>
      </c>
      <c r="AU871" t="b">
        <v>1</v>
      </c>
      <c r="AV871">
        <v>8.44</v>
      </c>
      <c r="AW871">
        <v>15.125</v>
      </c>
      <c r="AX871">
        <v>1</v>
      </c>
      <c r="AZ871">
        <v>7205</v>
      </c>
      <c r="BA871">
        <v>1</v>
      </c>
      <c r="BB871" t="str">
        <f t="shared" si="41"/>
        <v xml:space="preserve">KAP400  </v>
      </c>
      <c r="BC871">
        <v>1</v>
      </c>
      <c r="BE871">
        <v>0</v>
      </c>
      <c r="BF871">
        <v>0</v>
      </c>
      <c r="BG871">
        <v>0</v>
      </c>
      <c r="BI871">
        <v>1</v>
      </c>
      <c r="BJ871">
        <v>1</v>
      </c>
      <c r="BK871">
        <v>1</v>
      </c>
      <c r="BL871">
        <v>0</v>
      </c>
      <c r="BO871">
        <v>0</v>
      </c>
      <c r="BP871">
        <v>0</v>
      </c>
      <c r="BW871" t="str">
        <f>"19:18:28.545"</f>
        <v>19:18:28.545</v>
      </c>
      <c r="BX871" t="s">
        <v>119</v>
      </c>
      <c r="BY871" t="s">
        <v>120</v>
      </c>
      <c r="CJ871">
        <v>0</v>
      </c>
      <c r="CK871">
        <v>0</v>
      </c>
      <c r="CL871">
        <v>0</v>
      </c>
      <c r="CM871">
        <v>2</v>
      </c>
      <c r="CN871">
        <v>0</v>
      </c>
      <c r="CO871">
        <v>7</v>
      </c>
      <c r="CP871" t="s">
        <v>121</v>
      </c>
      <c r="CQ871">
        <v>582</v>
      </c>
      <c r="CR871">
        <v>0</v>
      </c>
      <c r="CW871">
        <v>6671042</v>
      </c>
      <c r="CY871">
        <v>0</v>
      </c>
      <c r="CZ871">
        <v>0</v>
      </c>
      <c r="DA871">
        <v>0</v>
      </c>
      <c r="DB871">
        <v>1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</row>
    <row r="872" spans="1:113" x14ac:dyDescent="0.3">
      <c r="A872" t="str">
        <f>"06/16/2022 19:18:29.738"</f>
        <v>06/16/2022 19:18:29.738</v>
      </c>
      <c r="C872" t="str">
        <f t="shared" si="42"/>
        <v>FFBF5BC0</v>
      </c>
      <c r="D872" t="s">
        <v>113</v>
      </c>
      <c r="E872">
        <v>8</v>
      </c>
      <c r="H872">
        <v>206</v>
      </c>
      <c r="I872" t="s">
        <v>114</v>
      </c>
      <c r="J872" t="s">
        <v>115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>"19:18:29.492"</f>
        <v>19:18:29.492</v>
      </c>
      <c r="T872" t="str">
        <f>"19:18:29.492"</f>
        <v>19:18:29.492</v>
      </c>
      <c r="U872" t="str">
        <f t="shared" si="40"/>
        <v>AB63B2</v>
      </c>
      <c r="V872">
        <v>0</v>
      </c>
      <c r="W872">
        <v>0</v>
      </c>
      <c r="X872">
        <v>6</v>
      </c>
      <c r="Z872">
        <v>0</v>
      </c>
      <c r="AA872">
        <v>9</v>
      </c>
      <c r="AB872">
        <v>3</v>
      </c>
      <c r="AC872">
        <v>0</v>
      </c>
      <c r="AD872">
        <v>10</v>
      </c>
      <c r="AE872">
        <v>0</v>
      </c>
      <c r="AF872">
        <v>0</v>
      </c>
      <c r="AG872">
        <v>2</v>
      </c>
      <c r="AH872">
        <v>0</v>
      </c>
      <c r="AI872" t="s">
        <v>788</v>
      </c>
      <c r="AJ872">
        <v>41.978760000000001</v>
      </c>
      <c r="AK872" t="s">
        <v>340</v>
      </c>
      <c r="AL872">
        <v>-87.894272999999998</v>
      </c>
      <c r="AS872">
        <v>1</v>
      </c>
      <c r="AT872" t="s">
        <v>118</v>
      </c>
      <c r="AU872" t="b">
        <v>1</v>
      </c>
      <c r="AV872">
        <v>14.06</v>
      </c>
      <c r="AW872">
        <v>15.125</v>
      </c>
      <c r="AX872">
        <v>1</v>
      </c>
      <c r="AZ872">
        <v>7205</v>
      </c>
      <c r="BA872">
        <v>1</v>
      </c>
      <c r="BB872" t="str">
        <f t="shared" si="41"/>
        <v xml:space="preserve">KAP400  </v>
      </c>
      <c r="BC872">
        <v>1</v>
      </c>
      <c r="BE872">
        <v>0</v>
      </c>
      <c r="BF872">
        <v>0</v>
      </c>
      <c r="BG872">
        <v>0</v>
      </c>
      <c r="BI872">
        <v>1</v>
      </c>
      <c r="BJ872">
        <v>1</v>
      </c>
      <c r="BK872">
        <v>1</v>
      </c>
      <c r="BL872">
        <v>0</v>
      </c>
      <c r="BO872">
        <v>0</v>
      </c>
      <c r="BP872">
        <v>0</v>
      </c>
      <c r="BW872" t="str">
        <f>"19:18:29.497"</f>
        <v>19:18:29.497</v>
      </c>
      <c r="BX872" t="s">
        <v>119</v>
      </c>
      <c r="BY872" t="s">
        <v>120</v>
      </c>
      <c r="CJ872">
        <v>0</v>
      </c>
      <c r="CK872">
        <v>0</v>
      </c>
      <c r="CL872">
        <v>0</v>
      </c>
      <c r="CM872">
        <v>2</v>
      </c>
      <c r="CN872">
        <v>0</v>
      </c>
      <c r="CO872">
        <v>7</v>
      </c>
      <c r="CP872" t="s">
        <v>121</v>
      </c>
      <c r="CQ872">
        <v>582</v>
      </c>
      <c r="CR872">
        <v>0</v>
      </c>
      <c r="CW872">
        <v>6672186</v>
      </c>
      <c r="CY872">
        <v>0</v>
      </c>
      <c r="CZ872">
        <v>0</v>
      </c>
      <c r="DA872">
        <v>0</v>
      </c>
      <c r="DB872">
        <v>1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</row>
    <row r="873" spans="1:113" x14ac:dyDescent="0.3">
      <c r="A873" t="str">
        <f>"06/16/2022 19:18:30.644"</f>
        <v>06/16/2022 19:18:30.644</v>
      </c>
      <c r="C873" t="str">
        <f t="shared" si="42"/>
        <v>FFBF5BC0</v>
      </c>
      <c r="D873" t="s">
        <v>113</v>
      </c>
      <c r="E873">
        <v>8</v>
      </c>
      <c r="H873">
        <v>206</v>
      </c>
      <c r="I873" t="s">
        <v>114</v>
      </c>
      <c r="J873" t="s">
        <v>115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>"19:18:30.375"</f>
        <v>19:18:30.375</v>
      </c>
      <c r="T873" t="str">
        <f>"19:18:30.375"</f>
        <v>19:18:30.375</v>
      </c>
      <c r="U873" t="str">
        <f t="shared" si="40"/>
        <v>AB63B2</v>
      </c>
      <c r="V873">
        <v>0</v>
      </c>
      <c r="W873">
        <v>0</v>
      </c>
      <c r="X873">
        <v>6</v>
      </c>
      <c r="Z873">
        <v>0</v>
      </c>
      <c r="AA873">
        <v>9</v>
      </c>
      <c r="AB873">
        <v>3</v>
      </c>
      <c r="AC873">
        <v>0</v>
      </c>
      <c r="AD873">
        <v>10</v>
      </c>
      <c r="AE873">
        <v>0</v>
      </c>
      <c r="AF873">
        <v>0</v>
      </c>
      <c r="AG873">
        <v>2</v>
      </c>
      <c r="AH873">
        <v>0</v>
      </c>
      <c r="AI873" t="s">
        <v>789</v>
      </c>
      <c r="AJ873">
        <v>41.978824000000003</v>
      </c>
      <c r="AK873" t="s">
        <v>340</v>
      </c>
      <c r="AL873">
        <v>-87.894272999999998</v>
      </c>
      <c r="AS873">
        <v>1</v>
      </c>
      <c r="AT873" t="s">
        <v>118</v>
      </c>
      <c r="AU873" t="b">
        <v>1</v>
      </c>
      <c r="AV873">
        <v>16.88</v>
      </c>
      <c r="AW873">
        <v>15.125</v>
      </c>
      <c r="AX873">
        <v>1</v>
      </c>
      <c r="AZ873">
        <v>7205</v>
      </c>
      <c r="BA873">
        <v>1</v>
      </c>
      <c r="BB873" t="str">
        <f t="shared" si="41"/>
        <v xml:space="preserve">KAP400  </v>
      </c>
      <c r="BC873">
        <v>1</v>
      </c>
      <c r="BE873">
        <v>0</v>
      </c>
      <c r="BF873">
        <v>0</v>
      </c>
      <c r="BG873">
        <v>0</v>
      </c>
      <c r="BI873">
        <v>1</v>
      </c>
      <c r="BJ873">
        <v>1</v>
      </c>
      <c r="BK873">
        <v>1</v>
      </c>
      <c r="BL873">
        <v>0</v>
      </c>
      <c r="BO873">
        <v>0</v>
      </c>
      <c r="BP873">
        <v>0</v>
      </c>
      <c r="BW873" t="str">
        <f>"19:18:30.377"</f>
        <v>19:18:30.377</v>
      </c>
      <c r="BX873" t="s">
        <v>119</v>
      </c>
      <c r="BY873" t="s">
        <v>120</v>
      </c>
      <c r="CJ873">
        <v>0</v>
      </c>
      <c r="CK873">
        <v>0</v>
      </c>
      <c r="CL873">
        <v>0</v>
      </c>
      <c r="CM873">
        <v>2</v>
      </c>
      <c r="CN873">
        <v>0</v>
      </c>
      <c r="CO873">
        <v>7</v>
      </c>
      <c r="CP873" t="s">
        <v>121</v>
      </c>
      <c r="CQ873">
        <v>581</v>
      </c>
      <c r="CR873">
        <v>0</v>
      </c>
      <c r="CW873">
        <v>15774889</v>
      </c>
      <c r="CY873">
        <v>0</v>
      </c>
      <c r="CZ873">
        <v>0</v>
      </c>
      <c r="DA873">
        <v>0</v>
      </c>
      <c r="DB873">
        <v>1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</row>
    <row r="874" spans="1:113" x14ac:dyDescent="0.3">
      <c r="A874" t="str">
        <f>"06/16/2022 19:18:31.738"</f>
        <v>06/16/2022 19:18:31.738</v>
      </c>
      <c r="C874" t="str">
        <f t="shared" si="42"/>
        <v>FFBF5BC0</v>
      </c>
      <c r="D874" t="s">
        <v>113</v>
      </c>
      <c r="E874">
        <v>8</v>
      </c>
      <c r="H874">
        <v>206</v>
      </c>
      <c r="I874" t="s">
        <v>114</v>
      </c>
      <c r="J874" t="s">
        <v>115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>"19:18:31.461"</f>
        <v>19:18:31.461</v>
      </c>
      <c r="T874" t="str">
        <f>"19:18:31.461"</f>
        <v>19:18:31.461</v>
      </c>
      <c r="U874" t="str">
        <f t="shared" si="40"/>
        <v>AB63B2</v>
      </c>
      <c r="V874">
        <v>0</v>
      </c>
      <c r="W874">
        <v>0</v>
      </c>
      <c r="X874">
        <v>6</v>
      </c>
      <c r="Z874">
        <v>0</v>
      </c>
      <c r="AA874">
        <v>9</v>
      </c>
      <c r="AB874">
        <v>3</v>
      </c>
      <c r="AC874">
        <v>0</v>
      </c>
      <c r="AD874">
        <v>10</v>
      </c>
      <c r="AE874">
        <v>0</v>
      </c>
      <c r="AF874">
        <v>0</v>
      </c>
      <c r="AG874">
        <v>2</v>
      </c>
      <c r="AH874">
        <v>0</v>
      </c>
      <c r="AI874" t="s">
        <v>790</v>
      </c>
      <c r="AJ874">
        <v>41.978889000000002</v>
      </c>
      <c r="AK874" t="s">
        <v>791</v>
      </c>
      <c r="AL874">
        <v>-87.894229999999993</v>
      </c>
      <c r="AS874">
        <v>1</v>
      </c>
      <c r="AT874" t="s">
        <v>118</v>
      </c>
      <c r="AU874" t="b">
        <v>1</v>
      </c>
      <c r="AV874">
        <v>22.5</v>
      </c>
      <c r="AW874">
        <v>15.125</v>
      </c>
      <c r="AX874">
        <v>1</v>
      </c>
      <c r="AZ874">
        <v>7205</v>
      </c>
      <c r="BA874">
        <v>1</v>
      </c>
      <c r="BB874" t="str">
        <f t="shared" si="41"/>
        <v xml:space="preserve">KAP400  </v>
      </c>
      <c r="BC874">
        <v>1</v>
      </c>
      <c r="BE874">
        <v>0</v>
      </c>
      <c r="BF874">
        <v>0</v>
      </c>
      <c r="BG874">
        <v>0</v>
      </c>
      <c r="BI874">
        <v>1</v>
      </c>
      <c r="BJ874">
        <v>1</v>
      </c>
      <c r="BK874">
        <v>1</v>
      </c>
      <c r="BL874">
        <v>0</v>
      </c>
      <c r="BO874">
        <v>0</v>
      </c>
      <c r="BP874">
        <v>0</v>
      </c>
      <c r="BW874" t="str">
        <f>"19:18:31.468"</f>
        <v>19:18:31.468</v>
      </c>
      <c r="BX874" t="s">
        <v>119</v>
      </c>
      <c r="BY874" t="s">
        <v>120</v>
      </c>
      <c r="CJ874">
        <v>0</v>
      </c>
      <c r="CK874">
        <v>0</v>
      </c>
      <c r="CL874">
        <v>0</v>
      </c>
      <c r="CM874">
        <v>2</v>
      </c>
      <c r="CN874">
        <v>0</v>
      </c>
      <c r="CO874">
        <v>6</v>
      </c>
      <c r="CP874" t="s">
        <v>121</v>
      </c>
      <c r="CQ874">
        <v>582</v>
      </c>
      <c r="CR874">
        <v>0</v>
      </c>
      <c r="CW874">
        <v>6674645</v>
      </c>
      <c r="CY874">
        <v>0</v>
      </c>
      <c r="CZ874">
        <v>0</v>
      </c>
      <c r="DA874">
        <v>0</v>
      </c>
      <c r="DB874">
        <v>1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</row>
    <row r="875" spans="1:113" x14ac:dyDescent="0.3">
      <c r="A875" t="str">
        <f>"06/16/2022 19:18:32.707"</f>
        <v>06/16/2022 19:18:32.707</v>
      </c>
      <c r="C875" t="str">
        <f t="shared" si="42"/>
        <v>FFBF5BC0</v>
      </c>
      <c r="D875" t="s">
        <v>113</v>
      </c>
      <c r="E875">
        <v>8</v>
      </c>
      <c r="H875">
        <v>206</v>
      </c>
      <c r="I875" t="s">
        <v>114</v>
      </c>
      <c r="J875" t="s">
        <v>115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>"19:18:32.477"</f>
        <v>19:18:32.477</v>
      </c>
      <c r="T875" t="str">
        <f>"19:18:32.477"</f>
        <v>19:18:32.477</v>
      </c>
      <c r="U875" t="str">
        <f t="shared" si="40"/>
        <v>AB63B2</v>
      </c>
      <c r="V875">
        <v>0</v>
      </c>
      <c r="W875">
        <v>0</v>
      </c>
      <c r="X875">
        <v>6</v>
      </c>
      <c r="Z875">
        <v>0</v>
      </c>
      <c r="AA875">
        <v>9</v>
      </c>
      <c r="AB875">
        <v>3</v>
      </c>
      <c r="AC875">
        <v>0</v>
      </c>
      <c r="AD875">
        <v>10</v>
      </c>
      <c r="AE875">
        <v>0</v>
      </c>
      <c r="AF875">
        <v>0</v>
      </c>
      <c r="AG875">
        <v>2</v>
      </c>
      <c r="AH875">
        <v>0</v>
      </c>
      <c r="AI875" t="s">
        <v>792</v>
      </c>
      <c r="AJ875">
        <v>41.978952999999997</v>
      </c>
      <c r="AK875" t="s">
        <v>338</v>
      </c>
      <c r="AL875">
        <v>-87.894208000000006</v>
      </c>
      <c r="AS875">
        <v>1</v>
      </c>
      <c r="AT875" t="s">
        <v>118</v>
      </c>
      <c r="AU875" t="b">
        <v>1</v>
      </c>
      <c r="AV875">
        <v>25.31</v>
      </c>
      <c r="AW875">
        <v>15.125</v>
      </c>
      <c r="AX875">
        <v>1</v>
      </c>
      <c r="AZ875">
        <v>7205</v>
      </c>
      <c r="BA875">
        <v>1</v>
      </c>
      <c r="BB875" t="str">
        <f t="shared" si="41"/>
        <v xml:space="preserve">KAP400  </v>
      </c>
      <c r="BC875">
        <v>1</v>
      </c>
      <c r="BE875">
        <v>0</v>
      </c>
      <c r="BF875">
        <v>0</v>
      </c>
      <c r="BG875">
        <v>0</v>
      </c>
      <c r="BI875">
        <v>1</v>
      </c>
      <c r="BJ875">
        <v>1</v>
      </c>
      <c r="BK875">
        <v>1</v>
      </c>
      <c r="BL875">
        <v>0</v>
      </c>
      <c r="BO875">
        <v>0</v>
      </c>
      <c r="BP875">
        <v>0</v>
      </c>
      <c r="BW875" t="str">
        <f>"19:18:32.482"</f>
        <v>19:18:32.482</v>
      </c>
      <c r="BX875" t="s">
        <v>119</v>
      </c>
      <c r="BY875" t="s">
        <v>120</v>
      </c>
      <c r="CJ875">
        <v>0</v>
      </c>
      <c r="CK875">
        <v>0</v>
      </c>
      <c r="CL875">
        <v>0</v>
      </c>
      <c r="CM875">
        <v>2</v>
      </c>
      <c r="CN875">
        <v>0</v>
      </c>
      <c r="CO875">
        <v>7</v>
      </c>
      <c r="CP875" t="s">
        <v>121</v>
      </c>
      <c r="CQ875">
        <v>582</v>
      </c>
      <c r="CR875">
        <v>0</v>
      </c>
      <c r="CW875">
        <v>6675989</v>
      </c>
      <c r="CY875">
        <v>0</v>
      </c>
      <c r="CZ875">
        <v>0</v>
      </c>
      <c r="DA875">
        <v>0</v>
      </c>
      <c r="DB875">
        <v>1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</row>
    <row r="876" spans="1:113" x14ac:dyDescent="0.3">
      <c r="A876" t="str">
        <f>"06/16/2022 19:18:33.738"</f>
        <v>06/16/2022 19:18:33.738</v>
      </c>
      <c r="C876" t="str">
        <f t="shared" si="42"/>
        <v>FFBF5BC0</v>
      </c>
      <c r="D876" t="s">
        <v>113</v>
      </c>
      <c r="E876">
        <v>8</v>
      </c>
      <c r="H876">
        <v>206</v>
      </c>
      <c r="I876" t="s">
        <v>114</v>
      </c>
      <c r="J876" t="s">
        <v>115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>"19:18:33.461"</f>
        <v>19:18:33.461</v>
      </c>
      <c r="T876" t="str">
        <f>"19:18:33.461"</f>
        <v>19:18:33.461</v>
      </c>
      <c r="U876" t="str">
        <f t="shared" si="40"/>
        <v>AB63B2</v>
      </c>
      <c r="V876">
        <v>0</v>
      </c>
      <c r="W876">
        <v>0</v>
      </c>
      <c r="X876">
        <v>6</v>
      </c>
      <c r="Z876">
        <v>0</v>
      </c>
      <c r="AA876">
        <v>9</v>
      </c>
      <c r="AB876">
        <v>3</v>
      </c>
      <c r="AC876">
        <v>0</v>
      </c>
      <c r="AD876">
        <v>10</v>
      </c>
      <c r="AE876">
        <v>0</v>
      </c>
      <c r="AF876">
        <v>0</v>
      </c>
      <c r="AG876">
        <v>2</v>
      </c>
      <c r="AH876">
        <v>0</v>
      </c>
      <c r="AI876" t="s">
        <v>793</v>
      </c>
      <c r="AJ876">
        <v>41.978996000000002</v>
      </c>
      <c r="AK876" t="s">
        <v>794</v>
      </c>
      <c r="AL876">
        <v>-87.894143999999997</v>
      </c>
      <c r="AS876">
        <v>1</v>
      </c>
      <c r="AT876" t="s">
        <v>118</v>
      </c>
      <c r="AU876" t="b">
        <v>1</v>
      </c>
      <c r="AV876">
        <v>30.94</v>
      </c>
      <c r="AW876">
        <v>15.125</v>
      </c>
      <c r="AX876">
        <v>1</v>
      </c>
      <c r="AZ876">
        <v>7205</v>
      </c>
      <c r="BA876">
        <v>1</v>
      </c>
      <c r="BB876" t="str">
        <f t="shared" si="41"/>
        <v xml:space="preserve">KAP400  </v>
      </c>
      <c r="BC876">
        <v>1</v>
      </c>
      <c r="BE876">
        <v>0</v>
      </c>
      <c r="BF876">
        <v>0</v>
      </c>
      <c r="BG876">
        <v>0</v>
      </c>
      <c r="BI876">
        <v>1</v>
      </c>
      <c r="BJ876">
        <v>1</v>
      </c>
      <c r="BK876">
        <v>1</v>
      </c>
      <c r="BL876">
        <v>0</v>
      </c>
      <c r="BO876">
        <v>0</v>
      </c>
      <c r="BP876">
        <v>0</v>
      </c>
      <c r="BW876" t="str">
        <f>"19:18:33.465"</f>
        <v>19:18:33.465</v>
      </c>
      <c r="BX876" t="s">
        <v>119</v>
      </c>
      <c r="BY876" t="s">
        <v>120</v>
      </c>
      <c r="CJ876">
        <v>0</v>
      </c>
      <c r="CK876">
        <v>0</v>
      </c>
      <c r="CL876">
        <v>0</v>
      </c>
      <c r="CM876">
        <v>2</v>
      </c>
      <c r="CN876">
        <v>0</v>
      </c>
      <c r="CO876">
        <v>6</v>
      </c>
      <c r="CP876" t="s">
        <v>121</v>
      </c>
      <c r="CQ876">
        <v>581</v>
      </c>
      <c r="CR876">
        <v>0</v>
      </c>
      <c r="CW876">
        <v>15779236</v>
      </c>
      <c r="CY876">
        <v>0</v>
      </c>
      <c r="CZ876">
        <v>0</v>
      </c>
      <c r="DA876">
        <v>0</v>
      </c>
      <c r="DB876">
        <v>1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</row>
    <row r="877" spans="1:113" x14ac:dyDescent="0.3">
      <c r="A877" t="str">
        <f>"06/16/2022 19:18:34.864"</f>
        <v>06/16/2022 19:18:34.864</v>
      </c>
      <c r="C877" t="str">
        <f t="shared" si="42"/>
        <v>FFBF5BC0</v>
      </c>
      <c r="D877" t="s">
        <v>113</v>
      </c>
      <c r="E877">
        <v>8</v>
      </c>
      <c r="H877">
        <v>206</v>
      </c>
      <c r="I877" t="s">
        <v>114</v>
      </c>
      <c r="J877" t="s">
        <v>115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>"19:18:34.594"</f>
        <v>19:18:34.594</v>
      </c>
      <c r="T877" t="str">
        <f>"19:18:34.594"</f>
        <v>19:18:34.594</v>
      </c>
      <c r="U877" t="str">
        <f t="shared" si="40"/>
        <v>AB63B2</v>
      </c>
      <c r="V877">
        <v>0</v>
      </c>
      <c r="W877">
        <v>0</v>
      </c>
      <c r="X877">
        <v>6</v>
      </c>
      <c r="Z877">
        <v>0</v>
      </c>
      <c r="AA877">
        <v>9</v>
      </c>
      <c r="AB877">
        <v>3</v>
      </c>
      <c r="AC877">
        <v>0</v>
      </c>
      <c r="AD877">
        <v>10</v>
      </c>
      <c r="AE877">
        <v>0</v>
      </c>
      <c r="AF877">
        <v>0</v>
      </c>
      <c r="AG877">
        <v>2</v>
      </c>
      <c r="AH877">
        <v>0</v>
      </c>
      <c r="AI877" t="s">
        <v>795</v>
      </c>
      <c r="AJ877">
        <v>41.979081999999998</v>
      </c>
      <c r="AK877" t="s">
        <v>283</v>
      </c>
      <c r="AL877">
        <v>-87.894101000000006</v>
      </c>
      <c r="AS877">
        <v>1</v>
      </c>
      <c r="AT877" t="s">
        <v>118</v>
      </c>
      <c r="AU877" t="b">
        <v>1</v>
      </c>
      <c r="AV877">
        <v>36.56</v>
      </c>
      <c r="AW877">
        <v>14.625</v>
      </c>
      <c r="AX877">
        <v>1</v>
      </c>
      <c r="AZ877">
        <v>7205</v>
      </c>
      <c r="BA877">
        <v>1</v>
      </c>
      <c r="BB877" t="str">
        <f t="shared" si="41"/>
        <v xml:space="preserve">KAP400  </v>
      </c>
      <c r="BC877">
        <v>1</v>
      </c>
      <c r="BE877">
        <v>0</v>
      </c>
      <c r="BF877">
        <v>0</v>
      </c>
      <c r="BG877">
        <v>0</v>
      </c>
      <c r="BI877">
        <v>1</v>
      </c>
      <c r="BJ877">
        <v>1</v>
      </c>
      <c r="BK877">
        <v>1</v>
      </c>
      <c r="BL877">
        <v>0</v>
      </c>
      <c r="BO877">
        <v>0</v>
      </c>
      <c r="BP877">
        <v>0</v>
      </c>
      <c r="BW877" t="str">
        <f>"19:18:34.594"</f>
        <v>19:18:34.594</v>
      </c>
      <c r="BX877" t="s">
        <v>119</v>
      </c>
      <c r="BY877" t="s">
        <v>120</v>
      </c>
      <c r="CJ877">
        <v>0</v>
      </c>
      <c r="CK877">
        <v>0</v>
      </c>
      <c r="CL877">
        <v>0</v>
      </c>
      <c r="CM877">
        <v>2</v>
      </c>
      <c r="CN877">
        <v>0</v>
      </c>
      <c r="CO877">
        <v>6</v>
      </c>
      <c r="CP877" t="s">
        <v>121</v>
      </c>
      <c r="CQ877">
        <v>582</v>
      </c>
      <c r="CR877">
        <v>0</v>
      </c>
      <c r="CW877">
        <v>6678674</v>
      </c>
      <c r="CY877">
        <v>0</v>
      </c>
      <c r="CZ877">
        <v>0</v>
      </c>
      <c r="DA877">
        <v>0</v>
      </c>
      <c r="DB877">
        <v>1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</row>
    <row r="878" spans="1:113" x14ac:dyDescent="0.3">
      <c r="A878" t="str">
        <f>"06/16/2022 19:18:35.677"</f>
        <v>06/16/2022 19:18:35.677</v>
      </c>
      <c r="C878" t="str">
        <f t="shared" si="42"/>
        <v>FFBF5BC0</v>
      </c>
      <c r="D878" t="s">
        <v>113</v>
      </c>
      <c r="E878">
        <v>8</v>
      </c>
      <c r="H878">
        <v>206</v>
      </c>
      <c r="I878" t="s">
        <v>114</v>
      </c>
      <c r="J878" t="s">
        <v>115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>"19:18:35.438"</f>
        <v>19:18:35.438</v>
      </c>
      <c r="T878" t="str">
        <f>"19:18:35.438"</f>
        <v>19:18:35.438</v>
      </c>
      <c r="U878" t="str">
        <f t="shared" si="40"/>
        <v>AB63B2</v>
      </c>
      <c r="V878">
        <v>0</v>
      </c>
      <c r="W878">
        <v>0</v>
      </c>
      <c r="X878">
        <v>6</v>
      </c>
      <c r="Z878">
        <v>0</v>
      </c>
      <c r="AA878">
        <v>9</v>
      </c>
      <c r="AB878">
        <v>3</v>
      </c>
      <c r="AC878">
        <v>0</v>
      </c>
      <c r="AD878">
        <v>10</v>
      </c>
      <c r="AE878">
        <v>0</v>
      </c>
      <c r="AF878">
        <v>0</v>
      </c>
      <c r="AG878">
        <v>2</v>
      </c>
      <c r="AH878">
        <v>0</v>
      </c>
      <c r="AI878" t="s">
        <v>796</v>
      </c>
      <c r="AJ878">
        <v>41.979125000000003</v>
      </c>
      <c r="AK878" t="s">
        <v>797</v>
      </c>
      <c r="AL878">
        <v>-87.894058000000001</v>
      </c>
      <c r="AS878">
        <v>1</v>
      </c>
      <c r="AT878" t="s">
        <v>118</v>
      </c>
      <c r="AU878" t="b">
        <v>1</v>
      </c>
      <c r="AV878">
        <v>42.19</v>
      </c>
      <c r="AW878">
        <v>14.625</v>
      </c>
      <c r="AX878">
        <v>1</v>
      </c>
      <c r="AZ878">
        <v>7205</v>
      </c>
      <c r="BA878">
        <v>1</v>
      </c>
      <c r="BB878" t="str">
        <f t="shared" si="41"/>
        <v xml:space="preserve">KAP400  </v>
      </c>
      <c r="BC878">
        <v>1</v>
      </c>
      <c r="BE878">
        <v>0</v>
      </c>
      <c r="BF878">
        <v>0</v>
      </c>
      <c r="BG878">
        <v>0</v>
      </c>
      <c r="BI878">
        <v>1</v>
      </c>
      <c r="BJ878">
        <v>1</v>
      </c>
      <c r="BK878">
        <v>1</v>
      </c>
      <c r="BL878">
        <v>0</v>
      </c>
      <c r="BO878">
        <v>0</v>
      </c>
      <c r="BP878">
        <v>0</v>
      </c>
      <c r="BW878" t="str">
        <f>"19:18:35.441"</f>
        <v>19:18:35.441</v>
      </c>
      <c r="BX878" t="s">
        <v>119</v>
      </c>
      <c r="BY878" t="s">
        <v>120</v>
      </c>
      <c r="CJ878">
        <v>0</v>
      </c>
      <c r="CK878">
        <v>0</v>
      </c>
      <c r="CL878">
        <v>0</v>
      </c>
      <c r="CM878">
        <v>2</v>
      </c>
      <c r="CN878">
        <v>0</v>
      </c>
      <c r="CO878">
        <v>7</v>
      </c>
      <c r="CP878" t="s">
        <v>121</v>
      </c>
      <c r="CQ878">
        <v>582</v>
      </c>
      <c r="CR878">
        <v>0</v>
      </c>
      <c r="CW878">
        <v>6679820</v>
      </c>
      <c r="CY878">
        <v>0</v>
      </c>
      <c r="CZ878">
        <v>0</v>
      </c>
      <c r="DA878">
        <v>0</v>
      </c>
      <c r="DB878">
        <v>1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</row>
    <row r="879" spans="1:113" x14ac:dyDescent="0.3">
      <c r="A879" t="str">
        <f>"06/16/2022 19:18:36.755"</f>
        <v>06/16/2022 19:18:36.755</v>
      </c>
      <c r="C879" t="str">
        <f t="shared" si="42"/>
        <v>FFBF5BC0</v>
      </c>
      <c r="D879" t="s">
        <v>113</v>
      </c>
      <c r="E879">
        <v>8</v>
      </c>
      <c r="H879">
        <v>206</v>
      </c>
      <c r="I879" t="s">
        <v>114</v>
      </c>
      <c r="J879" t="s">
        <v>115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>"19:18:36.531"</f>
        <v>19:18:36.531</v>
      </c>
      <c r="T879" t="str">
        <f>"19:18:36.531"</f>
        <v>19:18:36.531</v>
      </c>
      <c r="U879" t="str">
        <f t="shared" si="40"/>
        <v>AB63B2</v>
      </c>
      <c r="V879">
        <v>0</v>
      </c>
      <c r="W879">
        <v>0</v>
      </c>
      <c r="X879">
        <v>6</v>
      </c>
      <c r="Z879">
        <v>0</v>
      </c>
      <c r="AA879">
        <v>9</v>
      </c>
      <c r="AB879">
        <v>3</v>
      </c>
      <c r="AC879">
        <v>0</v>
      </c>
      <c r="AD879">
        <v>10</v>
      </c>
      <c r="AE879">
        <v>0</v>
      </c>
      <c r="AF879">
        <v>0</v>
      </c>
      <c r="AG879">
        <v>2</v>
      </c>
      <c r="AH879">
        <v>0</v>
      </c>
      <c r="AI879" t="s">
        <v>798</v>
      </c>
      <c r="AJ879">
        <v>41.979166999999997</v>
      </c>
      <c r="AK879" t="s">
        <v>799</v>
      </c>
      <c r="AL879">
        <v>-87.893994000000006</v>
      </c>
      <c r="AS879">
        <v>1</v>
      </c>
      <c r="AT879" t="s">
        <v>118</v>
      </c>
      <c r="AU879" t="b">
        <v>1</v>
      </c>
      <c r="AV879">
        <v>45</v>
      </c>
      <c r="AW879">
        <v>14.125</v>
      </c>
      <c r="AX879">
        <v>1</v>
      </c>
      <c r="AZ879">
        <v>7205</v>
      </c>
      <c r="BA879">
        <v>1</v>
      </c>
      <c r="BB879" t="str">
        <f t="shared" si="41"/>
        <v xml:space="preserve">KAP400  </v>
      </c>
      <c r="BC879">
        <v>1</v>
      </c>
      <c r="BE879">
        <v>0</v>
      </c>
      <c r="BF879">
        <v>0</v>
      </c>
      <c r="BG879">
        <v>0</v>
      </c>
      <c r="BI879">
        <v>1</v>
      </c>
      <c r="BJ879">
        <v>1</v>
      </c>
      <c r="BK879">
        <v>1</v>
      </c>
      <c r="BL879">
        <v>0</v>
      </c>
      <c r="BO879">
        <v>0</v>
      </c>
      <c r="BP879">
        <v>0</v>
      </c>
      <c r="BW879" t="str">
        <f>"19:18:36.537"</f>
        <v>19:18:36.537</v>
      </c>
      <c r="BX879" t="s">
        <v>119</v>
      </c>
      <c r="BY879" t="s">
        <v>120</v>
      </c>
      <c r="CJ879">
        <v>0</v>
      </c>
      <c r="CK879">
        <v>0</v>
      </c>
      <c r="CL879">
        <v>0</v>
      </c>
      <c r="CM879">
        <v>2</v>
      </c>
      <c r="CN879">
        <v>0</v>
      </c>
      <c r="CO879">
        <v>7</v>
      </c>
      <c r="CP879" t="s">
        <v>121</v>
      </c>
      <c r="CQ879">
        <v>581</v>
      </c>
      <c r="CR879">
        <v>0</v>
      </c>
      <c r="CW879">
        <v>15783607</v>
      </c>
      <c r="CY879">
        <v>0</v>
      </c>
      <c r="CZ879">
        <v>0</v>
      </c>
      <c r="DA879">
        <v>0</v>
      </c>
      <c r="DB879">
        <v>1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</row>
    <row r="880" spans="1:113" x14ac:dyDescent="0.3">
      <c r="A880" t="str">
        <f>"06/16/2022 19:18:38.441"</f>
        <v>06/16/2022 19:18:38.441</v>
      </c>
      <c r="C880" t="str">
        <f t="shared" si="42"/>
        <v>FFBF5BC0</v>
      </c>
      <c r="D880" t="s">
        <v>113</v>
      </c>
      <c r="E880">
        <v>8</v>
      </c>
      <c r="H880">
        <v>206</v>
      </c>
      <c r="I880" t="s">
        <v>114</v>
      </c>
      <c r="J880" t="s">
        <v>115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>"19:18:38.164"</f>
        <v>19:18:38.164</v>
      </c>
      <c r="T880" t="str">
        <f>"19:18:38.164"</f>
        <v>19:18:38.164</v>
      </c>
      <c r="U880" t="str">
        <f t="shared" si="40"/>
        <v>AB63B2</v>
      </c>
      <c r="V880">
        <v>0</v>
      </c>
      <c r="W880">
        <v>0</v>
      </c>
      <c r="X880">
        <v>6</v>
      </c>
      <c r="Z880">
        <v>0</v>
      </c>
      <c r="AA880">
        <v>9</v>
      </c>
      <c r="AB880">
        <v>3</v>
      </c>
      <c r="AC880">
        <v>0</v>
      </c>
      <c r="AD880">
        <v>10</v>
      </c>
      <c r="AE880">
        <v>0</v>
      </c>
      <c r="AF880">
        <v>0</v>
      </c>
      <c r="AG880">
        <v>2</v>
      </c>
      <c r="AH880">
        <v>0</v>
      </c>
      <c r="AI880" t="s">
        <v>800</v>
      </c>
      <c r="AJ880">
        <v>41.979232000000003</v>
      </c>
      <c r="AK880" t="s">
        <v>801</v>
      </c>
      <c r="AL880">
        <v>-87.893907999999996</v>
      </c>
      <c r="AS880">
        <v>1</v>
      </c>
      <c r="AT880" t="s">
        <v>118</v>
      </c>
      <c r="AU880" t="b">
        <v>1</v>
      </c>
      <c r="AV880">
        <v>47.81</v>
      </c>
      <c r="AW880">
        <v>14.125</v>
      </c>
      <c r="AX880">
        <v>1</v>
      </c>
      <c r="AZ880">
        <v>7205</v>
      </c>
      <c r="BA880">
        <v>1</v>
      </c>
      <c r="BB880" t="str">
        <f t="shared" si="41"/>
        <v xml:space="preserve">KAP400  </v>
      </c>
      <c r="BC880">
        <v>1</v>
      </c>
      <c r="BE880">
        <v>0</v>
      </c>
      <c r="BF880">
        <v>0</v>
      </c>
      <c r="BG880">
        <v>0</v>
      </c>
      <c r="BI880">
        <v>1</v>
      </c>
      <c r="BJ880">
        <v>1</v>
      </c>
      <c r="BK880">
        <v>1</v>
      </c>
      <c r="BL880">
        <v>0</v>
      </c>
      <c r="BO880">
        <v>0</v>
      </c>
      <c r="BP880">
        <v>0</v>
      </c>
      <c r="BW880" t="str">
        <f>"19:18:38.169"</f>
        <v>19:18:38.169</v>
      </c>
      <c r="BX880" t="s">
        <v>119</v>
      </c>
      <c r="BY880" t="s">
        <v>120</v>
      </c>
      <c r="CJ880">
        <v>0</v>
      </c>
      <c r="CK880">
        <v>0</v>
      </c>
      <c r="CL880">
        <v>0</v>
      </c>
      <c r="CM880">
        <v>2</v>
      </c>
      <c r="CN880">
        <v>0</v>
      </c>
      <c r="CO880">
        <v>0</v>
      </c>
      <c r="CP880" t="s">
        <v>121</v>
      </c>
      <c r="CQ880">
        <v>582</v>
      </c>
      <c r="CR880">
        <v>0</v>
      </c>
      <c r="CW880">
        <v>6683393</v>
      </c>
      <c r="CY880">
        <v>0</v>
      </c>
      <c r="CZ880">
        <v>0</v>
      </c>
      <c r="DA880">
        <v>0</v>
      </c>
      <c r="DB880">
        <v>1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</row>
    <row r="881" spans="1:113" x14ac:dyDescent="0.3">
      <c r="A881" t="str">
        <f>"06/16/2022 19:18:39.426"</f>
        <v>06/16/2022 19:18:39.426</v>
      </c>
      <c r="C881" t="str">
        <f t="shared" si="42"/>
        <v>FFBF5BC0</v>
      </c>
      <c r="D881" t="s">
        <v>113</v>
      </c>
      <c r="E881">
        <v>8</v>
      </c>
      <c r="H881">
        <v>206</v>
      </c>
      <c r="I881" t="s">
        <v>114</v>
      </c>
      <c r="J881" t="s">
        <v>115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>"19:18:39.148"</f>
        <v>19:18:39.148</v>
      </c>
      <c r="T881" t="str">
        <f>"19:18:39.148"</f>
        <v>19:18:39.148</v>
      </c>
      <c r="U881" t="str">
        <f t="shared" si="40"/>
        <v>AB63B2</v>
      </c>
      <c r="V881">
        <v>0</v>
      </c>
      <c r="W881">
        <v>0</v>
      </c>
      <c r="X881">
        <v>6</v>
      </c>
      <c r="Z881">
        <v>0</v>
      </c>
      <c r="AA881">
        <v>9</v>
      </c>
      <c r="AB881">
        <v>3</v>
      </c>
      <c r="AC881">
        <v>0</v>
      </c>
      <c r="AD881">
        <v>10</v>
      </c>
      <c r="AE881">
        <v>0</v>
      </c>
      <c r="AF881">
        <v>0</v>
      </c>
      <c r="AG881">
        <v>2</v>
      </c>
      <c r="AH881">
        <v>0</v>
      </c>
      <c r="AI881" t="s">
        <v>802</v>
      </c>
      <c r="AJ881">
        <v>41.979295999999998</v>
      </c>
      <c r="AK881" t="s">
        <v>291</v>
      </c>
      <c r="AL881">
        <v>-87.893844000000001</v>
      </c>
      <c r="AS881">
        <v>1</v>
      </c>
      <c r="AT881" t="s">
        <v>118</v>
      </c>
      <c r="AU881" t="b">
        <v>1</v>
      </c>
      <c r="AV881">
        <v>47.81</v>
      </c>
      <c r="AW881">
        <v>14.125</v>
      </c>
      <c r="AX881">
        <v>1</v>
      </c>
      <c r="AZ881">
        <v>7205</v>
      </c>
      <c r="BA881">
        <v>1</v>
      </c>
      <c r="BB881" t="str">
        <f t="shared" si="41"/>
        <v xml:space="preserve">KAP400  </v>
      </c>
      <c r="BC881">
        <v>1</v>
      </c>
      <c r="BE881">
        <v>0</v>
      </c>
      <c r="BF881">
        <v>0</v>
      </c>
      <c r="BG881">
        <v>0</v>
      </c>
      <c r="BI881">
        <v>1</v>
      </c>
      <c r="BJ881">
        <v>1</v>
      </c>
      <c r="BK881">
        <v>1</v>
      </c>
      <c r="BL881">
        <v>0</v>
      </c>
      <c r="BO881">
        <v>0</v>
      </c>
      <c r="BP881">
        <v>0</v>
      </c>
      <c r="BW881" t="str">
        <f>"19:18:39.152"</f>
        <v>19:18:39.152</v>
      </c>
      <c r="BX881" t="s">
        <v>119</v>
      </c>
      <c r="BY881" t="s">
        <v>120</v>
      </c>
      <c r="CJ881">
        <v>0</v>
      </c>
      <c r="CK881">
        <v>0</v>
      </c>
      <c r="CL881">
        <v>0</v>
      </c>
      <c r="CM881">
        <v>2</v>
      </c>
      <c r="CN881">
        <v>0</v>
      </c>
      <c r="CO881">
        <v>7</v>
      </c>
      <c r="CP881" t="s">
        <v>121</v>
      </c>
      <c r="CQ881">
        <v>582</v>
      </c>
      <c r="CR881">
        <v>0</v>
      </c>
      <c r="CW881">
        <v>6684635</v>
      </c>
      <c r="CY881">
        <v>0</v>
      </c>
      <c r="CZ881">
        <v>0</v>
      </c>
      <c r="DA881">
        <v>0</v>
      </c>
      <c r="DB881">
        <v>1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</row>
    <row r="882" spans="1:113" x14ac:dyDescent="0.3">
      <c r="A882" t="str">
        <f>"06/16/2022 19:18:40.551"</f>
        <v>06/16/2022 19:18:40.551</v>
      </c>
      <c r="C882" t="str">
        <f t="shared" si="42"/>
        <v>FFBF5BC0</v>
      </c>
      <c r="D882" t="s">
        <v>113</v>
      </c>
      <c r="E882">
        <v>8</v>
      </c>
      <c r="H882">
        <v>206</v>
      </c>
      <c r="I882" t="s">
        <v>114</v>
      </c>
      <c r="J882" t="s">
        <v>115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>"19:18:40.320"</f>
        <v>19:18:40.320</v>
      </c>
      <c r="T882" t="str">
        <f>"19:18:40.320"</f>
        <v>19:18:40.320</v>
      </c>
      <c r="U882" t="str">
        <f t="shared" si="40"/>
        <v>AB63B2</v>
      </c>
      <c r="V882">
        <v>0</v>
      </c>
      <c r="W882">
        <v>0</v>
      </c>
      <c r="X882">
        <v>6</v>
      </c>
      <c r="Z882">
        <v>0</v>
      </c>
      <c r="AA882">
        <v>9</v>
      </c>
      <c r="AB882">
        <v>3</v>
      </c>
      <c r="AC882">
        <v>0</v>
      </c>
      <c r="AD882">
        <v>10</v>
      </c>
      <c r="AE882">
        <v>0</v>
      </c>
      <c r="AF882">
        <v>0</v>
      </c>
      <c r="AG882">
        <v>2</v>
      </c>
      <c r="AH882">
        <v>0</v>
      </c>
      <c r="AI882" t="s">
        <v>803</v>
      </c>
      <c r="AJ882">
        <v>41.979339000000003</v>
      </c>
      <c r="AK882" t="s">
        <v>804</v>
      </c>
      <c r="AL882">
        <v>-87.893758000000005</v>
      </c>
      <c r="AS882">
        <v>1</v>
      </c>
      <c r="AT882" t="s">
        <v>118</v>
      </c>
      <c r="AU882" t="b">
        <v>1</v>
      </c>
      <c r="AV882">
        <v>50.63</v>
      </c>
      <c r="AW882">
        <v>14.125</v>
      </c>
      <c r="AX882">
        <v>1</v>
      </c>
      <c r="AZ882">
        <v>7205</v>
      </c>
      <c r="BA882">
        <v>1</v>
      </c>
      <c r="BB882" t="str">
        <f t="shared" si="41"/>
        <v xml:space="preserve">KAP400  </v>
      </c>
      <c r="BC882">
        <v>1</v>
      </c>
      <c r="BE882">
        <v>0</v>
      </c>
      <c r="BF882">
        <v>0</v>
      </c>
      <c r="BG882">
        <v>0</v>
      </c>
      <c r="BI882">
        <v>1</v>
      </c>
      <c r="BJ882">
        <v>1</v>
      </c>
      <c r="BK882">
        <v>1</v>
      </c>
      <c r="BL882">
        <v>0</v>
      </c>
      <c r="BO882">
        <v>0</v>
      </c>
      <c r="BP882">
        <v>0</v>
      </c>
      <c r="BW882" t="str">
        <f>"19:18:40.321"</f>
        <v>19:18:40.321</v>
      </c>
      <c r="BX882" t="s">
        <v>119</v>
      </c>
      <c r="BY882" t="s">
        <v>120</v>
      </c>
      <c r="CJ882">
        <v>0</v>
      </c>
      <c r="CK882">
        <v>0</v>
      </c>
      <c r="CL882">
        <v>0</v>
      </c>
      <c r="CM882">
        <v>2</v>
      </c>
      <c r="CN882">
        <v>0</v>
      </c>
      <c r="CO882">
        <v>7</v>
      </c>
      <c r="CP882" t="s">
        <v>121</v>
      </c>
      <c r="CQ882">
        <v>582</v>
      </c>
      <c r="CR882">
        <v>0</v>
      </c>
      <c r="CW882">
        <v>6686179</v>
      </c>
      <c r="CY882">
        <v>0</v>
      </c>
      <c r="CZ882">
        <v>0</v>
      </c>
      <c r="DA882">
        <v>0</v>
      </c>
      <c r="DB882">
        <v>1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</row>
    <row r="883" spans="1:113" x14ac:dyDescent="0.3">
      <c r="A883" t="str">
        <f>"06/16/2022 19:18:41.488"</f>
        <v>06/16/2022 19:18:41.488</v>
      </c>
      <c r="C883" t="str">
        <f t="shared" si="42"/>
        <v>FFBF5BC0</v>
      </c>
      <c r="D883" t="s">
        <v>113</v>
      </c>
      <c r="E883">
        <v>8</v>
      </c>
      <c r="H883">
        <v>206</v>
      </c>
      <c r="I883" t="s">
        <v>114</v>
      </c>
      <c r="J883" t="s">
        <v>115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>"19:18:41.273"</f>
        <v>19:18:41.273</v>
      </c>
      <c r="T883" t="str">
        <f>"19:18:41.273"</f>
        <v>19:18:41.273</v>
      </c>
      <c r="U883" t="str">
        <f t="shared" si="40"/>
        <v>AB63B2</v>
      </c>
      <c r="V883">
        <v>0</v>
      </c>
      <c r="W883">
        <v>0</v>
      </c>
      <c r="X883">
        <v>6</v>
      </c>
      <c r="Z883">
        <v>0</v>
      </c>
      <c r="AA883">
        <v>9</v>
      </c>
      <c r="AB883">
        <v>3</v>
      </c>
      <c r="AC883">
        <v>0</v>
      </c>
      <c r="AD883">
        <v>10</v>
      </c>
      <c r="AE883">
        <v>0</v>
      </c>
      <c r="AF883">
        <v>0</v>
      </c>
      <c r="AG883">
        <v>2</v>
      </c>
      <c r="AH883">
        <v>0</v>
      </c>
      <c r="AI883" t="s">
        <v>805</v>
      </c>
      <c r="AJ883">
        <v>41.979382000000001</v>
      </c>
      <c r="AK883" t="s">
        <v>326</v>
      </c>
      <c r="AL883">
        <v>-87.893692999999999</v>
      </c>
      <c r="AS883">
        <v>1</v>
      </c>
      <c r="AT883" t="s">
        <v>118</v>
      </c>
      <c r="AU883" t="b">
        <v>1</v>
      </c>
      <c r="AV883">
        <v>50.63</v>
      </c>
      <c r="AW883">
        <v>14.125</v>
      </c>
      <c r="AX883">
        <v>1</v>
      </c>
      <c r="AZ883">
        <v>7205</v>
      </c>
      <c r="BA883">
        <v>1</v>
      </c>
      <c r="BB883" t="str">
        <f t="shared" si="41"/>
        <v xml:space="preserve">KAP400  </v>
      </c>
      <c r="BC883">
        <v>1</v>
      </c>
      <c r="BE883">
        <v>0</v>
      </c>
      <c r="BF883">
        <v>0</v>
      </c>
      <c r="BG883">
        <v>0</v>
      </c>
      <c r="BI883">
        <v>1</v>
      </c>
      <c r="BJ883">
        <v>1</v>
      </c>
      <c r="BK883">
        <v>1</v>
      </c>
      <c r="BL883">
        <v>0</v>
      </c>
      <c r="BO883">
        <v>0</v>
      </c>
      <c r="BP883">
        <v>0</v>
      </c>
      <c r="BW883" t="str">
        <f>"19:18:41.274"</f>
        <v>19:18:41.274</v>
      </c>
      <c r="BX883" t="s">
        <v>119</v>
      </c>
      <c r="BY883" t="s">
        <v>120</v>
      </c>
      <c r="CJ883">
        <v>0</v>
      </c>
      <c r="CK883">
        <v>0</v>
      </c>
      <c r="CL883">
        <v>0</v>
      </c>
      <c r="CM883">
        <v>2</v>
      </c>
      <c r="CN883">
        <v>0</v>
      </c>
      <c r="CO883">
        <v>7</v>
      </c>
      <c r="CP883" t="s">
        <v>121</v>
      </c>
      <c r="CQ883">
        <v>582</v>
      </c>
      <c r="CR883">
        <v>0</v>
      </c>
      <c r="CW883">
        <v>6687431</v>
      </c>
      <c r="CY883">
        <v>0</v>
      </c>
      <c r="CZ883">
        <v>0</v>
      </c>
      <c r="DA883">
        <v>0</v>
      </c>
      <c r="DB883">
        <v>1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</row>
    <row r="884" spans="1:113" x14ac:dyDescent="0.3">
      <c r="A884" t="str">
        <f>"06/16/2022 19:18:42.431"</f>
        <v>06/16/2022 19:18:42.431</v>
      </c>
      <c r="C884" t="str">
        <f t="shared" si="42"/>
        <v>FFBF5BC0</v>
      </c>
      <c r="D884" t="s">
        <v>113</v>
      </c>
      <c r="E884">
        <v>8</v>
      </c>
      <c r="H884">
        <v>206</v>
      </c>
      <c r="I884" t="s">
        <v>114</v>
      </c>
      <c r="J884" t="s">
        <v>115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>"19:18:42.133"</f>
        <v>19:18:42.133</v>
      </c>
      <c r="T884" t="str">
        <f>"19:18:42.133"</f>
        <v>19:18:42.133</v>
      </c>
      <c r="U884" t="str">
        <f t="shared" si="40"/>
        <v>AB63B2</v>
      </c>
      <c r="V884">
        <v>0</v>
      </c>
      <c r="W884">
        <v>0</v>
      </c>
      <c r="X884">
        <v>6</v>
      </c>
      <c r="Z884">
        <v>0</v>
      </c>
      <c r="AA884">
        <v>9</v>
      </c>
      <c r="AB884">
        <v>3</v>
      </c>
      <c r="AC884">
        <v>0</v>
      </c>
      <c r="AD884">
        <v>10</v>
      </c>
      <c r="AE884">
        <v>0</v>
      </c>
      <c r="AF884">
        <v>0</v>
      </c>
      <c r="AG884">
        <v>2</v>
      </c>
      <c r="AH884">
        <v>0</v>
      </c>
      <c r="AI884" t="s">
        <v>806</v>
      </c>
      <c r="AJ884">
        <v>41.979402999999998</v>
      </c>
      <c r="AK884" t="s">
        <v>324</v>
      </c>
      <c r="AL884">
        <v>-87.893629000000004</v>
      </c>
      <c r="AS884">
        <v>1</v>
      </c>
      <c r="AT884" t="s">
        <v>118</v>
      </c>
      <c r="AU884" t="b">
        <v>1</v>
      </c>
      <c r="AV884">
        <v>50.63</v>
      </c>
      <c r="AW884">
        <v>14.125</v>
      </c>
      <c r="AX884">
        <v>1</v>
      </c>
      <c r="AZ884">
        <v>7205</v>
      </c>
      <c r="BA884">
        <v>1</v>
      </c>
      <c r="BB884" t="str">
        <f t="shared" si="41"/>
        <v xml:space="preserve">KAP400  </v>
      </c>
      <c r="BC884">
        <v>1</v>
      </c>
      <c r="BE884">
        <v>0</v>
      </c>
      <c r="BF884">
        <v>0</v>
      </c>
      <c r="BG884">
        <v>0</v>
      </c>
      <c r="BI884">
        <v>1</v>
      </c>
      <c r="BJ884">
        <v>1</v>
      </c>
      <c r="BK884">
        <v>1</v>
      </c>
      <c r="BL884">
        <v>0</v>
      </c>
      <c r="BO884">
        <v>0</v>
      </c>
      <c r="BP884">
        <v>0</v>
      </c>
      <c r="BW884" t="str">
        <f>"19:18:42.136"</f>
        <v>19:18:42.136</v>
      </c>
      <c r="BX884" t="s">
        <v>119</v>
      </c>
      <c r="BY884" t="s">
        <v>120</v>
      </c>
      <c r="CJ884">
        <v>0</v>
      </c>
      <c r="CK884">
        <v>0</v>
      </c>
      <c r="CL884">
        <v>0</v>
      </c>
      <c r="CM884">
        <v>2</v>
      </c>
      <c r="CN884">
        <v>0</v>
      </c>
      <c r="CO884">
        <v>7</v>
      </c>
      <c r="CP884" t="s">
        <v>121</v>
      </c>
      <c r="CQ884">
        <v>582</v>
      </c>
      <c r="CR884">
        <v>0</v>
      </c>
      <c r="CW884">
        <v>6688539</v>
      </c>
      <c r="CY884">
        <v>0</v>
      </c>
      <c r="CZ884">
        <v>0</v>
      </c>
      <c r="DA884">
        <v>0</v>
      </c>
      <c r="DB884">
        <v>1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</row>
    <row r="885" spans="1:113" x14ac:dyDescent="0.3">
      <c r="A885" t="str">
        <f>"06/16/2022 19:18:43.424"</f>
        <v>06/16/2022 19:18:43.424</v>
      </c>
      <c r="C885" t="str">
        <f t="shared" si="42"/>
        <v>FFBF5BC0</v>
      </c>
      <c r="D885" t="s">
        <v>113</v>
      </c>
      <c r="E885">
        <v>8</v>
      </c>
      <c r="H885">
        <v>206</v>
      </c>
      <c r="I885" t="s">
        <v>114</v>
      </c>
      <c r="J885" t="s">
        <v>115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>"19:18:43.117"</f>
        <v>19:18:43.117</v>
      </c>
      <c r="T885" t="str">
        <f>"19:18:43.117"</f>
        <v>19:18:43.117</v>
      </c>
      <c r="U885" t="str">
        <f t="shared" si="40"/>
        <v>AB63B2</v>
      </c>
      <c r="V885">
        <v>0</v>
      </c>
      <c r="W885">
        <v>0</v>
      </c>
      <c r="X885">
        <v>6</v>
      </c>
      <c r="Z885">
        <v>0</v>
      </c>
      <c r="AA885">
        <v>9</v>
      </c>
      <c r="AB885">
        <v>3</v>
      </c>
      <c r="AC885">
        <v>0</v>
      </c>
      <c r="AD885">
        <v>10</v>
      </c>
      <c r="AE885">
        <v>0</v>
      </c>
      <c r="AF885">
        <v>0</v>
      </c>
      <c r="AG885">
        <v>2</v>
      </c>
      <c r="AH885">
        <v>0</v>
      </c>
      <c r="AI885" t="s">
        <v>807</v>
      </c>
      <c r="AJ885">
        <v>41.979467999999997</v>
      </c>
      <c r="AK885" t="s">
        <v>808</v>
      </c>
      <c r="AL885">
        <v>-87.893564999999995</v>
      </c>
      <c r="AS885">
        <v>1</v>
      </c>
      <c r="AT885" t="s">
        <v>118</v>
      </c>
      <c r="AU885" t="b">
        <v>1</v>
      </c>
      <c r="AV885">
        <v>50.63</v>
      </c>
      <c r="AW885">
        <v>14.125</v>
      </c>
      <c r="AX885">
        <v>1</v>
      </c>
      <c r="AZ885">
        <v>7205</v>
      </c>
      <c r="BA885">
        <v>1</v>
      </c>
      <c r="BB885" t="str">
        <f t="shared" si="41"/>
        <v xml:space="preserve">KAP400  </v>
      </c>
      <c r="BC885">
        <v>1</v>
      </c>
      <c r="BE885">
        <v>0</v>
      </c>
      <c r="BF885">
        <v>0</v>
      </c>
      <c r="BG885">
        <v>0</v>
      </c>
      <c r="BI885">
        <v>1</v>
      </c>
      <c r="BJ885">
        <v>1</v>
      </c>
      <c r="BK885">
        <v>1</v>
      </c>
      <c r="BL885">
        <v>0</v>
      </c>
      <c r="BO885">
        <v>0</v>
      </c>
      <c r="BP885">
        <v>0</v>
      </c>
      <c r="BW885" t="str">
        <f>"19:18:43.121"</f>
        <v>19:18:43.121</v>
      </c>
      <c r="BX885" t="s">
        <v>119</v>
      </c>
      <c r="BY885" t="s">
        <v>120</v>
      </c>
      <c r="CJ885">
        <v>0</v>
      </c>
      <c r="CK885">
        <v>0</v>
      </c>
      <c r="CL885">
        <v>0</v>
      </c>
      <c r="CM885">
        <v>2</v>
      </c>
      <c r="CN885">
        <v>0</v>
      </c>
      <c r="CO885">
        <v>7</v>
      </c>
      <c r="CP885" t="s">
        <v>121</v>
      </c>
      <c r="CQ885">
        <v>582</v>
      </c>
      <c r="CR885">
        <v>0</v>
      </c>
      <c r="CW885">
        <v>6689757</v>
      </c>
      <c r="CY885">
        <v>0</v>
      </c>
      <c r="CZ885">
        <v>0</v>
      </c>
      <c r="DA885">
        <v>0</v>
      </c>
      <c r="DB885">
        <v>1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</row>
    <row r="886" spans="1:113" x14ac:dyDescent="0.3">
      <c r="A886" t="str">
        <f>"06/16/2022 19:18:44.378"</f>
        <v>06/16/2022 19:18:44.378</v>
      </c>
      <c r="C886" t="str">
        <f t="shared" si="42"/>
        <v>FFBF5BC0</v>
      </c>
      <c r="D886" t="s">
        <v>113</v>
      </c>
      <c r="E886">
        <v>8</v>
      </c>
      <c r="H886">
        <v>206</v>
      </c>
      <c r="I886" t="s">
        <v>114</v>
      </c>
      <c r="J886" t="s">
        <v>115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>"19:18:44.109"</f>
        <v>19:18:44.109</v>
      </c>
      <c r="T886" t="str">
        <f>"19:18:44.109"</f>
        <v>19:18:44.109</v>
      </c>
      <c r="U886" t="str">
        <f t="shared" si="40"/>
        <v>AB63B2</v>
      </c>
      <c r="V886">
        <v>0</v>
      </c>
      <c r="W886">
        <v>0</v>
      </c>
      <c r="X886">
        <v>6</v>
      </c>
      <c r="Z886">
        <v>0</v>
      </c>
      <c r="AA886">
        <v>9</v>
      </c>
      <c r="AB886">
        <v>3</v>
      </c>
      <c r="AC886">
        <v>0</v>
      </c>
      <c r="AD886">
        <v>10</v>
      </c>
      <c r="AE886">
        <v>0</v>
      </c>
      <c r="AF886">
        <v>0</v>
      </c>
      <c r="AG886">
        <v>2</v>
      </c>
      <c r="AH886">
        <v>0</v>
      </c>
      <c r="AI886" t="s">
        <v>809</v>
      </c>
      <c r="AJ886">
        <v>41.979489000000001</v>
      </c>
      <c r="AK886" t="s">
        <v>299</v>
      </c>
      <c r="AL886">
        <v>-87.893522000000004</v>
      </c>
      <c r="AS886">
        <v>1</v>
      </c>
      <c r="AT886" t="s">
        <v>118</v>
      </c>
      <c r="AU886" t="b">
        <v>1</v>
      </c>
      <c r="AV886">
        <v>50.63</v>
      </c>
      <c r="AW886">
        <v>14.125</v>
      </c>
      <c r="AX886">
        <v>1</v>
      </c>
      <c r="AZ886">
        <v>7205</v>
      </c>
      <c r="BA886">
        <v>1</v>
      </c>
      <c r="BB886" t="str">
        <f t="shared" si="41"/>
        <v xml:space="preserve">KAP400  </v>
      </c>
      <c r="BC886">
        <v>1</v>
      </c>
      <c r="BE886">
        <v>0</v>
      </c>
      <c r="BF886">
        <v>0</v>
      </c>
      <c r="BG886">
        <v>0</v>
      </c>
      <c r="BI886">
        <v>1</v>
      </c>
      <c r="BJ886">
        <v>1</v>
      </c>
      <c r="BK886">
        <v>1</v>
      </c>
      <c r="BL886">
        <v>0</v>
      </c>
      <c r="BO886">
        <v>0</v>
      </c>
      <c r="BP886">
        <v>0</v>
      </c>
      <c r="BW886" t="str">
        <f>"19:18:44.114"</f>
        <v>19:18:44.114</v>
      </c>
      <c r="BX886" t="s">
        <v>119</v>
      </c>
      <c r="BY886" t="s">
        <v>120</v>
      </c>
      <c r="CJ886">
        <v>0</v>
      </c>
      <c r="CK886">
        <v>0</v>
      </c>
      <c r="CL886">
        <v>0</v>
      </c>
      <c r="CM886">
        <v>2</v>
      </c>
      <c r="CN886">
        <v>0</v>
      </c>
      <c r="CO886">
        <v>7</v>
      </c>
      <c r="CP886" t="s">
        <v>121</v>
      </c>
      <c r="CQ886">
        <v>582</v>
      </c>
      <c r="CR886">
        <v>0</v>
      </c>
      <c r="CW886">
        <v>6690971</v>
      </c>
      <c r="CY886">
        <v>0</v>
      </c>
      <c r="CZ886">
        <v>0</v>
      </c>
      <c r="DA886">
        <v>0</v>
      </c>
      <c r="DB886">
        <v>1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</row>
    <row r="887" spans="1:113" x14ac:dyDescent="0.3">
      <c r="A887" t="str">
        <f>"06/16/2022 19:18:45.331"</f>
        <v>06/16/2022 19:18:45.331</v>
      </c>
      <c r="C887" t="str">
        <f t="shared" si="42"/>
        <v>FFBF5BC0</v>
      </c>
      <c r="D887" t="s">
        <v>113</v>
      </c>
      <c r="E887">
        <v>8</v>
      </c>
      <c r="H887">
        <v>206</v>
      </c>
      <c r="I887" t="s">
        <v>114</v>
      </c>
      <c r="J887" t="s">
        <v>115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>"19:18:45.102"</f>
        <v>19:18:45.102</v>
      </c>
      <c r="T887" t="str">
        <f>"19:18:45.102"</f>
        <v>19:18:45.102</v>
      </c>
      <c r="U887" t="str">
        <f t="shared" si="40"/>
        <v>AB63B2</v>
      </c>
      <c r="V887">
        <v>0</v>
      </c>
      <c r="W887">
        <v>0</v>
      </c>
      <c r="X887">
        <v>6</v>
      </c>
      <c r="Z887">
        <v>0</v>
      </c>
      <c r="AA887">
        <v>9</v>
      </c>
      <c r="AB887">
        <v>3</v>
      </c>
      <c r="AC887">
        <v>0</v>
      </c>
      <c r="AD887">
        <v>10</v>
      </c>
      <c r="AE887">
        <v>0</v>
      </c>
      <c r="AF887">
        <v>0</v>
      </c>
      <c r="AG887">
        <v>2</v>
      </c>
      <c r="AH887">
        <v>0</v>
      </c>
      <c r="AI887" t="s">
        <v>810</v>
      </c>
      <c r="AJ887">
        <v>41.979531999999999</v>
      </c>
      <c r="AK887" t="s">
        <v>301</v>
      </c>
      <c r="AL887">
        <v>-87.893456999999998</v>
      </c>
      <c r="AS887">
        <v>1</v>
      </c>
      <c r="AT887" t="s">
        <v>118</v>
      </c>
      <c r="AU887" t="b">
        <v>1</v>
      </c>
      <c r="AV887">
        <v>50.63</v>
      </c>
      <c r="AW887">
        <v>14.625</v>
      </c>
      <c r="AX887">
        <v>1</v>
      </c>
      <c r="AZ887">
        <v>7205</v>
      </c>
      <c r="BA887">
        <v>1</v>
      </c>
      <c r="BB887" t="str">
        <f t="shared" si="41"/>
        <v xml:space="preserve">KAP400  </v>
      </c>
      <c r="BC887">
        <v>1</v>
      </c>
      <c r="BE887">
        <v>0</v>
      </c>
      <c r="BF887">
        <v>0</v>
      </c>
      <c r="BG887">
        <v>0</v>
      </c>
      <c r="BI887">
        <v>1</v>
      </c>
      <c r="BJ887">
        <v>1</v>
      </c>
      <c r="BK887">
        <v>1</v>
      </c>
      <c r="BL887">
        <v>0</v>
      </c>
      <c r="BO887">
        <v>0</v>
      </c>
      <c r="BP887">
        <v>0</v>
      </c>
      <c r="BW887" t="str">
        <f>"19:18:45.108"</f>
        <v>19:18:45.108</v>
      </c>
      <c r="BX887" t="s">
        <v>119</v>
      </c>
      <c r="BY887" t="s">
        <v>120</v>
      </c>
      <c r="CJ887">
        <v>0</v>
      </c>
      <c r="CK887">
        <v>0</v>
      </c>
      <c r="CL887">
        <v>0</v>
      </c>
      <c r="CM887">
        <v>2</v>
      </c>
      <c r="CN887">
        <v>0</v>
      </c>
      <c r="CO887">
        <v>6</v>
      </c>
      <c r="CP887" t="s">
        <v>121</v>
      </c>
      <c r="CQ887">
        <v>581</v>
      </c>
      <c r="CR887">
        <v>0</v>
      </c>
      <c r="CW887">
        <v>15795715</v>
      </c>
      <c r="CY887">
        <v>0</v>
      </c>
      <c r="CZ887">
        <v>0</v>
      </c>
      <c r="DA887">
        <v>0</v>
      </c>
      <c r="DB887">
        <v>1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</row>
    <row r="888" spans="1:113" x14ac:dyDescent="0.3">
      <c r="A888" t="str">
        <f>"06/16/2022 19:18:46.409"</f>
        <v>06/16/2022 19:18:46.409</v>
      </c>
      <c r="C888" t="str">
        <f t="shared" si="42"/>
        <v>FFBF5BC0</v>
      </c>
      <c r="D888" t="s">
        <v>113</v>
      </c>
      <c r="E888">
        <v>8</v>
      </c>
      <c r="H888">
        <v>206</v>
      </c>
      <c r="I888" t="s">
        <v>114</v>
      </c>
      <c r="J888" t="s">
        <v>115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>"19:18:46.094"</f>
        <v>19:18:46.094</v>
      </c>
      <c r="T888" t="str">
        <f>"19:18:46.094"</f>
        <v>19:18:46.094</v>
      </c>
      <c r="U888" t="str">
        <f t="shared" si="40"/>
        <v>AB63B2</v>
      </c>
      <c r="V888">
        <v>0</v>
      </c>
      <c r="W888">
        <v>0</v>
      </c>
      <c r="X888">
        <v>6</v>
      </c>
      <c r="Z888">
        <v>0</v>
      </c>
      <c r="AA888">
        <v>9</v>
      </c>
      <c r="AB888">
        <v>3</v>
      </c>
      <c r="AC888">
        <v>0</v>
      </c>
      <c r="AD888">
        <v>10</v>
      </c>
      <c r="AE888">
        <v>0</v>
      </c>
      <c r="AF888">
        <v>0</v>
      </c>
      <c r="AG888">
        <v>2</v>
      </c>
      <c r="AH888">
        <v>0</v>
      </c>
      <c r="AI888" t="s">
        <v>811</v>
      </c>
      <c r="AJ888">
        <v>41.979574999999997</v>
      </c>
      <c r="AK888" t="s">
        <v>317</v>
      </c>
      <c r="AL888">
        <v>-87.893371999999999</v>
      </c>
      <c r="AS888">
        <v>1</v>
      </c>
      <c r="AT888" t="s">
        <v>118</v>
      </c>
      <c r="AU888" t="b">
        <v>1</v>
      </c>
      <c r="AV888">
        <v>50.63</v>
      </c>
      <c r="AW888">
        <v>14.625</v>
      </c>
      <c r="AX888">
        <v>1</v>
      </c>
      <c r="AZ888">
        <v>7205</v>
      </c>
      <c r="BA888">
        <v>1</v>
      </c>
      <c r="BB888" t="str">
        <f t="shared" si="41"/>
        <v xml:space="preserve">KAP400  </v>
      </c>
      <c r="BC888">
        <v>1</v>
      </c>
      <c r="BE888">
        <v>0</v>
      </c>
      <c r="BF888">
        <v>0</v>
      </c>
      <c r="BG888">
        <v>0</v>
      </c>
      <c r="BI888">
        <v>1</v>
      </c>
      <c r="BJ888">
        <v>1</v>
      </c>
      <c r="BK888">
        <v>1</v>
      </c>
      <c r="BL888">
        <v>0</v>
      </c>
      <c r="BO888">
        <v>0</v>
      </c>
      <c r="BP888">
        <v>0</v>
      </c>
      <c r="BW888" t="str">
        <f>"19:18:46.096"</f>
        <v>19:18:46.096</v>
      </c>
      <c r="BX888" t="s">
        <v>119</v>
      </c>
      <c r="BY888" t="s">
        <v>120</v>
      </c>
      <c r="CJ888">
        <v>0</v>
      </c>
      <c r="CK888">
        <v>0</v>
      </c>
      <c r="CL888">
        <v>0</v>
      </c>
      <c r="CM888">
        <v>2</v>
      </c>
      <c r="CN888">
        <v>0</v>
      </c>
      <c r="CO888">
        <v>6</v>
      </c>
      <c r="CP888" t="s">
        <v>121</v>
      </c>
      <c r="CQ888">
        <v>581</v>
      </c>
      <c r="CR888">
        <v>0</v>
      </c>
      <c r="CW888">
        <v>15797163</v>
      </c>
      <c r="CY888">
        <v>0</v>
      </c>
      <c r="CZ888">
        <v>0</v>
      </c>
      <c r="DA888">
        <v>0</v>
      </c>
      <c r="DB888">
        <v>1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</row>
    <row r="889" spans="1:113" x14ac:dyDescent="0.3">
      <c r="A889" t="str">
        <f>"06/16/2022 19:18:47.332"</f>
        <v>06/16/2022 19:18:47.332</v>
      </c>
      <c r="C889" t="str">
        <f t="shared" si="42"/>
        <v>FFBF5BC0</v>
      </c>
      <c r="D889" t="s">
        <v>113</v>
      </c>
      <c r="E889">
        <v>8</v>
      </c>
      <c r="H889">
        <v>206</v>
      </c>
      <c r="I889" t="s">
        <v>114</v>
      </c>
      <c r="J889" t="s">
        <v>115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>"19:18:47.063"</f>
        <v>19:18:47.063</v>
      </c>
      <c r="T889" t="str">
        <f>"19:18:47.063"</f>
        <v>19:18:47.063</v>
      </c>
      <c r="U889" t="str">
        <f t="shared" si="40"/>
        <v>AB63B2</v>
      </c>
      <c r="V889">
        <v>0</v>
      </c>
      <c r="W889">
        <v>0</v>
      </c>
      <c r="X889">
        <v>6</v>
      </c>
      <c r="Z889">
        <v>0</v>
      </c>
      <c r="AA889">
        <v>9</v>
      </c>
      <c r="AB889">
        <v>3</v>
      </c>
      <c r="AC889">
        <v>0</v>
      </c>
      <c r="AD889">
        <v>10</v>
      </c>
      <c r="AE889">
        <v>0</v>
      </c>
      <c r="AF889">
        <v>0</v>
      </c>
      <c r="AG889">
        <v>2</v>
      </c>
      <c r="AH889">
        <v>0</v>
      </c>
      <c r="AI889" t="s">
        <v>812</v>
      </c>
      <c r="AJ889">
        <v>41.979618000000002</v>
      </c>
      <c r="AK889" t="s">
        <v>307</v>
      </c>
      <c r="AL889">
        <v>-87.893306999999993</v>
      </c>
      <c r="AS889">
        <v>1</v>
      </c>
      <c r="AT889" t="s">
        <v>118</v>
      </c>
      <c r="AU889" t="b">
        <v>1</v>
      </c>
      <c r="AV889">
        <v>50.63</v>
      </c>
      <c r="AW889">
        <v>14.125</v>
      </c>
      <c r="AX889">
        <v>1</v>
      </c>
      <c r="AZ889">
        <v>7205</v>
      </c>
      <c r="BA889">
        <v>1</v>
      </c>
      <c r="BB889" t="str">
        <f t="shared" si="41"/>
        <v xml:space="preserve">KAP400  </v>
      </c>
      <c r="BC889">
        <v>1</v>
      </c>
      <c r="BE889">
        <v>0</v>
      </c>
      <c r="BF889">
        <v>0</v>
      </c>
      <c r="BG889">
        <v>0</v>
      </c>
      <c r="BI889">
        <v>1</v>
      </c>
      <c r="BJ889">
        <v>1</v>
      </c>
      <c r="BK889">
        <v>1</v>
      </c>
      <c r="BL889">
        <v>0</v>
      </c>
      <c r="BO889">
        <v>0</v>
      </c>
      <c r="BP889">
        <v>0</v>
      </c>
      <c r="BW889" t="str">
        <f>"19:18:47.064"</f>
        <v>19:18:47.064</v>
      </c>
      <c r="BX889" t="s">
        <v>119</v>
      </c>
      <c r="BY889" t="s">
        <v>120</v>
      </c>
      <c r="CJ889">
        <v>0</v>
      </c>
      <c r="CK889">
        <v>0</v>
      </c>
      <c r="CL889">
        <v>0</v>
      </c>
      <c r="CM889">
        <v>2</v>
      </c>
      <c r="CN889">
        <v>0</v>
      </c>
      <c r="CO889">
        <v>5</v>
      </c>
      <c r="CP889" t="s">
        <v>121</v>
      </c>
      <c r="CQ889">
        <v>581</v>
      </c>
      <c r="CR889">
        <v>0</v>
      </c>
      <c r="CW889">
        <v>15798544</v>
      </c>
      <c r="CY889">
        <v>0</v>
      </c>
      <c r="CZ889">
        <v>0</v>
      </c>
      <c r="DA889">
        <v>0</v>
      </c>
      <c r="DB889">
        <v>1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</row>
    <row r="890" spans="1:113" x14ac:dyDescent="0.3">
      <c r="A890" t="str">
        <f>"06/16/2022 19:18:48.410"</f>
        <v>06/16/2022 19:18:48.410</v>
      </c>
      <c r="C890" t="str">
        <f t="shared" si="42"/>
        <v>FFBF5BC0</v>
      </c>
      <c r="D890" t="s">
        <v>113</v>
      </c>
      <c r="E890">
        <v>8</v>
      </c>
      <c r="H890">
        <v>206</v>
      </c>
      <c r="I890" t="s">
        <v>114</v>
      </c>
      <c r="J890" t="s">
        <v>115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>"19:18:48.188"</f>
        <v>19:18:48.188</v>
      </c>
      <c r="T890" t="str">
        <f>"19:18:48.188"</f>
        <v>19:18:48.188</v>
      </c>
      <c r="U890" t="str">
        <f t="shared" si="40"/>
        <v>AB63B2</v>
      </c>
      <c r="V890">
        <v>0</v>
      </c>
      <c r="W890">
        <v>0</v>
      </c>
      <c r="X890">
        <v>6</v>
      </c>
      <c r="Z890">
        <v>0</v>
      </c>
      <c r="AA890">
        <v>9</v>
      </c>
      <c r="AB890">
        <v>3</v>
      </c>
      <c r="AC890">
        <v>0</v>
      </c>
      <c r="AD890">
        <v>10</v>
      </c>
      <c r="AE890">
        <v>0</v>
      </c>
      <c r="AF890">
        <v>0</v>
      </c>
      <c r="AG890">
        <v>2</v>
      </c>
      <c r="AH890">
        <v>0</v>
      </c>
      <c r="AI890" t="s">
        <v>813</v>
      </c>
      <c r="AJ890">
        <v>41.979661</v>
      </c>
      <c r="AK890" t="s">
        <v>814</v>
      </c>
      <c r="AL890">
        <v>-87.893242999999998</v>
      </c>
      <c r="AS890">
        <v>1</v>
      </c>
      <c r="AT890" t="s">
        <v>118</v>
      </c>
      <c r="AU890" t="b">
        <v>1</v>
      </c>
      <c r="AV890">
        <v>50.63</v>
      </c>
      <c r="AW890">
        <v>14.625</v>
      </c>
      <c r="AX890">
        <v>1</v>
      </c>
      <c r="AZ890">
        <v>7205</v>
      </c>
      <c r="BA890">
        <v>1</v>
      </c>
      <c r="BB890" t="str">
        <f t="shared" si="41"/>
        <v xml:space="preserve">KAP400  </v>
      </c>
      <c r="BC890">
        <v>1</v>
      </c>
      <c r="BE890">
        <v>0</v>
      </c>
      <c r="BF890">
        <v>0</v>
      </c>
      <c r="BG890">
        <v>0</v>
      </c>
      <c r="BI890">
        <v>1</v>
      </c>
      <c r="BJ890">
        <v>1</v>
      </c>
      <c r="BK890">
        <v>1</v>
      </c>
      <c r="BL890">
        <v>0</v>
      </c>
      <c r="BO890">
        <v>0</v>
      </c>
      <c r="BP890">
        <v>0</v>
      </c>
      <c r="BW890" t="str">
        <f>"19:18:48.192"</f>
        <v>19:18:48.192</v>
      </c>
      <c r="BX890" t="s">
        <v>119</v>
      </c>
      <c r="BY890" t="s">
        <v>120</v>
      </c>
      <c r="CJ890">
        <v>0</v>
      </c>
      <c r="CK890">
        <v>0</v>
      </c>
      <c r="CL890">
        <v>0</v>
      </c>
      <c r="CM890">
        <v>2</v>
      </c>
      <c r="CN890">
        <v>0</v>
      </c>
      <c r="CO890">
        <v>7</v>
      </c>
      <c r="CP890" t="s">
        <v>121</v>
      </c>
      <c r="CQ890">
        <v>581</v>
      </c>
      <c r="CR890">
        <v>0</v>
      </c>
      <c r="CW890">
        <v>15800085</v>
      </c>
      <c r="CY890">
        <v>0</v>
      </c>
      <c r="CZ890">
        <v>0</v>
      </c>
      <c r="DA890">
        <v>0</v>
      </c>
      <c r="DB890">
        <v>1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</row>
    <row r="891" spans="1:113" x14ac:dyDescent="0.3">
      <c r="A891" t="str">
        <f>"06/16/2022 19:18:49.348"</f>
        <v>06/16/2022 19:18:49.348</v>
      </c>
      <c r="C891" t="str">
        <f t="shared" si="42"/>
        <v>FFBF5BC0</v>
      </c>
      <c r="D891" t="s">
        <v>113</v>
      </c>
      <c r="E891">
        <v>8</v>
      </c>
      <c r="H891">
        <v>206</v>
      </c>
      <c r="I891" t="s">
        <v>114</v>
      </c>
      <c r="J891" t="s">
        <v>115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>"19:18:49.039"</f>
        <v>19:18:49.039</v>
      </c>
      <c r="T891" t="str">
        <f>"19:18:49.039"</f>
        <v>19:18:49.039</v>
      </c>
      <c r="U891" t="str">
        <f t="shared" si="40"/>
        <v>AB63B2</v>
      </c>
      <c r="V891">
        <v>0</v>
      </c>
      <c r="W891">
        <v>0</v>
      </c>
      <c r="X891">
        <v>6</v>
      </c>
      <c r="Z891">
        <v>0</v>
      </c>
      <c r="AA891">
        <v>9</v>
      </c>
      <c r="AB891">
        <v>3</v>
      </c>
      <c r="AC891">
        <v>0</v>
      </c>
      <c r="AD891">
        <v>10</v>
      </c>
      <c r="AE891">
        <v>0</v>
      </c>
      <c r="AF891">
        <v>0</v>
      </c>
      <c r="AG891">
        <v>2</v>
      </c>
      <c r="AH891">
        <v>0</v>
      </c>
      <c r="AI891" t="s">
        <v>352</v>
      </c>
      <c r="AJ891">
        <v>41.979703999999998</v>
      </c>
      <c r="AK891" t="s">
        <v>815</v>
      </c>
      <c r="AL891">
        <v>-87.893178000000006</v>
      </c>
      <c r="AS891">
        <v>1</v>
      </c>
      <c r="AT891" t="s">
        <v>118</v>
      </c>
      <c r="AU891" t="b">
        <v>1</v>
      </c>
      <c r="AV891">
        <v>50.63</v>
      </c>
      <c r="AW891">
        <v>14.625</v>
      </c>
      <c r="AX891">
        <v>1</v>
      </c>
      <c r="AZ891">
        <v>7205</v>
      </c>
      <c r="BA891">
        <v>1</v>
      </c>
      <c r="BB891" t="str">
        <f t="shared" si="41"/>
        <v xml:space="preserve">KAP400  </v>
      </c>
      <c r="BC891">
        <v>1</v>
      </c>
      <c r="BE891">
        <v>0</v>
      </c>
      <c r="BF891">
        <v>0</v>
      </c>
      <c r="BG891">
        <v>0</v>
      </c>
      <c r="BI891">
        <v>1</v>
      </c>
      <c r="BJ891">
        <v>1</v>
      </c>
      <c r="BK891">
        <v>1</v>
      </c>
      <c r="BL891">
        <v>0</v>
      </c>
      <c r="BO891">
        <v>0</v>
      </c>
      <c r="BP891">
        <v>0</v>
      </c>
      <c r="BW891" t="str">
        <f>"19:18:49.042"</f>
        <v>19:18:49.042</v>
      </c>
      <c r="BX891" t="s">
        <v>119</v>
      </c>
      <c r="BY891" t="s">
        <v>120</v>
      </c>
      <c r="CJ891">
        <v>0</v>
      </c>
      <c r="CK891">
        <v>0</v>
      </c>
      <c r="CL891">
        <v>0</v>
      </c>
      <c r="CM891">
        <v>2</v>
      </c>
      <c r="CN891">
        <v>0</v>
      </c>
      <c r="CO891">
        <v>7</v>
      </c>
      <c r="CP891" t="s">
        <v>121</v>
      </c>
      <c r="CQ891">
        <v>581</v>
      </c>
      <c r="CR891">
        <v>0</v>
      </c>
      <c r="CW891">
        <v>15801278</v>
      </c>
      <c r="CY891">
        <v>0</v>
      </c>
      <c r="CZ891">
        <v>0</v>
      </c>
      <c r="DA891">
        <v>0</v>
      </c>
      <c r="DB891">
        <v>1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</row>
    <row r="892" spans="1:113" x14ac:dyDescent="0.3">
      <c r="A892" t="str">
        <f>"06/16/2022 19:18:50.348"</f>
        <v>06/16/2022 19:18:50.348</v>
      </c>
      <c r="C892" t="str">
        <f t="shared" si="42"/>
        <v>FFBF5BC0</v>
      </c>
      <c r="D892" t="s">
        <v>113</v>
      </c>
      <c r="E892">
        <v>8</v>
      </c>
      <c r="H892">
        <v>206</v>
      </c>
      <c r="I892" t="s">
        <v>114</v>
      </c>
      <c r="J892" t="s">
        <v>115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>"19:18:49.984"</f>
        <v>19:18:49.984</v>
      </c>
      <c r="T892" t="str">
        <f>"19:18:49.984"</f>
        <v>19:18:49.984</v>
      </c>
      <c r="U892" t="str">
        <f t="shared" si="40"/>
        <v>AB63B2</v>
      </c>
      <c r="V892">
        <v>0</v>
      </c>
      <c r="W892">
        <v>0</v>
      </c>
      <c r="X892">
        <v>6</v>
      </c>
      <c r="Z892">
        <v>0</v>
      </c>
      <c r="AA892">
        <v>9</v>
      </c>
      <c r="AB892">
        <v>3</v>
      </c>
      <c r="AC892">
        <v>0</v>
      </c>
      <c r="AD892">
        <v>10</v>
      </c>
      <c r="AE892">
        <v>0</v>
      </c>
      <c r="AF892">
        <v>0</v>
      </c>
      <c r="AG892">
        <v>2</v>
      </c>
      <c r="AH892">
        <v>0</v>
      </c>
      <c r="AI892" t="s">
        <v>351</v>
      </c>
      <c r="AJ892">
        <v>41.979747000000003</v>
      </c>
      <c r="AK892" t="s">
        <v>816</v>
      </c>
      <c r="AL892">
        <v>-87.893113999999997</v>
      </c>
      <c r="AS892">
        <v>1</v>
      </c>
      <c r="AT892" t="s">
        <v>118</v>
      </c>
      <c r="AU892" t="b">
        <v>1</v>
      </c>
      <c r="AV892">
        <v>50.63</v>
      </c>
      <c r="AW892">
        <v>14.625</v>
      </c>
      <c r="AX892">
        <v>1</v>
      </c>
      <c r="AZ892">
        <v>7205</v>
      </c>
      <c r="BA892">
        <v>1</v>
      </c>
      <c r="BB892" t="str">
        <f t="shared" si="41"/>
        <v xml:space="preserve">KAP400  </v>
      </c>
      <c r="BC892">
        <v>1</v>
      </c>
      <c r="BE892">
        <v>0</v>
      </c>
      <c r="BF892">
        <v>0</v>
      </c>
      <c r="BG892">
        <v>0</v>
      </c>
      <c r="BI892">
        <v>1</v>
      </c>
      <c r="BJ892">
        <v>1</v>
      </c>
      <c r="BK892">
        <v>1</v>
      </c>
      <c r="BL892">
        <v>0</v>
      </c>
      <c r="BO892">
        <v>0</v>
      </c>
      <c r="BP892">
        <v>0</v>
      </c>
      <c r="BW892" t="str">
        <f>"19:18:49.989"</f>
        <v>19:18:49.989</v>
      </c>
      <c r="BX892" t="s">
        <v>119</v>
      </c>
      <c r="BY892" t="s">
        <v>120</v>
      </c>
      <c r="CJ892">
        <v>0</v>
      </c>
      <c r="CK892">
        <v>0</v>
      </c>
      <c r="CL892">
        <v>0</v>
      </c>
      <c r="CM892">
        <v>2</v>
      </c>
      <c r="CN892">
        <v>0</v>
      </c>
      <c r="CO892">
        <v>7</v>
      </c>
      <c r="CP892" t="s">
        <v>121</v>
      </c>
      <c r="CQ892">
        <v>582</v>
      </c>
      <c r="CR892">
        <v>0</v>
      </c>
      <c r="CW892">
        <v>6698657</v>
      </c>
      <c r="CY892">
        <v>0</v>
      </c>
      <c r="CZ892">
        <v>0</v>
      </c>
      <c r="DA892">
        <v>0</v>
      </c>
      <c r="DB892">
        <v>1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</row>
    <row r="893" spans="1:113" x14ac:dyDescent="0.3">
      <c r="A893" t="str">
        <f>"06/16/2022 19:18:51.285"</f>
        <v>06/16/2022 19:18:51.285</v>
      </c>
      <c r="C893" t="str">
        <f t="shared" si="42"/>
        <v>FFBF5BC0</v>
      </c>
      <c r="D893" t="s">
        <v>113</v>
      </c>
      <c r="E893">
        <v>8</v>
      </c>
      <c r="H893">
        <v>206</v>
      </c>
      <c r="I893" t="s">
        <v>114</v>
      </c>
      <c r="J893" t="s">
        <v>115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>"19:18:51.078"</f>
        <v>19:18:51.078</v>
      </c>
      <c r="T893" t="str">
        <f>"19:18:51.078"</f>
        <v>19:18:51.078</v>
      </c>
      <c r="U893" t="str">
        <f t="shared" si="40"/>
        <v>AB63B2</v>
      </c>
      <c r="V893">
        <v>0</v>
      </c>
      <c r="W893">
        <v>0</v>
      </c>
      <c r="X893">
        <v>6</v>
      </c>
      <c r="Z893">
        <v>0</v>
      </c>
      <c r="AA893">
        <v>9</v>
      </c>
      <c r="AB893">
        <v>3</v>
      </c>
      <c r="AC893">
        <v>0</v>
      </c>
      <c r="AD893">
        <v>10</v>
      </c>
      <c r="AE893">
        <v>0</v>
      </c>
      <c r="AF893">
        <v>0</v>
      </c>
      <c r="AG893">
        <v>2</v>
      </c>
      <c r="AH893">
        <v>0</v>
      </c>
      <c r="AI893" t="s">
        <v>349</v>
      </c>
      <c r="AJ893">
        <v>41.979790000000001</v>
      </c>
      <c r="AK893" t="s">
        <v>817</v>
      </c>
      <c r="AL893">
        <v>-87.893050000000002</v>
      </c>
      <c r="AS893">
        <v>1</v>
      </c>
      <c r="AT893" t="s">
        <v>118</v>
      </c>
      <c r="AU893" t="b">
        <v>1</v>
      </c>
      <c r="AV893">
        <v>50.63</v>
      </c>
      <c r="AW893">
        <v>14.625</v>
      </c>
      <c r="AX893">
        <v>1</v>
      </c>
      <c r="AZ893">
        <v>7205</v>
      </c>
      <c r="BA893">
        <v>1</v>
      </c>
      <c r="BB893" t="str">
        <f t="shared" si="41"/>
        <v xml:space="preserve">KAP400  </v>
      </c>
      <c r="BC893">
        <v>1</v>
      </c>
      <c r="BE893">
        <v>0</v>
      </c>
      <c r="BF893">
        <v>0</v>
      </c>
      <c r="BG893">
        <v>0</v>
      </c>
      <c r="BI893">
        <v>1</v>
      </c>
      <c r="BJ893">
        <v>1</v>
      </c>
      <c r="BK893">
        <v>1</v>
      </c>
      <c r="BL893">
        <v>0</v>
      </c>
      <c r="BO893">
        <v>0</v>
      </c>
      <c r="BP893">
        <v>0</v>
      </c>
      <c r="BW893" t="str">
        <f>"19:18:51.085"</f>
        <v>19:18:51.085</v>
      </c>
      <c r="BX893" t="s">
        <v>119</v>
      </c>
      <c r="BY893" t="s">
        <v>120</v>
      </c>
      <c r="CJ893">
        <v>0</v>
      </c>
      <c r="CK893">
        <v>0</v>
      </c>
      <c r="CL893">
        <v>0</v>
      </c>
      <c r="CM893">
        <v>2</v>
      </c>
      <c r="CN893">
        <v>0</v>
      </c>
      <c r="CO893">
        <v>7</v>
      </c>
      <c r="CP893" t="s">
        <v>121</v>
      </c>
      <c r="CQ893">
        <v>581</v>
      </c>
      <c r="CR893">
        <v>0</v>
      </c>
      <c r="CW893">
        <v>15804139</v>
      </c>
      <c r="CY893">
        <v>0</v>
      </c>
      <c r="CZ893">
        <v>0</v>
      </c>
      <c r="DA893">
        <v>0</v>
      </c>
      <c r="DB893">
        <v>1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</row>
    <row r="894" spans="1:113" x14ac:dyDescent="0.3">
      <c r="A894" t="str">
        <f>"06/16/2022 19:18:52.441"</f>
        <v>06/16/2022 19:18:52.441</v>
      </c>
      <c r="C894" t="str">
        <f t="shared" si="42"/>
        <v>FFBF5BC0</v>
      </c>
      <c r="D894" t="s">
        <v>113</v>
      </c>
      <c r="E894">
        <v>8</v>
      </c>
      <c r="H894">
        <v>206</v>
      </c>
      <c r="I894" t="s">
        <v>114</v>
      </c>
      <c r="J894" t="s">
        <v>115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>"19:18:52.195"</f>
        <v>19:18:52.195</v>
      </c>
      <c r="T894" t="str">
        <f>"19:18:52.195"</f>
        <v>19:18:52.195</v>
      </c>
      <c r="U894" t="str">
        <f t="shared" si="40"/>
        <v>AB63B2</v>
      </c>
      <c r="V894">
        <v>0</v>
      </c>
      <c r="W894">
        <v>0</v>
      </c>
      <c r="X894">
        <v>6</v>
      </c>
      <c r="Z894">
        <v>0</v>
      </c>
      <c r="AA894">
        <v>9</v>
      </c>
      <c r="AB894">
        <v>3</v>
      </c>
      <c r="AC894">
        <v>0</v>
      </c>
      <c r="AD894">
        <v>10</v>
      </c>
      <c r="AE894">
        <v>0</v>
      </c>
      <c r="AF894">
        <v>0</v>
      </c>
      <c r="AG894">
        <v>2</v>
      </c>
      <c r="AH894">
        <v>0</v>
      </c>
      <c r="AI894" t="s">
        <v>347</v>
      </c>
      <c r="AJ894">
        <v>41.979832999999999</v>
      </c>
      <c r="AK894" t="s">
        <v>818</v>
      </c>
      <c r="AL894">
        <v>-87.892964000000006</v>
      </c>
      <c r="AS894">
        <v>1</v>
      </c>
      <c r="AT894" t="s">
        <v>118</v>
      </c>
      <c r="AU894" t="b">
        <v>1</v>
      </c>
      <c r="AV894">
        <v>50.63</v>
      </c>
      <c r="AW894">
        <v>14.125</v>
      </c>
      <c r="AX894">
        <v>1</v>
      </c>
      <c r="AZ894">
        <v>7205</v>
      </c>
      <c r="BA894">
        <v>1</v>
      </c>
      <c r="BB894" t="str">
        <f t="shared" si="41"/>
        <v xml:space="preserve">KAP400  </v>
      </c>
      <c r="BC894">
        <v>1</v>
      </c>
      <c r="BE894">
        <v>0</v>
      </c>
      <c r="BF894">
        <v>0</v>
      </c>
      <c r="BG894">
        <v>0</v>
      </c>
      <c r="BI894">
        <v>1</v>
      </c>
      <c r="BJ894">
        <v>1</v>
      </c>
      <c r="BK894">
        <v>1</v>
      </c>
      <c r="BL894">
        <v>0</v>
      </c>
      <c r="BO894">
        <v>0</v>
      </c>
      <c r="BP894">
        <v>0</v>
      </c>
      <c r="BW894" t="str">
        <f>"19:18:52.198"</f>
        <v>19:18:52.198</v>
      </c>
      <c r="BX894" t="s">
        <v>119</v>
      </c>
      <c r="BY894" t="s">
        <v>120</v>
      </c>
      <c r="CJ894">
        <v>0</v>
      </c>
      <c r="CK894">
        <v>0</v>
      </c>
      <c r="CL894">
        <v>0</v>
      </c>
      <c r="CM894">
        <v>2</v>
      </c>
      <c r="CN894">
        <v>0</v>
      </c>
      <c r="CO894">
        <v>7</v>
      </c>
      <c r="CP894" t="s">
        <v>121</v>
      </c>
      <c r="CQ894">
        <v>582</v>
      </c>
      <c r="CR894">
        <v>0</v>
      </c>
      <c r="CW894">
        <v>6701357</v>
      </c>
      <c r="CY894">
        <v>0</v>
      </c>
      <c r="CZ894">
        <v>0</v>
      </c>
      <c r="DA894">
        <v>0</v>
      </c>
      <c r="DB894">
        <v>1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</row>
    <row r="895" spans="1:113" x14ac:dyDescent="0.3">
      <c r="A895" t="str">
        <f>"06/16/2022 19:18:53.567"</f>
        <v>06/16/2022 19:18:53.567</v>
      </c>
      <c r="C895" t="str">
        <f t="shared" si="42"/>
        <v>FFBF5BC0</v>
      </c>
      <c r="D895" t="s">
        <v>113</v>
      </c>
      <c r="E895">
        <v>8</v>
      </c>
      <c r="H895">
        <v>206</v>
      </c>
      <c r="I895" t="s">
        <v>114</v>
      </c>
      <c r="J895" t="s">
        <v>115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>"19:18:53.344"</f>
        <v>19:18:53.344</v>
      </c>
      <c r="T895" t="str">
        <f>"19:18:53.344"</f>
        <v>19:18:53.344</v>
      </c>
      <c r="U895" t="str">
        <f t="shared" si="40"/>
        <v>AB63B2</v>
      </c>
      <c r="V895">
        <v>0</v>
      </c>
      <c r="W895">
        <v>0</v>
      </c>
      <c r="X895">
        <v>6</v>
      </c>
      <c r="Z895">
        <v>0</v>
      </c>
      <c r="AA895">
        <v>9</v>
      </c>
      <c r="AB895">
        <v>3</v>
      </c>
      <c r="AC895">
        <v>0</v>
      </c>
      <c r="AD895">
        <v>10</v>
      </c>
      <c r="AE895">
        <v>0</v>
      </c>
      <c r="AF895">
        <v>0</v>
      </c>
      <c r="AG895">
        <v>2</v>
      </c>
      <c r="AH895">
        <v>0</v>
      </c>
      <c r="AI895" t="s">
        <v>345</v>
      </c>
      <c r="AJ895">
        <v>41.979875999999997</v>
      </c>
      <c r="AK895" t="s">
        <v>819</v>
      </c>
      <c r="AL895">
        <v>-87.892899999999997</v>
      </c>
      <c r="AS895">
        <v>1</v>
      </c>
      <c r="AT895" t="s">
        <v>118</v>
      </c>
      <c r="AU895" t="b">
        <v>1</v>
      </c>
      <c r="AV895">
        <v>47.81</v>
      </c>
      <c r="AW895">
        <v>14.125</v>
      </c>
      <c r="AX895">
        <v>1</v>
      </c>
      <c r="AZ895">
        <v>7205</v>
      </c>
      <c r="BA895">
        <v>1</v>
      </c>
      <c r="BB895" t="str">
        <f t="shared" si="41"/>
        <v xml:space="preserve">KAP400  </v>
      </c>
      <c r="BC895">
        <v>1</v>
      </c>
      <c r="BE895">
        <v>0</v>
      </c>
      <c r="BF895">
        <v>0</v>
      </c>
      <c r="BG895">
        <v>0</v>
      </c>
      <c r="BI895">
        <v>1</v>
      </c>
      <c r="BJ895">
        <v>1</v>
      </c>
      <c r="BK895">
        <v>1</v>
      </c>
      <c r="BL895">
        <v>0</v>
      </c>
      <c r="BO895">
        <v>0</v>
      </c>
      <c r="BP895">
        <v>0</v>
      </c>
      <c r="BW895" t="str">
        <f>"19:18:53.348"</f>
        <v>19:18:53.348</v>
      </c>
      <c r="BX895" t="s">
        <v>119</v>
      </c>
      <c r="BY895" t="s">
        <v>120</v>
      </c>
      <c r="CJ895">
        <v>0</v>
      </c>
      <c r="CK895">
        <v>0</v>
      </c>
      <c r="CL895">
        <v>0</v>
      </c>
      <c r="CM895">
        <v>2</v>
      </c>
      <c r="CN895">
        <v>0</v>
      </c>
      <c r="CO895">
        <v>7</v>
      </c>
      <c r="CP895" t="s">
        <v>121</v>
      </c>
      <c r="CQ895">
        <v>582</v>
      </c>
      <c r="CR895">
        <v>0</v>
      </c>
      <c r="CW895">
        <v>6702692</v>
      </c>
      <c r="CY895">
        <v>0</v>
      </c>
      <c r="CZ895">
        <v>0</v>
      </c>
      <c r="DA895">
        <v>0</v>
      </c>
      <c r="DB895">
        <v>1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</row>
    <row r="896" spans="1:113" x14ac:dyDescent="0.3">
      <c r="A896" t="str">
        <f>"06/16/2022 19:18:54.645"</f>
        <v>06/16/2022 19:18:54.645</v>
      </c>
      <c r="C896" t="str">
        <f t="shared" si="42"/>
        <v>FFBF5BC0</v>
      </c>
      <c r="D896" t="s">
        <v>113</v>
      </c>
      <c r="E896">
        <v>8</v>
      </c>
      <c r="H896">
        <v>206</v>
      </c>
      <c r="I896" t="s">
        <v>114</v>
      </c>
      <c r="J896" t="s">
        <v>115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>"19:18:54.359"</f>
        <v>19:18:54.359</v>
      </c>
      <c r="T896" t="str">
        <f>"19:18:54.359"</f>
        <v>19:18:54.359</v>
      </c>
      <c r="U896" t="str">
        <f t="shared" si="40"/>
        <v>AB63B2</v>
      </c>
      <c r="V896">
        <v>0</v>
      </c>
      <c r="W896">
        <v>0</v>
      </c>
      <c r="X896">
        <v>6</v>
      </c>
      <c r="Z896">
        <v>0</v>
      </c>
      <c r="AA896">
        <v>9</v>
      </c>
      <c r="AB896">
        <v>3</v>
      </c>
      <c r="AC896">
        <v>0</v>
      </c>
      <c r="AD896">
        <v>10</v>
      </c>
      <c r="AE896">
        <v>0</v>
      </c>
      <c r="AF896">
        <v>0</v>
      </c>
      <c r="AG896">
        <v>2</v>
      </c>
      <c r="AH896">
        <v>0</v>
      </c>
      <c r="AI896" t="s">
        <v>343</v>
      </c>
      <c r="AJ896">
        <v>41.979917999999998</v>
      </c>
      <c r="AK896" t="s">
        <v>820</v>
      </c>
      <c r="AL896">
        <v>-87.892835000000005</v>
      </c>
      <c r="AS896">
        <v>1</v>
      </c>
      <c r="AT896" t="s">
        <v>118</v>
      </c>
      <c r="AU896" t="b">
        <v>1</v>
      </c>
      <c r="AV896">
        <v>50.63</v>
      </c>
      <c r="AW896">
        <v>14.125</v>
      </c>
      <c r="AX896">
        <v>1</v>
      </c>
      <c r="AZ896">
        <v>7205</v>
      </c>
      <c r="BA896">
        <v>1</v>
      </c>
      <c r="BB896" t="str">
        <f t="shared" si="41"/>
        <v xml:space="preserve">KAP400  </v>
      </c>
      <c r="BC896">
        <v>1</v>
      </c>
      <c r="BE896">
        <v>0</v>
      </c>
      <c r="BF896">
        <v>0</v>
      </c>
      <c r="BG896">
        <v>0</v>
      </c>
      <c r="BI896">
        <v>1</v>
      </c>
      <c r="BJ896">
        <v>1</v>
      </c>
      <c r="BK896">
        <v>1</v>
      </c>
      <c r="BL896">
        <v>0</v>
      </c>
      <c r="BO896">
        <v>0</v>
      </c>
      <c r="BP896">
        <v>0</v>
      </c>
      <c r="BW896" t="str">
        <f>"19:18:54.364"</f>
        <v>19:18:54.364</v>
      </c>
      <c r="BX896" t="s">
        <v>119</v>
      </c>
      <c r="BY896" t="s">
        <v>120</v>
      </c>
      <c r="CJ896">
        <v>0</v>
      </c>
      <c r="CK896">
        <v>0</v>
      </c>
      <c r="CL896">
        <v>0</v>
      </c>
      <c r="CM896">
        <v>2</v>
      </c>
      <c r="CN896">
        <v>0</v>
      </c>
      <c r="CO896">
        <v>7</v>
      </c>
      <c r="CP896" t="s">
        <v>121</v>
      </c>
      <c r="CQ896">
        <v>582</v>
      </c>
      <c r="CR896">
        <v>0</v>
      </c>
      <c r="CW896">
        <v>6704050</v>
      </c>
      <c r="CY896">
        <v>0</v>
      </c>
      <c r="CZ896">
        <v>0</v>
      </c>
      <c r="DA896">
        <v>0</v>
      </c>
      <c r="DB896">
        <v>1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</row>
    <row r="897" spans="1:113" x14ac:dyDescent="0.3">
      <c r="A897" t="str">
        <f>"06/16/2022 19:18:55.707"</f>
        <v>06/16/2022 19:18:55.707</v>
      </c>
      <c r="C897" t="str">
        <f t="shared" si="42"/>
        <v>FFBF5BC0</v>
      </c>
      <c r="D897" t="s">
        <v>113</v>
      </c>
      <c r="E897">
        <v>8</v>
      </c>
      <c r="H897">
        <v>206</v>
      </c>
      <c r="I897" t="s">
        <v>114</v>
      </c>
      <c r="J897" t="s">
        <v>115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>"19:18:55.430"</f>
        <v>19:18:55.430</v>
      </c>
      <c r="T897" t="str">
        <f>"19:18:55.430"</f>
        <v>19:18:55.430</v>
      </c>
      <c r="U897" t="str">
        <f t="shared" si="40"/>
        <v>AB63B2</v>
      </c>
      <c r="V897">
        <v>0</v>
      </c>
      <c r="W897">
        <v>0</v>
      </c>
      <c r="X897">
        <v>6</v>
      </c>
      <c r="Z897">
        <v>0</v>
      </c>
      <c r="AA897">
        <v>9</v>
      </c>
      <c r="AB897">
        <v>3</v>
      </c>
      <c r="AC897">
        <v>0</v>
      </c>
      <c r="AD897">
        <v>10</v>
      </c>
      <c r="AE897">
        <v>0</v>
      </c>
      <c r="AF897">
        <v>0</v>
      </c>
      <c r="AG897">
        <v>2</v>
      </c>
      <c r="AH897">
        <v>0</v>
      </c>
      <c r="AI897" t="s">
        <v>341</v>
      </c>
      <c r="AJ897">
        <v>41.979961000000003</v>
      </c>
      <c r="AK897" t="s">
        <v>821</v>
      </c>
      <c r="AL897">
        <v>-87.892770999999996</v>
      </c>
      <c r="AS897">
        <v>1</v>
      </c>
      <c r="AT897" t="s">
        <v>118</v>
      </c>
      <c r="AU897" t="b">
        <v>1</v>
      </c>
      <c r="AV897">
        <v>50.63</v>
      </c>
      <c r="AW897">
        <v>13.625</v>
      </c>
      <c r="AX897">
        <v>1</v>
      </c>
      <c r="AZ897">
        <v>7205</v>
      </c>
      <c r="BA897">
        <v>1</v>
      </c>
      <c r="BB897" t="str">
        <f t="shared" si="41"/>
        <v xml:space="preserve">KAP400  </v>
      </c>
      <c r="BC897">
        <v>1</v>
      </c>
      <c r="BE897">
        <v>0</v>
      </c>
      <c r="BF897">
        <v>0</v>
      </c>
      <c r="BG897">
        <v>0</v>
      </c>
      <c r="BI897">
        <v>1</v>
      </c>
      <c r="BJ897">
        <v>1</v>
      </c>
      <c r="BK897">
        <v>1</v>
      </c>
      <c r="BL897">
        <v>0</v>
      </c>
      <c r="BO897">
        <v>0</v>
      </c>
      <c r="BP897">
        <v>0</v>
      </c>
      <c r="BW897" t="str">
        <f>"19:18:55.433"</f>
        <v>19:18:55.433</v>
      </c>
      <c r="BX897" t="s">
        <v>119</v>
      </c>
      <c r="BY897" t="s">
        <v>120</v>
      </c>
      <c r="CJ897">
        <v>0</v>
      </c>
      <c r="CK897">
        <v>0</v>
      </c>
      <c r="CL897">
        <v>0</v>
      </c>
      <c r="CM897">
        <v>2</v>
      </c>
      <c r="CN897">
        <v>0</v>
      </c>
      <c r="CO897">
        <v>7</v>
      </c>
      <c r="CP897" t="s">
        <v>121</v>
      </c>
      <c r="CQ897">
        <v>582</v>
      </c>
      <c r="CR897">
        <v>0</v>
      </c>
      <c r="CW897">
        <v>6705355</v>
      </c>
      <c r="CY897">
        <v>0</v>
      </c>
      <c r="CZ897">
        <v>0</v>
      </c>
      <c r="DA897">
        <v>0</v>
      </c>
      <c r="DB897">
        <v>1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</row>
    <row r="898" spans="1:113" x14ac:dyDescent="0.3">
      <c r="A898" t="str">
        <f>"06/16/2022 19:18:56.629"</f>
        <v>06/16/2022 19:18:56.629</v>
      </c>
      <c r="C898" t="str">
        <f t="shared" si="42"/>
        <v>FFBF5BC0</v>
      </c>
      <c r="D898" t="s">
        <v>113</v>
      </c>
      <c r="E898">
        <v>8</v>
      </c>
      <c r="H898">
        <v>206</v>
      </c>
      <c r="I898" t="s">
        <v>114</v>
      </c>
      <c r="J898" t="s">
        <v>115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>"19:18:56.367"</f>
        <v>19:18:56.367</v>
      </c>
      <c r="T898" t="str">
        <f>"19:18:56.367"</f>
        <v>19:18:56.367</v>
      </c>
      <c r="U898" t="str">
        <f t="shared" ref="U898:U961" si="43">"AB63B2"</f>
        <v>AB63B2</v>
      </c>
      <c r="V898">
        <v>0</v>
      </c>
      <c r="W898">
        <v>0</v>
      </c>
      <c r="X898">
        <v>6</v>
      </c>
      <c r="Z898">
        <v>0</v>
      </c>
      <c r="AA898">
        <v>9</v>
      </c>
      <c r="AB898">
        <v>3</v>
      </c>
      <c r="AC898">
        <v>0</v>
      </c>
      <c r="AD898">
        <v>10</v>
      </c>
      <c r="AE898">
        <v>0</v>
      </c>
      <c r="AF898">
        <v>0</v>
      </c>
      <c r="AG898">
        <v>2</v>
      </c>
      <c r="AH898">
        <v>0</v>
      </c>
      <c r="AI898" t="s">
        <v>822</v>
      </c>
      <c r="AJ898">
        <v>41.980004000000001</v>
      </c>
      <c r="AK898" t="s">
        <v>823</v>
      </c>
      <c r="AL898">
        <v>-87.892706000000004</v>
      </c>
      <c r="AS898">
        <v>1</v>
      </c>
      <c r="AT898" t="s">
        <v>118</v>
      </c>
      <c r="AU898" t="b">
        <v>1</v>
      </c>
      <c r="AV898">
        <v>50.63</v>
      </c>
      <c r="AW898">
        <v>13.125</v>
      </c>
      <c r="AX898">
        <v>1</v>
      </c>
      <c r="AZ898">
        <v>7205</v>
      </c>
      <c r="BA898">
        <v>1</v>
      </c>
      <c r="BB898" t="str">
        <f t="shared" ref="BB898:BB961" si="44">"KAP400  "</f>
        <v xml:space="preserve">KAP400  </v>
      </c>
      <c r="BC898">
        <v>1</v>
      </c>
      <c r="BE898">
        <v>0</v>
      </c>
      <c r="BF898">
        <v>0</v>
      </c>
      <c r="BG898">
        <v>0</v>
      </c>
      <c r="BI898">
        <v>1</v>
      </c>
      <c r="BJ898">
        <v>1</v>
      </c>
      <c r="BK898">
        <v>1</v>
      </c>
      <c r="BL898">
        <v>0</v>
      </c>
      <c r="BO898">
        <v>0</v>
      </c>
      <c r="BP898">
        <v>0</v>
      </c>
      <c r="BW898" t="str">
        <f>"19:18:56.374"</f>
        <v>19:18:56.374</v>
      </c>
      <c r="BX898" t="s">
        <v>119</v>
      </c>
      <c r="BY898" t="s">
        <v>120</v>
      </c>
      <c r="CJ898">
        <v>0</v>
      </c>
      <c r="CK898">
        <v>0</v>
      </c>
      <c r="CL898">
        <v>0</v>
      </c>
      <c r="CM898">
        <v>2</v>
      </c>
      <c r="CN898">
        <v>0</v>
      </c>
      <c r="CO898">
        <v>7</v>
      </c>
      <c r="CP898" t="s">
        <v>121</v>
      </c>
      <c r="CQ898">
        <v>581</v>
      </c>
      <c r="CR898">
        <v>0</v>
      </c>
      <c r="CW898">
        <v>15811355</v>
      </c>
      <c r="CY898">
        <v>0</v>
      </c>
      <c r="CZ898">
        <v>0</v>
      </c>
      <c r="DA898">
        <v>0</v>
      </c>
      <c r="DB898">
        <v>1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</row>
    <row r="899" spans="1:113" x14ac:dyDescent="0.3">
      <c r="A899" t="str">
        <f>"06/16/2022 19:18:57.503"</f>
        <v>06/16/2022 19:18:57.503</v>
      </c>
      <c r="C899" t="str">
        <f t="shared" si="42"/>
        <v>FFBF5BC0</v>
      </c>
      <c r="D899" t="s">
        <v>113</v>
      </c>
      <c r="E899">
        <v>8</v>
      </c>
      <c r="H899">
        <v>206</v>
      </c>
      <c r="I899" t="s">
        <v>114</v>
      </c>
      <c r="J899" t="s">
        <v>115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>"19:18:57.203"</f>
        <v>19:18:57.203</v>
      </c>
      <c r="T899" t="str">
        <f>"19:18:57.203"</f>
        <v>19:18:57.203</v>
      </c>
      <c r="U899" t="str">
        <f t="shared" si="43"/>
        <v>AB63B2</v>
      </c>
      <c r="V899">
        <v>0</v>
      </c>
      <c r="W899">
        <v>0</v>
      </c>
      <c r="X899">
        <v>6</v>
      </c>
      <c r="Z899">
        <v>0</v>
      </c>
      <c r="AA899">
        <v>9</v>
      </c>
      <c r="AB899">
        <v>3</v>
      </c>
      <c r="AC899">
        <v>0</v>
      </c>
      <c r="AD899">
        <v>10</v>
      </c>
      <c r="AE899">
        <v>0</v>
      </c>
      <c r="AF899">
        <v>0</v>
      </c>
      <c r="AG899">
        <v>2</v>
      </c>
      <c r="AH899">
        <v>0</v>
      </c>
      <c r="AI899" t="s">
        <v>824</v>
      </c>
      <c r="AJ899">
        <v>41.980046999999999</v>
      </c>
      <c r="AK899" t="s">
        <v>825</v>
      </c>
      <c r="AL899">
        <v>-87.892662999999999</v>
      </c>
      <c r="AS899">
        <v>1</v>
      </c>
      <c r="AT899" t="s">
        <v>118</v>
      </c>
      <c r="AU899" t="b">
        <v>1</v>
      </c>
      <c r="AV899">
        <v>50.63</v>
      </c>
      <c r="AW899">
        <v>13.125</v>
      </c>
      <c r="AX899">
        <v>1</v>
      </c>
      <c r="AZ899">
        <v>7205</v>
      </c>
      <c r="BA899">
        <v>1</v>
      </c>
      <c r="BB899" t="str">
        <f t="shared" si="44"/>
        <v xml:space="preserve">KAP400  </v>
      </c>
      <c r="BC899">
        <v>1</v>
      </c>
      <c r="BE899">
        <v>0</v>
      </c>
      <c r="BF899">
        <v>0</v>
      </c>
      <c r="BG899">
        <v>0</v>
      </c>
      <c r="BI899">
        <v>1</v>
      </c>
      <c r="BJ899">
        <v>1</v>
      </c>
      <c r="BK899">
        <v>1</v>
      </c>
      <c r="BL899">
        <v>0</v>
      </c>
      <c r="BO899">
        <v>0</v>
      </c>
      <c r="BP899">
        <v>0</v>
      </c>
      <c r="BW899" t="str">
        <f>"19:18:57.206"</f>
        <v>19:18:57.206</v>
      </c>
      <c r="BX899" t="s">
        <v>119</v>
      </c>
      <c r="BY899" t="s">
        <v>120</v>
      </c>
      <c r="CJ899">
        <v>0</v>
      </c>
      <c r="CK899">
        <v>0</v>
      </c>
      <c r="CL899">
        <v>0</v>
      </c>
      <c r="CM899">
        <v>2</v>
      </c>
      <c r="CN899">
        <v>0</v>
      </c>
      <c r="CO899">
        <v>7</v>
      </c>
      <c r="CP899" t="s">
        <v>121</v>
      </c>
      <c r="CQ899">
        <v>582</v>
      </c>
      <c r="CR899">
        <v>0</v>
      </c>
      <c r="CW899">
        <v>6707518</v>
      </c>
      <c r="CY899">
        <v>0</v>
      </c>
      <c r="CZ899">
        <v>0</v>
      </c>
      <c r="DA899">
        <v>0</v>
      </c>
      <c r="DB899">
        <v>1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</row>
    <row r="900" spans="1:113" x14ac:dyDescent="0.3">
      <c r="A900" t="str">
        <f>"06/16/2022 19:18:58.316"</f>
        <v>06/16/2022 19:18:58.316</v>
      </c>
      <c r="C900" t="str">
        <f t="shared" si="42"/>
        <v>FFBF5BC0</v>
      </c>
      <c r="D900" t="s">
        <v>113</v>
      </c>
      <c r="E900">
        <v>8</v>
      </c>
      <c r="H900">
        <v>206</v>
      </c>
      <c r="I900" t="s">
        <v>114</v>
      </c>
      <c r="J900" t="s">
        <v>115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>"19:18:58.141"</f>
        <v>19:18:58.141</v>
      </c>
      <c r="T900" t="str">
        <f>"19:18:58.141"</f>
        <v>19:18:58.141</v>
      </c>
      <c r="U900" t="str">
        <f t="shared" si="43"/>
        <v>AB63B2</v>
      </c>
      <c r="V900">
        <v>0</v>
      </c>
      <c r="W900">
        <v>0</v>
      </c>
      <c r="X900">
        <v>6</v>
      </c>
      <c r="Z900">
        <v>0</v>
      </c>
      <c r="AA900">
        <v>9</v>
      </c>
      <c r="AB900">
        <v>3</v>
      </c>
      <c r="AC900">
        <v>0</v>
      </c>
      <c r="AD900">
        <v>10</v>
      </c>
      <c r="AE900">
        <v>0</v>
      </c>
      <c r="AF900">
        <v>0</v>
      </c>
      <c r="AG900">
        <v>2</v>
      </c>
      <c r="AH900">
        <v>0</v>
      </c>
      <c r="AI900" t="s">
        <v>337</v>
      </c>
      <c r="AJ900">
        <v>41.980069</v>
      </c>
      <c r="AK900" t="s">
        <v>826</v>
      </c>
      <c r="AL900">
        <v>-87.892599000000004</v>
      </c>
      <c r="AS900">
        <v>1</v>
      </c>
      <c r="AT900" t="s">
        <v>118</v>
      </c>
      <c r="AU900" t="b">
        <v>1</v>
      </c>
      <c r="AV900">
        <v>50.63</v>
      </c>
      <c r="AW900">
        <v>13.625</v>
      </c>
      <c r="AX900">
        <v>1</v>
      </c>
      <c r="AZ900">
        <v>7205</v>
      </c>
      <c r="BA900">
        <v>1</v>
      </c>
      <c r="BB900" t="str">
        <f t="shared" si="44"/>
        <v xml:space="preserve">KAP400  </v>
      </c>
      <c r="BC900">
        <v>1</v>
      </c>
      <c r="BE900">
        <v>0</v>
      </c>
      <c r="BF900">
        <v>0</v>
      </c>
      <c r="BG900">
        <v>0</v>
      </c>
      <c r="BI900">
        <v>1</v>
      </c>
      <c r="BJ900">
        <v>1</v>
      </c>
      <c r="BK900">
        <v>1</v>
      </c>
      <c r="BL900">
        <v>0</v>
      </c>
      <c r="BO900">
        <v>0</v>
      </c>
      <c r="BP900">
        <v>0</v>
      </c>
      <c r="BW900" t="str">
        <f>"19:18:58.145"</f>
        <v>19:18:58.145</v>
      </c>
      <c r="BX900" t="s">
        <v>119</v>
      </c>
      <c r="BY900" t="s">
        <v>120</v>
      </c>
      <c r="CJ900">
        <v>0</v>
      </c>
      <c r="CK900">
        <v>0</v>
      </c>
      <c r="CL900">
        <v>0</v>
      </c>
      <c r="CM900">
        <v>2</v>
      </c>
      <c r="CN900">
        <v>0</v>
      </c>
      <c r="CO900">
        <v>7</v>
      </c>
      <c r="CP900" t="s">
        <v>121</v>
      </c>
      <c r="CQ900">
        <v>581</v>
      </c>
      <c r="CR900">
        <v>0</v>
      </c>
      <c r="CW900">
        <v>15813747</v>
      </c>
      <c r="CY900">
        <v>0</v>
      </c>
      <c r="CZ900">
        <v>0</v>
      </c>
      <c r="DA900">
        <v>0</v>
      </c>
      <c r="DB900">
        <v>1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</row>
    <row r="901" spans="1:113" x14ac:dyDescent="0.3">
      <c r="A901" t="str">
        <f>"06/16/2022 19:18:59.535"</f>
        <v>06/16/2022 19:18:59.535</v>
      </c>
      <c r="C901" t="str">
        <f t="shared" si="42"/>
        <v>FFBF5BC0</v>
      </c>
      <c r="D901" t="s">
        <v>113</v>
      </c>
      <c r="E901">
        <v>8</v>
      </c>
      <c r="H901">
        <v>206</v>
      </c>
      <c r="I901" t="s">
        <v>114</v>
      </c>
      <c r="J901" t="s">
        <v>115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>"19:18:59.273"</f>
        <v>19:18:59.273</v>
      </c>
      <c r="T901" t="str">
        <f>"19:18:59.273"</f>
        <v>19:18:59.273</v>
      </c>
      <c r="U901" t="str">
        <f t="shared" si="43"/>
        <v>AB63B2</v>
      </c>
      <c r="V901">
        <v>0</v>
      </c>
      <c r="W901">
        <v>0</v>
      </c>
      <c r="X901">
        <v>6</v>
      </c>
      <c r="Z901">
        <v>0</v>
      </c>
      <c r="AA901">
        <v>9</v>
      </c>
      <c r="AB901">
        <v>3</v>
      </c>
      <c r="AC901">
        <v>0</v>
      </c>
      <c r="AD901">
        <v>10</v>
      </c>
      <c r="AE901">
        <v>0</v>
      </c>
      <c r="AF901">
        <v>0</v>
      </c>
      <c r="AG901">
        <v>2</v>
      </c>
      <c r="AH901">
        <v>0</v>
      </c>
      <c r="AI901" t="s">
        <v>336</v>
      </c>
      <c r="AJ901">
        <v>41.980111999999998</v>
      </c>
      <c r="AK901" t="s">
        <v>827</v>
      </c>
      <c r="AL901">
        <v>-87.892534999999995</v>
      </c>
      <c r="AS901">
        <v>1</v>
      </c>
      <c r="AT901" t="s">
        <v>118</v>
      </c>
      <c r="AU901" t="b">
        <v>1</v>
      </c>
      <c r="AV901">
        <v>50.63</v>
      </c>
      <c r="AW901">
        <v>13.625</v>
      </c>
      <c r="AX901">
        <v>1</v>
      </c>
      <c r="AZ901">
        <v>7205</v>
      </c>
      <c r="BA901">
        <v>1</v>
      </c>
      <c r="BB901" t="str">
        <f t="shared" si="44"/>
        <v xml:space="preserve">KAP400  </v>
      </c>
      <c r="BC901">
        <v>1</v>
      </c>
      <c r="BE901">
        <v>0</v>
      </c>
      <c r="BF901">
        <v>0</v>
      </c>
      <c r="BG901">
        <v>0</v>
      </c>
      <c r="BI901">
        <v>1</v>
      </c>
      <c r="BJ901">
        <v>1</v>
      </c>
      <c r="BK901">
        <v>1</v>
      </c>
      <c r="BL901">
        <v>0</v>
      </c>
      <c r="BO901">
        <v>0</v>
      </c>
      <c r="BP901">
        <v>0</v>
      </c>
      <c r="BW901" t="str">
        <f>"19:18:59.276"</f>
        <v>19:18:59.276</v>
      </c>
      <c r="BX901" t="s">
        <v>119</v>
      </c>
      <c r="BY901" t="s">
        <v>120</v>
      </c>
      <c r="CJ901">
        <v>0</v>
      </c>
      <c r="CK901">
        <v>0</v>
      </c>
      <c r="CL901">
        <v>0</v>
      </c>
      <c r="CM901">
        <v>2</v>
      </c>
      <c r="CN901">
        <v>0</v>
      </c>
      <c r="CO901">
        <v>7</v>
      </c>
      <c r="CP901" t="s">
        <v>121</v>
      </c>
      <c r="CQ901">
        <v>582</v>
      </c>
      <c r="CR901">
        <v>0</v>
      </c>
      <c r="CW901">
        <v>6710187</v>
      </c>
      <c r="CY901">
        <v>0</v>
      </c>
      <c r="CZ901">
        <v>0</v>
      </c>
      <c r="DA901">
        <v>0</v>
      </c>
      <c r="DB901">
        <v>1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</row>
    <row r="902" spans="1:113" x14ac:dyDescent="0.3">
      <c r="A902" t="str">
        <f>"06/16/2022 19:19:00.628"</f>
        <v>06/16/2022 19:19:00.628</v>
      </c>
      <c r="C902" t="str">
        <f t="shared" si="42"/>
        <v>FFBF5BC0</v>
      </c>
      <c r="D902" t="s">
        <v>113</v>
      </c>
      <c r="E902">
        <v>8</v>
      </c>
      <c r="H902">
        <v>206</v>
      </c>
      <c r="I902" t="s">
        <v>114</v>
      </c>
      <c r="J902" t="s">
        <v>115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>"19:19:00.344"</f>
        <v>19:19:00.344</v>
      </c>
      <c r="T902" t="str">
        <f>"19:19:00.344"</f>
        <v>19:19:00.344</v>
      </c>
      <c r="U902" t="str">
        <f t="shared" si="43"/>
        <v>AB63B2</v>
      </c>
      <c r="V902">
        <v>0</v>
      </c>
      <c r="W902">
        <v>0</v>
      </c>
      <c r="X902">
        <v>6</v>
      </c>
      <c r="Z902">
        <v>0</v>
      </c>
      <c r="AA902">
        <v>9</v>
      </c>
      <c r="AB902">
        <v>3</v>
      </c>
      <c r="AC902">
        <v>0</v>
      </c>
      <c r="AD902">
        <v>10</v>
      </c>
      <c r="AE902">
        <v>0</v>
      </c>
      <c r="AF902">
        <v>0</v>
      </c>
      <c r="AG902">
        <v>2</v>
      </c>
      <c r="AH902">
        <v>0</v>
      </c>
      <c r="AI902" t="s">
        <v>828</v>
      </c>
      <c r="AJ902">
        <v>41.980155000000003</v>
      </c>
      <c r="AK902" t="s">
        <v>829</v>
      </c>
      <c r="AL902">
        <v>-87.892470000000003</v>
      </c>
      <c r="AS902">
        <v>1</v>
      </c>
      <c r="AT902" t="s">
        <v>118</v>
      </c>
      <c r="AU902" t="b">
        <v>1</v>
      </c>
      <c r="AV902">
        <v>50.63</v>
      </c>
      <c r="AW902">
        <v>13.625</v>
      </c>
      <c r="AX902">
        <v>1</v>
      </c>
      <c r="AZ902">
        <v>7205</v>
      </c>
      <c r="BA902">
        <v>1</v>
      </c>
      <c r="BB902" t="str">
        <f t="shared" si="44"/>
        <v xml:space="preserve">KAP400  </v>
      </c>
      <c r="BC902">
        <v>1</v>
      </c>
      <c r="BE902">
        <v>0</v>
      </c>
      <c r="BF902">
        <v>0</v>
      </c>
      <c r="BG902">
        <v>0</v>
      </c>
      <c r="BI902">
        <v>1</v>
      </c>
      <c r="BJ902">
        <v>1</v>
      </c>
      <c r="BK902">
        <v>1</v>
      </c>
      <c r="BL902">
        <v>0</v>
      </c>
      <c r="BO902">
        <v>0</v>
      </c>
      <c r="BP902">
        <v>0</v>
      </c>
      <c r="BW902" t="str">
        <f>"19:19:00.350"</f>
        <v>19:19:00.350</v>
      </c>
      <c r="BX902" t="s">
        <v>119</v>
      </c>
      <c r="BY902" t="s">
        <v>120</v>
      </c>
      <c r="CJ902">
        <v>0</v>
      </c>
      <c r="CK902">
        <v>0</v>
      </c>
      <c r="CL902">
        <v>0</v>
      </c>
      <c r="CM902">
        <v>2</v>
      </c>
      <c r="CN902">
        <v>0</v>
      </c>
      <c r="CO902">
        <v>7</v>
      </c>
      <c r="CP902" t="s">
        <v>121</v>
      </c>
      <c r="CQ902">
        <v>581</v>
      </c>
      <c r="CR902">
        <v>0</v>
      </c>
      <c r="CW902">
        <v>15816752</v>
      </c>
      <c r="CY902">
        <v>0</v>
      </c>
      <c r="CZ902">
        <v>0</v>
      </c>
      <c r="DA902">
        <v>0</v>
      </c>
      <c r="DB902">
        <v>1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</row>
    <row r="903" spans="1:113" x14ac:dyDescent="0.3">
      <c r="A903" t="str">
        <f>"06/16/2022 19:19:01.550"</f>
        <v>06/16/2022 19:19:01.550</v>
      </c>
      <c r="C903" t="str">
        <f t="shared" si="42"/>
        <v>FFBF5BC0</v>
      </c>
      <c r="D903" t="s">
        <v>113</v>
      </c>
      <c r="E903">
        <v>8</v>
      </c>
      <c r="H903">
        <v>206</v>
      </c>
      <c r="I903" t="s">
        <v>114</v>
      </c>
      <c r="J903" t="s">
        <v>115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>"19:19:01.320"</f>
        <v>19:19:01.320</v>
      </c>
      <c r="T903" t="str">
        <f>"19:19:01.320"</f>
        <v>19:19:01.320</v>
      </c>
      <c r="U903" t="str">
        <f t="shared" si="43"/>
        <v>AB63B2</v>
      </c>
      <c r="V903">
        <v>0</v>
      </c>
      <c r="W903">
        <v>0</v>
      </c>
      <c r="X903">
        <v>6</v>
      </c>
      <c r="Z903">
        <v>0</v>
      </c>
      <c r="AA903">
        <v>9</v>
      </c>
      <c r="AB903">
        <v>3</v>
      </c>
      <c r="AC903">
        <v>0</v>
      </c>
      <c r="AD903">
        <v>10</v>
      </c>
      <c r="AE903">
        <v>0</v>
      </c>
      <c r="AF903">
        <v>0</v>
      </c>
      <c r="AG903">
        <v>2</v>
      </c>
      <c r="AH903">
        <v>0</v>
      </c>
      <c r="AI903" t="s">
        <v>830</v>
      </c>
      <c r="AJ903">
        <v>41.980196999999997</v>
      </c>
      <c r="AK903" t="s">
        <v>831</v>
      </c>
      <c r="AL903">
        <v>-87.892405999999994</v>
      </c>
      <c r="AS903">
        <v>1</v>
      </c>
      <c r="AT903" t="s">
        <v>118</v>
      </c>
      <c r="AU903" t="b">
        <v>1</v>
      </c>
      <c r="AV903">
        <v>50.63</v>
      </c>
      <c r="AW903">
        <v>13.625</v>
      </c>
      <c r="AX903">
        <v>1</v>
      </c>
      <c r="AZ903">
        <v>7205</v>
      </c>
      <c r="BA903">
        <v>1</v>
      </c>
      <c r="BB903" t="str">
        <f t="shared" si="44"/>
        <v xml:space="preserve">KAP400  </v>
      </c>
      <c r="BC903">
        <v>1</v>
      </c>
      <c r="BE903">
        <v>0</v>
      </c>
      <c r="BF903">
        <v>0</v>
      </c>
      <c r="BG903">
        <v>0</v>
      </c>
      <c r="BI903">
        <v>1</v>
      </c>
      <c r="BJ903">
        <v>1</v>
      </c>
      <c r="BK903">
        <v>1</v>
      </c>
      <c r="BL903">
        <v>0</v>
      </c>
      <c r="BO903">
        <v>0</v>
      </c>
      <c r="BP903">
        <v>0</v>
      </c>
      <c r="BW903" t="str">
        <f>"19:19:01.324"</f>
        <v>19:19:01.324</v>
      </c>
      <c r="BX903" t="s">
        <v>119</v>
      </c>
      <c r="BY903" t="s">
        <v>120</v>
      </c>
      <c r="CJ903">
        <v>0</v>
      </c>
      <c r="CK903">
        <v>0</v>
      </c>
      <c r="CL903">
        <v>0</v>
      </c>
      <c r="CM903">
        <v>2</v>
      </c>
      <c r="CN903">
        <v>0</v>
      </c>
      <c r="CO903">
        <v>7</v>
      </c>
      <c r="CP903" t="s">
        <v>121</v>
      </c>
      <c r="CQ903">
        <v>581</v>
      </c>
      <c r="CR903">
        <v>0</v>
      </c>
      <c r="CW903">
        <v>15818062</v>
      </c>
      <c r="CY903">
        <v>0</v>
      </c>
      <c r="CZ903">
        <v>0</v>
      </c>
      <c r="DA903">
        <v>0</v>
      </c>
      <c r="DB903">
        <v>1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</row>
    <row r="904" spans="1:113" x14ac:dyDescent="0.3">
      <c r="A904" t="str">
        <f>"06/16/2022 19:19:02.660"</f>
        <v>06/16/2022 19:19:02.660</v>
      </c>
      <c r="C904" t="str">
        <f t="shared" si="42"/>
        <v>FFBF5BC0</v>
      </c>
      <c r="D904" t="s">
        <v>113</v>
      </c>
      <c r="E904">
        <v>8</v>
      </c>
      <c r="H904">
        <v>206</v>
      </c>
      <c r="I904" t="s">
        <v>114</v>
      </c>
      <c r="J904" t="s">
        <v>115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>"19:19:02.367"</f>
        <v>19:19:02.367</v>
      </c>
      <c r="T904" t="str">
        <f>"19:19:02.367"</f>
        <v>19:19:02.367</v>
      </c>
      <c r="U904" t="str">
        <f t="shared" si="43"/>
        <v>AB63B2</v>
      </c>
      <c r="V904">
        <v>0</v>
      </c>
      <c r="W904">
        <v>0</v>
      </c>
      <c r="X904">
        <v>6</v>
      </c>
      <c r="Z904">
        <v>0</v>
      </c>
      <c r="AA904">
        <v>9</v>
      </c>
      <c r="AB904">
        <v>3</v>
      </c>
      <c r="AC904">
        <v>0</v>
      </c>
      <c r="AD904">
        <v>10</v>
      </c>
      <c r="AE904">
        <v>0</v>
      </c>
      <c r="AF904">
        <v>0</v>
      </c>
      <c r="AG904">
        <v>2</v>
      </c>
      <c r="AH904">
        <v>0</v>
      </c>
      <c r="AI904" t="s">
        <v>832</v>
      </c>
      <c r="AJ904">
        <v>41.980240000000002</v>
      </c>
      <c r="AK904" t="s">
        <v>833</v>
      </c>
      <c r="AL904">
        <v>-87.892341999999999</v>
      </c>
      <c r="AS904">
        <v>1</v>
      </c>
      <c r="AT904" t="s">
        <v>118</v>
      </c>
      <c r="AU904" t="b">
        <v>1</v>
      </c>
      <c r="AV904">
        <v>50.63</v>
      </c>
      <c r="AW904">
        <v>13.125</v>
      </c>
      <c r="AX904">
        <v>1</v>
      </c>
      <c r="AZ904">
        <v>7205</v>
      </c>
      <c r="BA904">
        <v>1</v>
      </c>
      <c r="BB904" t="str">
        <f t="shared" si="44"/>
        <v xml:space="preserve">KAP400  </v>
      </c>
      <c r="BC904">
        <v>1</v>
      </c>
      <c r="BE904">
        <v>0</v>
      </c>
      <c r="BF904">
        <v>0</v>
      </c>
      <c r="BG904">
        <v>0</v>
      </c>
      <c r="BI904">
        <v>1</v>
      </c>
      <c r="BJ904">
        <v>1</v>
      </c>
      <c r="BK904">
        <v>1</v>
      </c>
      <c r="BL904">
        <v>0</v>
      </c>
      <c r="BO904">
        <v>0</v>
      </c>
      <c r="BP904">
        <v>0</v>
      </c>
      <c r="BW904" t="str">
        <f>"19:19:02.369"</f>
        <v>19:19:02.369</v>
      </c>
      <c r="BX904" t="s">
        <v>119</v>
      </c>
      <c r="BY904" t="s">
        <v>120</v>
      </c>
      <c r="CJ904">
        <v>0</v>
      </c>
      <c r="CK904">
        <v>0</v>
      </c>
      <c r="CL904">
        <v>0</v>
      </c>
      <c r="CM904">
        <v>2</v>
      </c>
      <c r="CN904">
        <v>0</v>
      </c>
      <c r="CO904">
        <v>7</v>
      </c>
      <c r="CP904" t="s">
        <v>121</v>
      </c>
      <c r="CQ904">
        <v>582</v>
      </c>
      <c r="CR904">
        <v>0</v>
      </c>
      <c r="CW904">
        <v>6714008</v>
      </c>
      <c r="CY904">
        <v>0</v>
      </c>
      <c r="CZ904">
        <v>0</v>
      </c>
      <c r="DA904">
        <v>0</v>
      </c>
      <c r="DB904">
        <v>1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</row>
    <row r="905" spans="1:113" x14ac:dyDescent="0.3">
      <c r="A905" t="str">
        <f>"06/16/2022 19:19:03.535"</f>
        <v>06/16/2022 19:19:03.535</v>
      </c>
      <c r="C905" t="str">
        <f t="shared" si="42"/>
        <v>FFBF5BC0</v>
      </c>
      <c r="D905" t="s">
        <v>113</v>
      </c>
      <c r="E905">
        <v>8</v>
      </c>
      <c r="H905">
        <v>206</v>
      </c>
      <c r="I905" t="s">
        <v>114</v>
      </c>
      <c r="J905" t="s">
        <v>115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>"19:19:03.344"</f>
        <v>19:19:03.344</v>
      </c>
      <c r="T905" t="str">
        <f>"19:19:03.344"</f>
        <v>19:19:03.344</v>
      </c>
      <c r="U905" t="str">
        <f t="shared" si="43"/>
        <v>AB63B2</v>
      </c>
      <c r="V905">
        <v>0</v>
      </c>
      <c r="W905">
        <v>0</v>
      </c>
      <c r="X905">
        <v>6</v>
      </c>
      <c r="Z905">
        <v>0</v>
      </c>
      <c r="AA905">
        <v>9</v>
      </c>
      <c r="AB905">
        <v>3</v>
      </c>
      <c r="AC905">
        <v>0</v>
      </c>
      <c r="AD905">
        <v>10</v>
      </c>
      <c r="AE905">
        <v>0</v>
      </c>
      <c r="AF905">
        <v>0</v>
      </c>
      <c r="AG905">
        <v>2</v>
      </c>
      <c r="AH905">
        <v>0</v>
      </c>
      <c r="AI905" t="s">
        <v>331</v>
      </c>
      <c r="AJ905">
        <v>41.980262000000003</v>
      </c>
      <c r="AK905" t="s">
        <v>834</v>
      </c>
      <c r="AL905">
        <v>-87.892277000000007</v>
      </c>
      <c r="AS905">
        <v>1</v>
      </c>
      <c r="AT905" t="s">
        <v>118</v>
      </c>
      <c r="AU905" t="b">
        <v>1</v>
      </c>
      <c r="AV905">
        <v>50.63</v>
      </c>
      <c r="AW905">
        <v>13.125</v>
      </c>
      <c r="AX905">
        <v>1</v>
      </c>
      <c r="AZ905">
        <v>7205</v>
      </c>
      <c r="BA905">
        <v>1</v>
      </c>
      <c r="BB905" t="str">
        <f t="shared" si="44"/>
        <v xml:space="preserve">KAP400  </v>
      </c>
      <c r="BC905">
        <v>1</v>
      </c>
      <c r="BE905">
        <v>0</v>
      </c>
      <c r="BF905">
        <v>0</v>
      </c>
      <c r="BG905">
        <v>0</v>
      </c>
      <c r="BI905">
        <v>1</v>
      </c>
      <c r="BJ905">
        <v>1</v>
      </c>
      <c r="BK905">
        <v>1</v>
      </c>
      <c r="BL905">
        <v>0</v>
      </c>
      <c r="BO905">
        <v>0</v>
      </c>
      <c r="BP905">
        <v>0</v>
      </c>
      <c r="BW905" t="str">
        <f>"19:19:03.345"</f>
        <v>19:19:03.345</v>
      </c>
      <c r="BX905" t="s">
        <v>119</v>
      </c>
      <c r="BY905" t="s">
        <v>120</v>
      </c>
      <c r="CJ905">
        <v>0</v>
      </c>
      <c r="CK905">
        <v>0</v>
      </c>
      <c r="CL905">
        <v>0</v>
      </c>
      <c r="CM905">
        <v>2</v>
      </c>
      <c r="CN905">
        <v>0</v>
      </c>
      <c r="CO905">
        <v>7</v>
      </c>
      <c r="CP905" t="s">
        <v>121</v>
      </c>
      <c r="CQ905">
        <v>582</v>
      </c>
      <c r="CR905">
        <v>0</v>
      </c>
      <c r="CW905">
        <v>6715220</v>
      </c>
      <c r="CY905">
        <v>0</v>
      </c>
      <c r="CZ905">
        <v>0</v>
      </c>
      <c r="DA905">
        <v>0</v>
      </c>
      <c r="DB905">
        <v>1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</row>
    <row r="906" spans="1:113" x14ac:dyDescent="0.3">
      <c r="A906" t="str">
        <f>"06/16/2022 19:19:04.504"</f>
        <v>06/16/2022 19:19:04.504</v>
      </c>
      <c r="C906" t="str">
        <f t="shared" si="42"/>
        <v>FFBF5BC0</v>
      </c>
      <c r="D906" t="s">
        <v>113</v>
      </c>
      <c r="E906">
        <v>8</v>
      </c>
      <c r="H906">
        <v>206</v>
      </c>
      <c r="I906" t="s">
        <v>114</v>
      </c>
      <c r="J906" t="s">
        <v>115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>"19:19:04.234"</f>
        <v>19:19:04.234</v>
      </c>
      <c r="T906" t="str">
        <f>"19:19:04.234"</f>
        <v>19:19:04.234</v>
      </c>
      <c r="U906" t="str">
        <f t="shared" si="43"/>
        <v>AB63B2</v>
      </c>
      <c r="V906">
        <v>0</v>
      </c>
      <c r="W906">
        <v>0</v>
      </c>
      <c r="X906">
        <v>6</v>
      </c>
      <c r="Z906">
        <v>0</v>
      </c>
      <c r="AA906">
        <v>9</v>
      </c>
      <c r="AB906">
        <v>3</v>
      </c>
      <c r="AC906">
        <v>0</v>
      </c>
      <c r="AD906">
        <v>10</v>
      </c>
      <c r="AE906">
        <v>0</v>
      </c>
      <c r="AF906">
        <v>0</v>
      </c>
      <c r="AG906">
        <v>2</v>
      </c>
      <c r="AH906">
        <v>0</v>
      </c>
      <c r="AI906" t="s">
        <v>835</v>
      </c>
      <c r="AJ906">
        <v>41.980305000000001</v>
      </c>
      <c r="AK906" t="s">
        <v>836</v>
      </c>
      <c r="AL906">
        <v>-87.892212999999998</v>
      </c>
      <c r="AS906">
        <v>1</v>
      </c>
      <c r="AT906" t="s">
        <v>118</v>
      </c>
      <c r="AU906" t="b">
        <v>1</v>
      </c>
      <c r="AV906">
        <v>50.63</v>
      </c>
      <c r="AW906">
        <v>12.625</v>
      </c>
      <c r="AX906">
        <v>1</v>
      </c>
      <c r="AZ906">
        <v>7205</v>
      </c>
      <c r="BA906">
        <v>1</v>
      </c>
      <c r="BB906" t="str">
        <f t="shared" si="44"/>
        <v xml:space="preserve">KAP400  </v>
      </c>
      <c r="BC906">
        <v>1</v>
      </c>
      <c r="BE906">
        <v>0</v>
      </c>
      <c r="BF906">
        <v>0</v>
      </c>
      <c r="BG906">
        <v>0</v>
      </c>
      <c r="BI906">
        <v>1</v>
      </c>
      <c r="BJ906">
        <v>1</v>
      </c>
      <c r="BK906">
        <v>1</v>
      </c>
      <c r="BL906">
        <v>0</v>
      </c>
      <c r="BO906">
        <v>0</v>
      </c>
      <c r="BP906">
        <v>0</v>
      </c>
      <c r="BW906" t="str">
        <f>"19:19:04.237"</f>
        <v>19:19:04.237</v>
      </c>
      <c r="BX906" t="s">
        <v>119</v>
      </c>
      <c r="BY906" t="s">
        <v>120</v>
      </c>
      <c r="CJ906">
        <v>0</v>
      </c>
      <c r="CK906">
        <v>0</v>
      </c>
      <c r="CL906">
        <v>0</v>
      </c>
      <c r="CM906">
        <v>2</v>
      </c>
      <c r="CN906">
        <v>0</v>
      </c>
      <c r="CO906">
        <v>7</v>
      </c>
      <c r="CP906" t="s">
        <v>121</v>
      </c>
      <c r="CQ906">
        <v>581</v>
      </c>
      <c r="CR906">
        <v>0</v>
      </c>
      <c r="CW906">
        <v>15821981</v>
      </c>
      <c r="CY906">
        <v>0</v>
      </c>
      <c r="CZ906">
        <v>0</v>
      </c>
      <c r="DA906">
        <v>0</v>
      </c>
      <c r="DB906">
        <v>1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</row>
    <row r="907" spans="1:113" x14ac:dyDescent="0.3">
      <c r="A907" t="str">
        <f>"06/16/2022 19:19:05.644"</f>
        <v>06/16/2022 19:19:05.644</v>
      </c>
      <c r="C907" t="str">
        <f t="shared" si="42"/>
        <v>FFBF5BC0</v>
      </c>
      <c r="D907" t="s">
        <v>113</v>
      </c>
      <c r="E907">
        <v>8</v>
      </c>
      <c r="H907">
        <v>206</v>
      </c>
      <c r="I907" t="s">
        <v>114</v>
      </c>
      <c r="J907" t="s">
        <v>115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>"19:19:05.406"</f>
        <v>19:19:05.406</v>
      </c>
      <c r="T907" t="str">
        <f>"19:19:05.406"</f>
        <v>19:19:05.406</v>
      </c>
      <c r="U907" t="str">
        <f t="shared" si="43"/>
        <v>AB63B2</v>
      </c>
      <c r="V907">
        <v>0</v>
      </c>
      <c r="W907">
        <v>0</v>
      </c>
      <c r="X907">
        <v>6</v>
      </c>
      <c r="Z907">
        <v>0</v>
      </c>
      <c r="AA907">
        <v>9</v>
      </c>
      <c r="AB907">
        <v>3</v>
      </c>
      <c r="AC907">
        <v>0</v>
      </c>
      <c r="AD907">
        <v>10</v>
      </c>
      <c r="AE907">
        <v>0</v>
      </c>
      <c r="AF907">
        <v>0</v>
      </c>
      <c r="AG907">
        <v>2</v>
      </c>
      <c r="AH907">
        <v>0</v>
      </c>
      <c r="AI907" t="s">
        <v>327</v>
      </c>
      <c r="AJ907">
        <v>41.980347999999999</v>
      </c>
      <c r="AK907" t="s">
        <v>837</v>
      </c>
      <c r="AL907">
        <v>-87.892148000000006</v>
      </c>
      <c r="AS907">
        <v>1</v>
      </c>
      <c r="AT907" t="s">
        <v>118</v>
      </c>
      <c r="AU907" t="b">
        <v>1</v>
      </c>
      <c r="AV907">
        <v>47.81</v>
      </c>
      <c r="AW907">
        <v>12.125</v>
      </c>
      <c r="AX907">
        <v>1</v>
      </c>
      <c r="AZ907">
        <v>7205</v>
      </c>
      <c r="BA907">
        <v>1</v>
      </c>
      <c r="BB907" t="str">
        <f t="shared" si="44"/>
        <v xml:space="preserve">KAP400  </v>
      </c>
      <c r="BC907">
        <v>1</v>
      </c>
      <c r="BE907">
        <v>0</v>
      </c>
      <c r="BF907">
        <v>0</v>
      </c>
      <c r="BG907">
        <v>0</v>
      </c>
      <c r="BI907">
        <v>1</v>
      </c>
      <c r="BJ907">
        <v>1</v>
      </c>
      <c r="BK907">
        <v>1</v>
      </c>
      <c r="BL907">
        <v>0</v>
      </c>
      <c r="BO907">
        <v>0</v>
      </c>
      <c r="BP907">
        <v>0</v>
      </c>
      <c r="BW907" t="str">
        <f>"19:19:05.408"</f>
        <v>19:19:05.408</v>
      </c>
      <c r="BX907" t="s">
        <v>119</v>
      </c>
      <c r="BY907" t="s">
        <v>120</v>
      </c>
      <c r="CJ907">
        <v>0</v>
      </c>
      <c r="CK907">
        <v>0</v>
      </c>
      <c r="CL907">
        <v>0</v>
      </c>
      <c r="CM907">
        <v>2</v>
      </c>
      <c r="CN907">
        <v>0</v>
      </c>
      <c r="CO907">
        <v>7</v>
      </c>
      <c r="CP907" t="s">
        <v>121</v>
      </c>
      <c r="CQ907">
        <v>582</v>
      </c>
      <c r="CR907">
        <v>0</v>
      </c>
      <c r="CW907">
        <v>6717695</v>
      </c>
      <c r="CY907">
        <v>0</v>
      </c>
      <c r="CZ907">
        <v>0</v>
      </c>
      <c r="DA907">
        <v>0</v>
      </c>
      <c r="DB907">
        <v>1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</row>
    <row r="908" spans="1:113" x14ac:dyDescent="0.3">
      <c r="A908" t="str">
        <f>"06/16/2022 19:19:06.535"</f>
        <v>06/16/2022 19:19:06.535</v>
      </c>
      <c r="C908" t="str">
        <f t="shared" si="42"/>
        <v>FFBF5BC0</v>
      </c>
      <c r="D908" t="s">
        <v>113</v>
      </c>
      <c r="E908">
        <v>8</v>
      </c>
      <c r="H908">
        <v>206</v>
      </c>
      <c r="I908" t="s">
        <v>114</v>
      </c>
      <c r="J908" t="s">
        <v>115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>"19:19:06.328"</f>
        <v>19:19:06.328</v>
      </c>
      <c r="T908" t="str">
        <f>"19:19:06.328"</f>
        <v>19:19:06.328</v>
      </c>
      <c r="U908" t="str">
        <f t="shared" si="43"/>
        <v>AB63B2</v>
      </c>
      <c r="V908">
        <v>0</v>
      </c>
      <c r="W908">
        <v>0</v>
      </c>
      <c r="X908">
        <v>6</v>
      </c>
      <c r="Z908">
        <v>0</v>
      </c>
      <c r="AA908">
        <v>9</v>
      </c>
      <c r="AB908">
        <v>3</v>
      </c>
      <c r="AC908">
        <v>0</v>
      </c>
      <c r="AD908">
        <v>10</v>
      </c>
      <c r="AE908">
        <v>0</v>
      </c>
      <c r="AF908">
        <v>0</v>
      </c>
      <c r="AG908">
        <v>2</v>
      </c>
      <c r="AH908">
        <v>0</v>
      </c>
      <c r="AI908" t="s">
        <v>838</v>
      </c>
      <c r="AJ908">
        <v>41.980369000000003</v>
      </c>
      <c r="AK908" t="s">
        <v>839</v>
      </c>
      <c r="AL908">
        <v>-87.892105999999998</v>
      </c>
      <c r="AS908">
        <v>1</v>
      </c>
      <c r="AT908" t="s">
        <v>118</v>
      </c>
      <c r="AU908" t="b">
        <v>1</v>
      </c>
      <c r="AV908">
        <v>47.81</v>
      </c>
      <c r="AW908">
        <v>11.625</v>
      </c>
      <c r="AX908">
        <v>1</v>
      </c>
      <c r="AZ908">
        <v>7205</v>
      </c>
      <c r="BA908">
        <v>1</v>
      </c>
      <c r="BB908" t="str">
        <f t="shared" si="44"/>
        <v xml:space="preserve">KAP400  </v>
      </c>
      <c r="BC908">
        <v>1</v>
      </c>
      <c r="BE908">
        <v>0</v>
      </c>
      <c r="BF908">
        <v>0</v>
      </c>
      <c r="BG908">
        <v>0</v>
      </c>
      <c r="BI908">
        <v>1</v>
      </c>
      <c r="BJ908">
        <v>1</v>
      </c>
      <c r="BK908">
        <v>1</v>
      </c>
      <c r="BL908">
        <v>0</v>
      </c>
      <c r="BO908">
        <v>0</v>
      </c>
      <c r="BP908">
        <v>0</v>
      </c>
      <c r="BW908" t="str">
        <f>"19:19:06.334"</f>
        <v>19:19:06.334</v>
      </c>
      <c r="BX908" t="s">
        <v>119</v>
      </c>
      <c r="BY908" t="s">
        <v>120</v>
      </c>
      <c r="CJ908">
        <v>0</v>
      </c>
      <c r="CK908">
        <v>0</v>
      </c>
      <c r="CL908">
        <v>0</v>
      </c>
      <c r="CM908">
        <v>2</v>
      </c>
      <c r="CN908">
        <v>0</v>
      </c>
      <c r="CO908">
        <v>7</v>
      </c>
      <c r="CP908" t="s">
        <v>121</v>
      </c>
      <c r="CQ908">
        <v>582</v>
      </c>
      <c r="CR908">
        <v>0</v>
      </c>
      <c r="CW908">
        <v>6718749</v>
      </c>
      <c r="CY908">
        <v>0</v>
      </c>
      <c r="CZ908">
        <v>0</v>
      </c>
      <c r="DA908">
        <v>0</v>
      </c>
      <c r="DB908">
        <v>1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</row>
    <row r="909" spans="1:113" x14ac:dyDescent="0.3">
      <c r="A909" t="str">
        <f>"06/16/2022 19:19:07.457"</f>
        <v>06/16/2022 19:19:07.457</v>
      </c>
      <c r="C909" t="str">
        <f t="shared" si="42"/>
        <v>FFBF5BC0</v>
      </c>
      <c r="D909" t="s">
        <v>113</v>
      </c>
      <c r="E909">
        <v>8</v>
      </c>
      <c r="H909">
        <v>206</v>
      </c>
      <c r="I909" t="s">
        <v>114</v>
      </c>
      <c r="J909" t="s">
        <v>115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>"19:19:07.180"</f>
        <v>19:19:07.180</v>
      </c>
      <c r="T909" t="str">
        <f>"19:19:07.180"</f>
        <v>19:19:07.180</v>
      </c>
      <c r="U909" t="str">
        <f t="shared" si="43"/>
        <v>AB63B2</v>
      </c>
      <c r="V909">
        <v>0</v>
      </c>
      <c r="W909">
        <v>0</v>
      </c>
      <c r="X909">
        <v>6</v>
      </c>
      <c r="Z909">
        <v>0</v>
      </c>
      <c r="AA909">
        <v>9</v>
      </c>
      <c r="AB909">
        <v>3</v>
      </c>
      <c r="AC909">
        <v>0</v>
      </c>
      <c r="AD909">
        <v>10</v>
      </c>
      <c r="AE909">
        <v>0</v>
      </c>
      <c r="AF909">
        <v>0</v>
      </c>
      <c r="AG909">
        <v>2</v>
      </c>
      <c r="AH909">
        <v>0</v>
      </c>
      <c r="AI909" t="s">
        <v>840</v>
      </c>
      <c r="AJ909">
        <v>41.980412000000001</v>
      </c>
      <c r="AK909" t="s">
        <v>841</v>
      </c>
      <c r="AL909">
        <v>-87.892062999999993</v>
      </c>
      <c r="AS909">
        <v>1</v>
      </c>
      <c r="AT909" t="s">
        <v>118</v>
      </c>
      <c r="AU909" t="b">
        <v>1</v>
      </c>
      <c r="AV909">
        <v>47.81</v>
      </c>
      <c r="AW909">
        <v>11.125</v>
      </c>
      <c r="AX909">
        <v>1</v>
      </c>
      <c r="AZ909">
        <v>7205</v>
      </c>
      <c r="BA909">
        <v>1</v>
      </c>
      <c r="BB909" t="str">
        <f t="shared" si="44"/>
        <v xml:space="preserve">KAP400  </v>
      </c>
      <c r="BC909">
        <v>1</v>
      </c>
      <c r="BE909">
        <v>0</v>
      </c>
      <c r="BF909">
        <v>0</v>
      </c>
      <c r="BG909">
        <v>0</v>
      </c>
      <c r="BI909">
        <v>1</v>
      </c>
      <c r="BJ909">
        <v>1</v>
      </c>
      <c r="BK909">
        <v>1</v>
      </c>
      <c r="BL909">
        <v>0</v>
      </c>
      <c r="BO909">
        <v>0</v>
      </c>
      <c r="BP909">
        <v>0</v>
      </c>
      <c r="BW909" t="str">
        <f>"19:19:07.183"</f>
        <v>19:19:07.183</v>
      </c>
      <c r="BX909" t="s">
        <v>119</v>
      </c>
      <c r="BY909" t="s">
        <v>120</v>
      </c>
      <c r="CJ909">
        <v>0</v>
      </c>
      <c r="CK909">
        <v>0</v>
      </c>
      <c r="CL909">
        <v>0</v>
      </c>
      <c r="CM909">
        <v>2</v>
      </c>
      <c r="CN909">
        <v>0</v>
      </c>
      <c r="CO909">
        <v>7</v>
      </c>
      <c r="CP909" t="s">
        <v>121</v>
      </c>
      <c r="CQ909">
        <v>582</v>
      </c>
      <c r="CR909">
        <v>0</v>
      </c>
      <c r="CW909">
        <v>6719733</v>
      </c>
      <c r="CY909">
        <v>0</v>
      </c>
      <c r="CZ909">
        <v>0</v>
      </c>
      <c r="DA909">
        <v>0</v>
      </c>
      <c r="DB909">
        <v>1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</row>
    <row r="910" spans="1:113" x14ac:dyDescent="0.3">
      <c r="A910" t="str">
        <f>"06/16/2022 19:19:08.441"</f>
        <v>06/16/2022 19:19:08.441</v>
      </c>
      <c r="C910" t="str">
        <f t="shared" si="42"/>
        <v>FFBF5BC0</v>
      </c>
      <c r="D910" t="s">
        <v>113</v>
      </c>
      <c r="E910">
        <v>8</v>
      </c>
      <c r="H910">
        <v>206</v>
      </c>
      <c r="I910" t="s">
        <v>114</v>
      </c>
      <c r="J910" t="s">
        <v>115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>"19:19:08.156"</f>
        <v>19:19:08.156</v>
      </c>
      <c r="T910" t="str">
        <f>"19:19:08.156"</f>
        <v>19:19:08.156</v>
      </c>
      <c r="U910" t="str">
        <f t="shared" si="43"/>
        <v>AB63B2</v>
      </c>
      <c r="V910">
        <v>0</v>
      </c>
      <c r="W910">
        <v>0</v>
      </c>
      <c r="X910">
        <v>6</v>
      </c>
      <c r="Z910">
        <v>0</v>
      </c>
      <c r="AA910">
        <v>9</v>
      </c>
      <c r="AB910">
        <v>3</v>
      </c>
      <c r="AC910">
        <v>0</v>
      </c>
      <c r="AD910">
        <v>10</v>
      </c>
      <c r="AE910">
        <v>0</v>
      </c>
      <c r="AF910">
        <v>0</v>
      </c>
      <c r="AG910">
        <v>2</v>
      </c>
      <c r="AH910">
        <v>0</v>
      </c>
      <c r="AI910" t="s">
        <v>323</v>
      </c>
      <c r="AJ910">
        <v>41.980432999999998</v>
      </c>
      <c r="AK910" t="s">
        <v>842</v>
      </c>
      <c r="AL910">
        <v>-87.892020000000002</v>
      </c>
      <c r="AS910">
        <v>1</v>
      </c>
      <c r="AT910" t="s">
        <v>118</v>
      </c>
      <c r="AU910" t="b">
        <v>1</v>
      </c>
      <c r="AV910">
        <v>47.81</v>
      </c>
      <c r="AW910">
        <v>10.625</v>
      </c>
      <c r="AX910">
        <v>1</v>
      </c>
      <c r="AZ910">
        <v>7205</v>
      </c>
      <c r="BA910">
        <v>1</v>
      </c>
      <c r="BB910" t="str">
        <f t="shared" si="44"/>
        <v xml:space="preserve">KAP400  </v>
      </c>
      <c r="BC910">
        <v>1</v>
      </c>
      <c r="BE910">
        <v>0</v>
      </c>
      <c r="BF910">
        <v>0</v>
      </c>
      <c r="BG910">
        <v>0</v>
      </c>
      <c r="BI910">
        <v>1</v>
      </c>
      <c r="BJ910">
        <v>1</v>
      </c>
      <c r="BK910">
        <v>1</v>
      </c>
      <c r="BL910">
        <v>0</v>
      </c>
      <c r="BO910">
        <v>0</v>
      </c>
      <c r="BP910">
        <v>0</v>
      </c>
      <c r="BW910" t="str">
        <f>"19:19:08.159"</f>
        <v>19:19:08.159</v>
      </c>
      <c r="BX910" t="s">
        <v>119</v>
      </c>
      <c r="BY910" t="s">
        <v>120</v>
      </c>
      <c r="CJ910">
        <v>0</v>
      </c>
      <c r="CK910">
        <v>0</v>
      </c>
      <c r="CL910">
        <v>0</v>
      </c>
      <c r="CM910">
        <v>2</v>
      </c>
      <c r="CN910">
        <v>0</v>
      </c>
      <c r="CO910">
        <v>7</v>
      </c>
      <c r="CP910" t="s">
        <v>121</v>
      </c>
      <c r="CQ910">
        <v>582</v>
      </c>
      <c r="CR910">
        <v>0</v>
      </c>
      <c r="CW910">
        <v>6721007</v>
      </c>
      <c r="CY910">
        <v>0</v>
      </c>
      <c r="CZ910">
        <v>0</v>
      </c>
      <c r="DA910">
        <v>0</v>
      </c>
      <c r="DB910">
        <v>1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</row>
    <row r="911" spans="1:113" x14ac:dyDescent="0.3">
      <c r="A911" t="str">
        <f>"06/16/2022 19:19:09.519"</f>
        <v>06/16/2022 19:19:09.519</v>
      </c>
      <c r="C911" t="str">
        <f t="shared" si="42"/>
        <v>FFBF5BC0</v>
      </c>
      <c r="D911" t="s">
        <v>113</v>
      </c>
      <c r="E911">
        <v>8</v>
      </c>
      <c r="H911">
        <v>206</v>
      </c>
      <c r="I911" t="s">
        <v>114</v>
      </c>
      <c r="J911" t="s">
        <v>115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>"19:19:09.219"</f>
        <v>19:19:09.219</v>
      </c>
      <c r="T911" t="str">
        <f>"19:19:09.219"</f>
        <v>19:19:09.219</v>
      </c>
      <c r="U911" t="str">
        <f t="shared" si="43"/>
        <v>AB63B2</v>
      </c>
      <c r="V911">
        <v>0</v>
      </c>
      <c r="W911">
        <v>0</v>
      </c>
      <c r="X911">
        <v>6</v>
      </c>
      <c r="Z911">
        <v>0</v>
      </c>
      <c r="AA911">
        <v>9</v>
      </c>
      <c r="AB911">
        <v>3</v>
      </c>
      <c r="AC911">
        <v>0</v>
      </c>
      <c r="AD911">
        <v>10</v>
      </c>
      <c r="AE911">
        <v>0</v>
      </c>
      <c r="AF911">
        <v>0</v>
      </c>
      <c r="AG911">
        <v>2</v>
      </c>
      <c r="AH911">
        <v>0</v>
      </c>
      <c r="AI911" t="s">
        <v>321</v>
      </c>
      <c r="AJ911">
        <v>41.980476000000003</v>
      </c>
      <c r="AK911" t="s">
        <v>843</v>
      </c>
      <c r="AL911">
        <v>-87.891976999999997</v>
      </c>
      <c r="AS911">
        <v>1</v>
      </c>
      <c r="AT911" t="s">
        <v>118</v>
      </c>
      <c r="AU911" t="b">
        <v>1</v>
      </c>
      <c r="AV911">
        <v>47.81</v>
      </c>
      <c r="AW911">
        <v>10.125</v>
      </c>
      <c r="AX911">
        <v>1</v>
      </c>
      <c r="AZ911">
        <v>7205</v>
      </c>
      <c r="BA911">
        <v>1</v>
      </c>
      <c r="BB911" t="str">
        <f t="shared" si="44"/>
        <v xml:space="preserve">KAP400  </v>
      </c>
      <c r="BC911">
        <v>1</v>
      </c>
      <c r="BE911">
        <v>0</v>
      </c>
      <c r="BF911">
        <v>0</v>
      </c>
      <c r="BG911">
        <v>0</v>
      </c>
      <c r="BI911">
        <v>1</v>
      </c>
      <c r="BJ911">
        <v>1</v>
      </c>
      <c r="BK911">
        <v>1</v>
      </c>
      <c r="BL911">
        <v>0</v>
      </c>
      <c r="BO911">
        <v>0</v>
      </c>
      <c r="BP911">
        <v>0</v>
      </c>
      <c r="BW911" t="str">
        <f>"19:19:09.221"</f>
        <v>19:19:09.221</v>
      </c>
      <c r="BX911" t="s">
        <v>119</v>
      </c>
      <c r="BY911" t="s">
        <v>120</v>
      </c>
      <c r="CJ911">
        <v>0</v>
      </c>
      <c r="CK911">
        <v>0</v>
      </c>
      <c r="CL911">
        <v>0</v>
      </c>
      <c r="CM911">
        <v>2</v>
      </c>
      <c r="CN911">
        <v>0</v>
      </c>
      <c r="CO911">
        <v>7</v>
      </c>
      <c r="CP911" t="s">
        <v>121</v>
      </c>
      <c r="CQ911">
        <v>582</v>
      </c>
      <c r="CR911">
        <v>0</v>
      </c>
      <c r="CW911">
        <v>6722364</v>
      </c>
      <c r="CY911">
        <v>0</v>
      </c>
      <c r="CZ911">
        <v>0</v>
      </c>
      <c r="DA911">
        <v>0</v>
      </c>
      <c r="DB911">
        <v>1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</row>
    <row r="912" spans="1:113" x14ac:dyDescent="0.3">
      <c r="A912" t="str">
        <f>"06/16/2022 19:19:10.332"</f>
        <v>06/16/2022 19:19:10.332</v>
      </c>
      <c r="C912" t="str">
        <f t="shared" ref="C912:C975" si="45">"FFBF5BC0"</f>
        <v>FFBF5BC0</v>
      </c>
      <c r="D912" t="s">
        <v>113</v>
      </c>
      <c r="E912">
        <v>8</v>
      </c>
      <c r="H912">
        <v>206</v>
      </c>
      <c r="I912" t="s">
        <v>114</v>
      </c>
      <c r="J912" t="s">
        <v>115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>"19:19:10.078"</f>
        <v>19:19:10.078</v>
      </c>
      <c r="T912" t="str">
        <f>"19:19:10.078"</f>
        <v>19:19:10.078</v>
      </c>
      <c r="U912" t="str">
        <f t="shared" si="43"/>
        <v>AB63B2</v>
      </c>
      <c r="V912">
        <v>0</v>
      </c>
      <c r="W912">
        <v>0</v>
      </c>
      <c r="X912">
        <v>6</v>
      </c>
      <c r="Z912">
        <v>0</v>
      </c>
      <c r="AA912">
        <v>9</v>
      </c>
      <c r="AB912">
        <v>3</v>
      </c>
      <c r="AC912">
        <v>0</v>
      </c>
      <c r="AD912">
        <v>10</v>
      </c>
      <c r="AE912">
        <v>0</v>
      </c>
      <c r="AF912">
        <v>0</v>
      </c>
      <c r="AG912">
        <v>2</v>
      </c>
      <c r="AH912">
        <v>0</v>
      </c>
      <c r="AI912" t="s">
        <v>844</v>
      </c>
      <c r="AJ912">
        <v>41.980497999999997</v>
      </c>
      <c r="AK912" t="s">
        <v>845</v>
      </c>
      <c r="AL912">
        <v>-87.891912000000005</v>
      </c>
      <c r="AS912">
        <v>1</v>
      </c>
      <c r="AT912" t="s">
        <v>118</v>
      </c>
      <c r="AU912" t="b">
        <v>1</v>
      </c>
      <c r="AV912">
        <v>47.81</v>
      </c>
      <c r="AW912">
        <v>10.125</v>
      </c>
      <c r="AX912">
        <v>1</v>
      </c>
      <c r="AZ912">
        <v>7205</v>
      </c>
      <c r="BA912">
        <v>1</v>
      </c>
      <c r="BB912" t="str">
        <f t="shared" si="44"/>
        <v xml:space="preserve">KAP400  </v>
      </c>
      <c r="BC912">
        <v>1</v>
      </c>
      <c r="BE912">
        <v>0</v>
      </c>
      <c r="BF912">
        <v>0</v>
      </c>
      <c r="BG912">
        <v>0</v>
      </c>
      <c r="BI912">
        <v>1</v>
      </c>
      <c r="BJ912">
        <v>1</v>
      </c>
      <c r="BK912">
        <v>1</v>
      </c>
      <c r="BL912">
        <v>0</v>
      </c>
      <c r="BO912">
        <v>0</v>
      </c>
      <c r="BP912">
        <v>0</v>
      </c>
      <c r="BW912" t="str">
        <f>"19:19:10.084"</f>
        <v>19:19:10.084</v>
      </c>
      <c r="BX912" t="s">
        <v>119</v>
      </c>
      <c r="BY912" t="s">
        <v>120</v>
      </c>
      <c r="CJ912">
        <v>0</v>
      </c>
      <c r="CK912">
        <v>0</v>
      </c>
      <c r="CL912">
        <v>0</v>
      </c>
      <c r="CM912">
        <v>2</v>
      </c>
      <c r="CN912">
        <v>0</v>
      </c>
      <c r="CO912">
        <v>7</v>
      </c>
      <c r="CP912" t="s">
        <v>121</v>
      </c>
      <c r="CQ912">
        <v>581</v>
      </c>
      <c r="CR912">
        <v>0</v>
      </c>
      <c r="CW912">
        <v>15829652</v>
      </c>
      <c r="CY912">
        <v>0</v>
      </c>
      <c r="CZ912">
        <v>0</v>
      </c>
      <c r="DA912">
        <v>0</v>
      </c>
      <c r="DB912">
        <v>1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</row>
    <row r="913" spans="1:113" x14ac:dyDescent="0.3">
      <c r="A913" t="str">
        <f>"06/16/2022 19:19:11.317"</f>
        <v>06/16/2022 19:19:11.317</v>
      </c>
      <c r="C913" t="str">
        <f t="shared" si="45"/>
        <v>FFBF5BC0</v>
      </c>
      <c r="D913" t="s">
        <v>113</v>
      </c>
      <c r="E913">
        <v>8</v>
      </c>
      <c r="H913">
        <v>206</v>
      </c>
      <c r="I913" t="s">
        <v>114</v>
      </c>
      <c r="J913" t="s">
        <v>115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>"19:19:11.109"</f>
        <v>19:19:11.109</v>
      </c>
      <c r="T913" t="str">
        <f>"19:19:11.109"</f>
        <v>19:19:11.109</v>
      </c>
      <c r="U913" t="str">
        <f t="shared" si="43"/>
        <v>AB63B2</v>
      </c>
      <c r="V913">
        <v>0</v>
      </c>
      <c r="W913">
        <v>0</v>
      </c>
      <c r="X913">
        <v>6</v>
      </c>
      <c r="Z913">
        <v>0</v>
      </c>
      <c r="AA913">
        <v>9</v>
      </c>
      <c r="AB913">
        <v>3</v>
      </c>
      <c r="AC913">
        <v>0</v>
      </c>
      <c r="AD913">
        <v>10</v>
      </c>
      <c r="AE913">
        <v>0</v>
      </c>
      <c r="AF913">
        <v>0</v>
      </c>
      <c r="AG913">
        <v>2</v>
      </c>
      <c r="AH913">
        <v>0</v>
      </c>
      <c r="AI913" t="s">
        <v>319</v>
      </c>
      <c r="AJ913">
        <v>41.980519000000001</v>
      </c>
      <c r="AK913" t="s">
        <v>846</v>
      </c>
      <c r="AL913">
        <v>-87.891869999999997</v>
      </c>
      <c r="AS913">
        <v>1</v>
      </c>
      <c r="AT913" t="s">
        <v>118</v>
      </c>
      <c r="AU913" t="b">
        <v>1</v>
      </c>
      <c r="AV913">
        <v>47.81</v>
      </c>
      <c r="AW913">
        <v>10.125</v>
      </c>
      <c r="AX913">
        <v>1</v>
      </c>
      <c r="AZ913">
        <v>7205</v>
      </c>
      <c r="BA913">
        <v>1</v>
      </c>
      <c r="BB913" t="str">
        <f t="shared" si="44"/>
        <v xml:space="preserve">KAP400  </v>
      </c>
      <c r="BC913">
        <v>1</v>
      </c>
      <c r="BE913">
        <v>0</v>
      </c>
      <c r="BF913">
        <v>0</v>
      </c>
      <c r="BG913">
        <v>0</v>
      </c>
      <c r="BI913">
        <v>1</v>
      </c>
      <c r="BJ913">
        <v>1</v>
      </c>
      <c r="BK913">
        <v>1</v>
      </c>
      <c r="BL913">
        <v>0</v>
      </c>
      <c r="BO913">
        <v>0</v>
      </c>
      <c r="BP913">
        <v>0</v>
      </c>
      <c r="BW913" t="str">
        <f>"19:19:11.116"</f>
        <v>19:19:11.116</v>
      </c>
      <c r="BX913" t="s">
        <v>119</v>
      </c>
      <c r="BY913" t="s">
        <v>120</v>
      </c>
      <c r="CJ913">
        <v>0</v>
      </c>
      <c r="CK913">
        <v>0</v>
      </c>
      <c r="CL913">
        <v>0</v>
      </c>
      <c r="CM913">
        <v>2</v>
      </c>
      <c r="CN913">
        <v>0</v>
      </c>
      <c r="CO913">
        <v>7</v>
      </c>
      <c r="CP913" t="s">
        <v>121</v>
      </c>
      <c r="CQ913">
        <v>582</v>
      </c>
      <c r="CR913">
        <v>0</v>
      </c>
      <c r="CW913">
        <v>6724734</v>
      </c>
      <c r="CY913">
        <v>0</v>
      </c>
      <c r="CZ913">
        <v>0</v>
      </c>
      <c r="DA913">
        <v>0</v>
      </c>
      <c r="DB913">
        <v>1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</row>
    <row r="914" spans="1:113" x14ac:dyDescent="0.3">
      <c r="A914" t="str">
        <f>"06/16/2022 19:19:12.387"</f>
        <v>06/16/2022 19:19:12.387</v>
      </c>
      <c r="C914" t="str">
        <f t="shared" si="45"/>
        <v>FFBF5BC0</v>
      </c>
      <c r="D914" t="s">
        <v>113</v>
      </c>
      <c r="E914">
        <v>8</v>
      </c>
      <c r="H914">
        <v>206</v>
      </c>
      <c r="I914" t="s">
        <v>114</v>
      </c>
      <c r="J914" t="s">
        <v>115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>"19:19:12.148"</f>
        <v>19:19:12.148</v>
      </c>
      <c r="T914" t="str">
        <f>"19:19:12.148"</f>
        <v>19:19:12.148</v>
      </c>
      <c r="U914" t="str">
        <f t="shared" si="43"/>
        <v>AB63B2</v>
      </c>
      <c r="V914">
        <v>0</v>
      </c>
      <c r="W914">
        <v>0</v>
      </c>
      <c r="X914">
        <v>6</v>
      </c>
      <c r="Z914">
        <v>0</v>
      </c>
      <c r="AA914">
        <v>9</v>
      </c>
      <c r="AB914">
        <v>3</v>
      </c>
      <c r="AC914">
        <v>0</v>
      </c>
      <c r="AD914">
        <v>10</v>
      </c>
      <c r="AE914">
        <v>0</v>
      </c>
      <c r="AF914">
        <v>0</v>
      </c>
      <c r="AG914">
        <v>2</v>
      </c>
      <c r="AH914">
        <v>0</v>
      </c>
      <c r="AI914" t="s">
        <v>318</v>
      </c>
      <c r="AJ914">
        <v>41.980561999999999</v>
      </c>
      <c r="AK914" t="s">
        <v>847</v>
      </c>
      <c r="AL914">
        <v>-87.891847999999996</v>
      </c>
      <c r="AS914">
        <v>1</v>
      </c>
      <c r="AT914" t="s">
        <v>118</v>
      </c>
      <c r="AU914" t="b">
        <v>1</v>
      </c>
      <c r="AV914">
        <v>50.63</v>
      </c>
      <c r="AW914">
        <v>10.125</v>
      </c>
      <c r="AX914">
        <v>1</v>
      </c>
      <c r="AZ914">
        <v>7205</v>
      </c>
      <c r="BA914">
        <v>1</v>
      </c>
      <c r="BB914" t="str">
        <f t="shared" si="44"/>
        <v xml:space="preserve">KAP400  </v>
      </c>
      <c r="BC914">
        <v>1</v>
      </c>
      <c r="BE914">
        <v>0</v>
      </c>
      <c r="BF914">
        <v>0</v>
      </c>
      <c r="BG914">
        <v>0</v>
      </c>
      <c r="BI914">
        <v>1</v>
      </c>
      <c r="BJ914">
        <v>1</v>
      </c>
      <c r="BK914">
        <v>1</v>
      </c>
      <c r="BL914">
        <v>0</v>
      </c>
      <c r="BO914">
        <v>0</v>
      </c>
      <c r="BP914">
        <v>0</v>
      </c>
      <c r="BW914" t="str">
        <f>"19:19:12.152"</f>
        <v>19:19:12.152</v>
      </c>
      <c r="BX914" t="s">
        <v>119</v>
      </c>
      <c r="BY914" t="s">
        <v>120</v>
      </c>
      <c r="CJ914">
        <v>0</v>
      </c>
      <c r="CK914">
        <v>0</v>
      </c>
      <c r="CL914">
        <v>0</v>
      </c>
      <c r="CM914">
        <v>2</v>
      </c>
      <c r="CN914">
        <v>0</v>
      </c>
      <c r="CO914">
        <v>7</v>
      </c>
      <c r="CP914" t="s">
        <v>121</v>
      </c>
      <c r="CQ914">
        <v>582</v>
      </c>
      <c r="CR914">
        <v>0</v>
      </c>
      <c r="CW914">
        <v>6726009</v>
      </c>
      <c r="CY914">
        <v>0</v>
      </c>
      <c r="CZ914">
        <v>0</v>
      </c>
      <c r="DA914">
        <v>0</v>
      </c>
      <c r="DB914">
        <v>1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</row>
    <row r="915" spans="1:113" x14ac:dyDescent="0.3">
      <c r="A915" t="str">
        <f>"06/16/2022 19:19:13.292"</f>
        <v>06/16/2022 19:19:13.292</v>
      </c>
      <c r="C915" t="str">
        <f t="shared" si="45"/>
        <v>FFBF5BC0</v>
      </c>
      <c r="D915" t="s">
        <v>113</v>
      </c>
      <c r="E915">
        <v>8</v>
      </c>
      <c r="H915">
        <v>206</v>
      </c>
      <c r="I915" t="s">
        <v>114</v>
      </c>
      <c r="J915" t="s">
        <v>115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>"19:19:13.039"</f>
        <v>19:19:13.039</v>
      </c>
      <c r="T915" t="str">
        <f>"19:19:13.039"</f>
        <v>19:19:13.039</v>
      </c>
      <c r="U915" t="str">
        <f t="shared" si="43"/>
        <v>AB63B2</v>
      </c>
      <c r="V915">
        <v>0</v>
      </c>
      <c r="W915">
        <v>0</v>
      </c>
      <c r="X915">
        <v>6</v>
      </c>
      <c r="Z915">
        <v>0</v>
      </c>
      <c r="AA915">
        <v>9</v>
      </c>
      <c r="AB915">
        <v>3</v>
      </c>
      <c r="AC915">
        <v>0</v>
      </c>
      <c r="AD915">
        <v>10</v>
      </c>
      <c r="AE915">
        <v>0</v>
      </c>
      <c r="AF915">
        <v>0</v>
      </c>
      <c r="AG915">
        <v>2</v>
      </c>
      <c r="AH915">
        <v>0</v>
      </c>
      <c r="AI915" t="s">
        <v>848</v>
      </c>
      <c r="AJ915">
        <v>41.980584</v>
      </c>
      <c r="AK915" t="s">
        <v>849</v>
      </c>
      <c r="AL915">
        <v>-87.891784000000001</v>
      </c>
      <c r="AS915">
        <v>1</v>
      </c>
      <c r="AT915" t="s">
        <v>118</v>
      </c>
      <c r="AU915" t="b">
        <v>1</v>
      </c>
      <c r="AV915">
        <v>50.63</v>
      </c>
      <c r="AW915">
        <v>10.125</v>
      </c>
      <c r="AX915">
        <v>1</v>
      </c>
      <c r="AZ915">
        <v>7205</v>
      </c>
      <c r="BA915">
        <v>1</v>
      </c>
      <c r="BB915" t="str">
        <f t="shared" si="44"/>
        <v xml:space="preserve">KAP400  </v>
      </c>
      <c r="BC915">
        <v>1</v>
      </c>
      <c r="BE915">
        <v>0</v>
      </c>
      <c r="BF915">
        <v>0</v>
      </c>
      <c r="BG915">
        <v>0</v>
      </c>
      <c r="BI915">
        <v>1</v>
      </c>
      <c r="BJ915">
        <v>1</v>
      </c>
      <c r="BK915">
        <v>1</v>
      </c>
      <c r="BL915">
        <v>0</v>
      </c>
      <c r="BO915">
        <v>0</v>
      </c>
      <c r="BP915">
        <v>0</v>
      </c>
      <c r="BW915" t="str">
        <f>"19:19:13.047"</f>
        <v>19:19:13.047</v>
      </c>
      <c r="BX915" t="s">
        <v>119</v>
      </c>
      <c r="BY915" t="s">
        <v>120</v>
      </c>
      <c r="CJ915">
        <v>0</v>
      </c>
      <c r="CK915">
        <v>0</v>
      </c>
      <c r="CL915">
        <v>0</v>
      </c>
      <c r="CM915">
        <v>2</v>
      </c>
      <c r="CN915">
        <v>0</v>
      </c>
      <c r="CO915">
        <v>7</v>
      </c>
      <c r="CP915" t="s">
        <v>121</v>
      </c>
      <c r="CQ915">
        <v>581</v>
      </c>
      <c r="CR915">
        <v>0</v>
      </c>
      <c r="CW915">
        <v>15833613</v>
      </c>
      <c r="CY915">
        <v>0</v>
      </c>
      <c r="CZ915">
        <v>0</v>
      </c>
      <c r="DA915">
        <v>0</v>
      </c>
      <c r="DB915">
        <v>1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</row>
    <row r="916" spans="1:113" x14ac:dyDescent="0.3">
      <c r="A916" t="str">
        <f>"06/16/2022 19:19:14.323"</f>
        <v>06/16/2022 19:19:14.323</v>
      </c>
      <c r="C916" t="str">
        <f t="shared" si="45"/>
        <v>FFBF5BC0</v>
      </c>
      <c r="D916" t="s">
        <v>113</v>
      </c>
      <c r="E916">
        <v>8</v>
      </c>
      <c r="H916">
        <v>206</v>
      </c>
      <c r="I916" t="s">
        <v>114</v>
      </c>
      <c r="J916" t="s">
        <v>115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>"19:19:14.102"</f>
        <v>19:19:14.102</v>
      </c>
      <c r="T916" t="str">
        <f>"19:19:14.102"</f>
        <v>19:19:14.102</v>
      </c>
      <c r="U916" t="str">
        <f t="shared" si="43"/>
        <v>AB63B2</v>
      </c>
      <c r="V916">
        <v>0</v>
      </c>
      <c r="W916">
        <v>0</v>
      </c>
      <c r="X916">
        <v>6</v>
      </c>
      <c r="Z916">
        <v>0</v>
      </c>
      <c r="AA916">
        <v>9</v>
      </c>
      <c r="AB916">
        <v>3</v>
      </c>
      <c r="AC916">
        <v>0</v>
      </c>
      <c r="AD916">
        <v>10</v>
      </c>
      <c r="AE916">
        <v>0</v>
      </c>
      <c r="AF916">
        <v>0</v>
      </c>
      <c r="AG916">
        <v>2</v>
      </c>
      <c r="AH916">
        <v>0</v>
      </c>
      <c r="AI916" t="s">
        <v>316</v>
      </c>
      <c r="AJ916">
        <v>41.980604999999997</v>
      </c>
      <c r="AK916" t="s">
        <v>850</v>
      </c>
      <c r="AL916">
        <v>-87.891740999999996</v>
      </c>
      <c r="AS916">
        <v>1</v>
      </c>
      <c r="AT916" t="s">
        <v>118</v>
      </c>
      <c r="AU916" t="b">
        <v>1</v>
      </c>
      <c r="AV916">
        <v>53.44</v>
      </c>
      <c r="AW916">
        <v>10.625</v>
      </c>
      <c r="AX916">
        <v>1</v>
      </c>
      <c r="AZ916">
        <v>7205</v>
      </c>
      <c r="BA916">
        <v>1</v>
      </c>
      <c r="BB916" t="str">
        <f t="shared" si="44"/>
        <v xml:space="preserve">KAP400  </v>
      </c>
      <c r="BC916">
        <v>1</v>
      </c>
      <c r="BE916">
        <v>0</v>
      </c>
      <c r="BF916">
        <v>0</v>
      </c>
      <c r="BG916">
        <v>0</v>
      </c>
      <c r="BI916">
        <v>1</v>
      </c>
      <c r="BJ916">
        <v>1</v>
      </c>
      <c r="BK916">
        <v>1</v>
      </c>
      <c r="BL916">
        <v>0</v>
      </c>
      <c r="BO916">
        <v>0</v>
      </c>
      <c r="BP916">
        <v>0</v>
      </c>
      <c r="BW916" t="str">
        <f>"19:19:14.102"</f>
        <v>19:19:14.102</v>
      </c>
      <c r="BX916" t="s">
        <v>119</v>
      </c>
      <c r="BY916" t="s">
        <v>120</v>
      </c>
      <c r="CJ916">
        <v>0</v>
      </c>
      <c r="CK916">
        <v>0</v>
      </c>
      <c r="CL916">
        <v>0</v>
      </c>
      <c r="CM916">
        <v>2</v>
      </c>
      <c r="CN916">
        <v>0</v>
      </c>
      <c r="CO916">
        <v>7</v>
      </c>
      <c r="CP916" t="s">
        <v>121</v>
      </c>
      <c r="CQ916">
        <v>582</v>
      </c>
      <c r="CR916">
        <v>0</v>
      </c>
      <c r="CW916">
        <v>6728558</v>
      </c>
      <c r="CY916">
        <v>0</v>
      </c>
      <c r="CZ916">
        <v>0</v>
      </c>
      <c r="DA916">
        <v>0</v>
      </c>
      <c r="DB916">
        <v>1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</row>
    <row r="917" spans="1:113" x14ac:dyDescent="0.3">
      <c r="A917" t="str">
        <f>"06/16/2022 19:19:15.370"</f>
        <v>06/16/2022 19:19:15.370</v>
      </c>
      <c r="C917" t="str">
        <f t="shared" si="45"/>
        <v>FFBF5BC0</v>
      </c>
      <c r="D917" t="s">
        <v>113</v>
      </c>
      <c r="E917">
        <v>8</v>
      </c>
      <c r="H917">
        <v>206</v>
      </c>
      <c r="I917" t="s">
        <v>114</v>
      </c>
      <c r="J917" t="s">
        <v>115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>"19:19:15.102"</f>
        <v>19:19:15.102</v>
      </c>
      <c r="T917" t="str">
        <f>"19:19:15.102"</f>
        <v>19:19:15.102</v>
      </c>
      <c r="U917" t="str">
        <f t="shared" si="43"/>
        <v>AB63B2</v>
      </c>
      <c r="V917">
        <v>0</v>
      </c>
      <c r="W917">
        <v>0</v>
      </c>
      <c r="X917">
        <v>6</v>
      </c>
      <c r="Z917">
        <v>0</v>
      </c>
      <c r="AA917">
        <v>9</v>
      </c>
      <c r="AB917">
        <v>3</v>
      </c>
      <c r="AC917">
        <v>0</v>
      </c>
      <c r="AD917">
        <v>10</v>
      </c>
      <c r="AE917">
        <v>0</v>
      </c>
      <c r="AF917">
        <v>0</v>
      </c>
      <c r="AG917">
        <v>2</v>
      </c>
      <c r="AH917">
        <v>0</v>
      </c>
      <c r="AI917" t="s">
        <v>851</v>
      </c>
      <c r="AJ917">
        <v>41.980626999999998</v>
      </c>
      <c r="AK917" t="s">
        <v>852</v>
      </c>
      <c r="AL917">
        <v>-87.891676000000004</v>
      </c>
      <c r="AS917">
        <v>1</v>
      </c>
      <c r="AT917" t="s">
        <v>118</v>
      </c>
      <c r="AU917" t="b">
        <v>1</v>
      </c>
      <c r="AV917">
        <v>56.25</v>
      </c>
      <c r="AW917">
        <v>10.625</v>
      </c>
      <c r="AX917">
        <v>1</v>
      </c>
      <c r="AZ917">
        <v>7205</v>
      </c>
      <c r="BA917">
        <v>1</v>
      </c>
      <c r="BB917" t="str">
        <f t="shared" si="44"/>
        <v xml:space="preserve">KAP400  </v>
      </c>
      <c r="BC917">
        <v>1</v>
      </c>
      <c r="BE917">
        <v>0</v>
      </c>
      <c r="BF917">
        <v>0</v>
      </c>
      <c r="BG917">
        <v>0</v>
      </c>
      <c r="BI917">
        <v>1</v>
      </c>
      <c r="BJ917">
        <v>1</v>
      </c>
      <c r="BK917">
        <v>1</v>
      </c>
      <c r="BL917">
        <v>0</v>
      </c>
      <c r="BO917">
        <v>0</v>
      </c>
      <c r="BP917">
        <v>0</v>
      </c>
      <c r="BW917" t="str">
        <f>"19:19:15.106"</f>
        <v>19:19:15.106</v>
      </c>
      <c r="BX917" t="s">
        <v>119</v>
      </c>
      <c r="BY917" t="s">
        <v>120</v>
      </c>
      <c r="CJ917">
        <v>0</v>
      </c>
      <c r="CK917">
        <v>0</v>
      </c>
      <c r="CL917">
        <v>0</v>
      </c>
      <c r="CM917">
        <v>2</v>
      </c>
      <c r="CN917">
        <v>0</v>
      </c>
      <c r="CO917">
        <v>7</v>
      </c>
      <c r="CP917" t="s">
        <v>121</v>
      </c>
      <c r="CQ917">
        <v>581</v>
      </c>
      <c r="CR917">
        <v>0</v>
      </c>
      <c r="CW917">
        <v>15836447</v>
      </c>
      <c r="CY917">
        <v>0</v>
      </c>
      <c r="CZ917">
        <v>0</v>
      </c>
      <c r="DA917">
        <v>0</v>
      </c>
      <c r="DB917">
        <v>1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</row>
    <row r="918" spans="1:113" x14ac:dyDescent="0.3">
      <c r="A918" t="str">
        <f>"06/16/2022 19:19:16.370"</f>
        <v>06/16/2022 19:19:16.370</v>
      </c>
      <c r="C918" t="str">
        <f t="shared" si="45"/>
        <v>FFBF5BC0</v>
      </c>
      <c r="D918" t="s">
        <v>113</v>
      </c>
      <c r="E918">
        <v>8</v>
      </c>
      <c r="H918">
        <v>206</v>
      </c>
      <c r="I918" t="s">
        <v>114</v>
      </c>
      <c r="J918" t="s">
        <v>115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>"19:19:16.180"</f>
        <v>19:19:16.180</v>
      </c>
      <c r="T918" t="str">
        <f>"19:19:16.180"</f>
        <v>19:19:16.180</v>
      </c>
      <c r="U918" t="str">
        <f t="shared" si="43"/>
        <v>AB63B2</v>
      </c>
      <c r="V918">
        <v>0</v>
      </c>
      <c r="W918">
        <v>0</v>
      </c>
      <c r="X918">
        <v>6</v>
      </c>
      <c r="Z918">
        <v>0</v>
      </c>
      <c r="AA918">
        <v>9</v>
      </c>
      <c r="AB918">
        <v>3</v>
      </c>
      <c r="AC918">
        <v>0</v>
      </c>
      <c r="AD918">
        <v>10</v>
      </c>
      <c r="AE918">
        <v>0</v>
      </c>
      <c r="AF918">
        <v>0</v>
      </c>
      <c r="AG918">
        <v>2</v>
      </c>
      <c r="AH918">
        <v>0</v>
      </c>
      <c r="AI918" t="s">
        <v>853</v>
      </c>
      <c r="AJ918">
        <v>41.980668999999999</v>
      </c>
      <c r="AK918" t="s">
        <v>854</v>
      </c>
      <c r="AL918">
        <v>-87.891633999999996</v>
      </c>
      <c r="AS918">
        <v>1</v>
      </c>
      <c r="AT918" t="s">
        <v>118</v>
      </c>
      <c r="AU918" t="b">
        <v>1</v>
      </c>
      <c r="AV918">
        <v>50.63</v>
      </c>
      <c r="AW918">
        <v>10.625</v>
      </c>
      <c r="AX918">
        <v>1</v>
      </c>
      <c r="AZ918">
        <v>7205</v>
      </c>
      <c r="BA918">
        <v>1</v>
      </c>
      <c r="BB918" t="str">
        <f t="shared" si="44"/>
        <v xml:space="preserve">KAP400  </v>
      </c>
      <c r="BC918">
        <v>1</v>
      </c>
      <c r="BE918">
        <v>0</v>
      </c>
      <c r="BF918">
        <v>0</v>
      </c>
      <c r="BG918">
        <v>0</v>
      </c>
      <c r="BI918">
        <v>1</v>
      </c>
      <c r="BJ918">
        <v>1</v>
      </c>
      <c r="BK918">
        <v>1</v>
      </c>
      <c r="BL918">
        <v>0</v>
      </c>
      <c r="BO918">
        <v>0</v>
      </c>
      <c r="BP918">
        <v>0</v>
      </c>
      <c r="BW918" t="str">
        <f>"19:19:16.186"</f>
        <v>19:19:16.186</v>
      </c>
      <c r="BX918" t="s">
        <v>119</v>
      </c>
      <c r="BY918" t="s">
        <v>120</v>
      </c>
      <c r="CJ918">
        <v>0</v>
      </c>
      <c r="CK918">
        <v>0</v>
      </c>
      <c r="CL918">
        <v>0</v>
      </c>
      <c r="CM918">
        <v>2</v>
      </c>
      <c r="CN918">
        <v>0</v>
      </c>
      <c r="CO918">
        <v>7</v>
      </c>
      <c r="CP918" t="s">
        <v>121</v>
      </c>
      <c r="CQ918">
        <v>581</v>
      </c>
      <c r="CR918">
        <v>0</v>
      </c>
      <c r="CW918">
        <v>15837818</v>
      </c>
      <c r="CY918">
        <v>0</v>
      </c>
      <c r="CZ918">
        <v>0</v>
      </c>
      <c r="DA918">
        <v>0</v>
      </c>
      <c r="DB918">
        <v>1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</row>
    <row r="919" spans="1:113" x14ac:dyDescent="0.3">
      <c r="A919" t="str">
        <f>"06/16/2022 19:19:17.426"</f>
        <v>06/16/2022 19:19:17.426</v>
      </c>
      <c r="C919" t="str">
        <f t="shared" si="45"/>
        <v>FFBF5BC0</v>
      </c>
      <c r="D919" t="s">
        <v>113</v>
      </c>
      <c r="E919">
        <v>8</v>
      </c>
      <c r="H919">
        <v>206</v>
      </c>
      <c r="I919" t="s">
        <v>114</v>
      </c>
      <c r="J919" t="s">
        <v>115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>"19:19:17.188"</f>
        <v>19:19:17.188</v>
      </c>
      <c r="T919" t="str">
        <f>"19:19:17.188"</f>
        <v>19:19:17.188</v>
      </c>
      <c r="U919" t="str">
        <f t="shared" si="43"/>
        <v>AB63B2</v>
      </c>
      <c r="V919">
        <v>0</v>
      </c>
      <c r="W919">
        <v>0</v>
      </c>
      <c r="X919">
        <v>6</v>
      </c>
      <c r="Z919">
        <v>0</v>
      </c>
      <c r="AA919">
        <v>9</v>
      </c>
      <c r="AB919">
        <v>3</v>
      </c>
      <c r="AC919">
        <v>0</v>
      </c>
      <c r="AD919">
        <v>10</v>
      </c>
      <c r="AE919">
        <v>0</v>
      </c>
      <c r="AF919">
        <v>0</v>
      </c>
      <c r="AG919">
        <v>2</v>
      </c>
      <c r="AH919">
        <v>0</v>
      </c>
      <c r="AI919" t="s">
        <v>855</v>
      </c>
      <c r="AJ919">
        <v>41.980711999999997</v>
      </c>
      <c r="AK919" t="s">
        <v>856</v>
      </c>
      <c r="AL919">
        <v>-87.891591000000005</v>
      </c>
      <c r="AS919">
        <v>1</v>
      </c>
      <c r="AT919" t="s">
        <v>118</v>
      </c>
      <c r="AU919" t="b">
        <v>1</v>
      </c>
      <c r="AV919">
        <v>50.63</v>
      </c>
      <c r="AW919">
        <v>11.125</v>
      </c>
      <c r="AX919">
        <v>1</v>
      </c>
      <c r="AZ919">
        <v>7205</v>
      </c>
      <c r="BA919">
        <v>1</v>
      </c>
      <c r="BB919" t="str">
        <f t="shared" si="44"/>
        <v xml:space="preserve">KAP400  </v>
      </c>
      <c r="BC919">
        <v>1</v>
      </c>
      <c r="BE919">
        <v>0</v>
      </c>
      <c r="BF919">
        <v>0</v>
      </c>
      <c r="BG919">
        <v>0</v>
      </c>
      <c r="BI919">
        <v>1</v>
      </c>
      <c r="BJ919">
        <v>1</v>
      </c>
      <c r="BK919">
        <v>1</v>
      </c>
      <c r="BL919">
        <v>0</v>
      </c>
      <c r="BO919">
        <v>0</v>
      </c>
      <c r="BP919">
        <v>0</v>
      </c>
      <c r="BW919" t="str">
        <f>"19:19:17.193"</f>
        <v>19:19:17.193</v>
      </c>
      <c r="BX919" t="s">
        <v>119</v>
      </c>
      <c r="BY919" t="s">
        <v>120</v>
      </c>
      <c r="CJ919">
        <v>0</v>
      </c>
      <c r="CK919">
        <v>0</v>
      </c>
      <c r="CL919">
        <v>0</v>
      </c>
      <c r="CM919">
        <v>2</v>
      </c>
      <c r="CN919">
        <v>0</v>
      </c>
      <c r="CO919">
        <v>7</v>
      </c>
      <c r="CP919" t="s">
        <v>121</v>
      </c>
      <c r="CQ919">
        <v>582</v>
      </c>
      <c r="CR919">
        <v>0</v>
      </c>
      <c r="CW919">
        <v>6732377</v>
      </c>
      <c r="CY919">
        <v>0</v>
      </c>
      <c r="CZ919">
        <v>0</v>
      </c>
      <c r="DA919">
        <v>0</v>
      </c>
      <c r="DB919">
        <v>1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</row>
    <row r="920" spans="1:113" x14ac:dyDescent="0.3">
      <c r="A920" t="str">
        <f>"06/16/2022 19:19:18.911"</f>
        <v>06/16/2022 19:19:18.911</v>
      </c>
      <c r="C920" t="str">
        <f t="shared" si="45"/>
        <v>FFBF5BC0</v>
      </c>
      <c r="D920" t="s">
        <v>113</v>
      </c>
      <c r="E920">
        <v>8</v>
      </c>
      <c r="H920">
        <v>206</v>
      </c>
      <c r="I920" t="s">
        <v>114</v>
      </c>
      <c r="J920" t="s">
        <v>115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>"19:19:18.719"</f>
        <v>19:19:18.719</v>
      </c>
      <c r="T920" t="str">
        <f>"19:19:18.719"</f>
        <v>19:19:18.719</v>
      </c>
      <c r="U920" t="str">
        <f t="shared" si="43"/>
        <v>AB63B2</v>
      </c>
      <c r="V920">
        <v>0</v>
      </c>
      <c r="W920">
        <v>0</v>
      </c>
      <c r="X920">
        <v>6</v>
      </c>
      <c r="Z920">
        <v>0</v>
      </c>
      <c r="AA920">
        <v>9</v>
      </c>
      <c r="AB920">
        <v>3</v>
      </c>
      <c r="AC920">
        <v>0</v>
      </c>
      <c r="AD920">
        <v>10</v>
      </c>
      <c r="AE920">
        <v>0</v>
      </c>
      <c r="AF920">
        <v>0</v>
      </c>
      <c r="AG920">
        <v>2</v>
      </c>
      <c r="AH920">
        <v>0</v>
      </c>
      <c r="AI920" t="s">
        <v>857</v>
      </c>
      <c r="AJ920">
        <v>41.980755000000002</v>
      </c>
      <c r="AK920" t="s">
        <v>858</v>
      </c>
      <c r="AL920">
        <v>-87.891504999999995</v>
      </c>
      <c r="AS920">
        <v>1</v>
      </c>
      <c r="AT920" t="s">
        <v>118</v>
      </c>
      <c r="AU920" t="b">
        <v>1</v>
      </c>
      <c r="AV920">
        <v>50.63</v>
      </c>
      <c r="AW920">
        <v>11.125</v>
      </c>
      <c r="AX920">
        <v>1</v>
      </c>
      <c r="AZ920">
        <v>7205</v>
      </c>
      <c r="BA920">
        <v>1</v>
      </c>
      <c r="BB920" t="str">
        <f t="shared" si="44"/>
        <v xml:space="preserve">KAP400  </v>
      </c>
      <c r="BC920">
        <v>1</v>
      </c>
      <c r="BE920">
        <v>0</v>
      </c>
      <c r="BF920">
        <v>0</v>
      </c>
      <c r="BG920">
        <v>0</v>
      </c>
      <c r="BI920">
        <v>1</v>
      </c>
      <c r="BJ920">
        <v>1</v>
      </c>
      <c r="BK920">
        <v>1</v>
      </c>
      <c r="BL920">
        <v>0</v>
      </c>
      <c r="BO920">
        <v>0</v>
      </c>
      <c r="BP920">
        <v>0</v>
      </c>
      <c r="BW920" t="str">
        <f>"19:19:18.722"</f>
        <v>19:19:18.722</v>
      </c>
      <c r="BX920" t="s">
        <v>119</v>
      </c>
      <c r="BY920" t="s">
        <v>120</v>
      </c>
      <c r="CJ920">
        <v>0</v>
      </c>
      <c r="CK920">
        <v>0</v>
      </c>
      <c r="CL920">
        <v>0</v>
      </c>
      <c r="CM920">
        <v>2</v>
      </c>
      <c r="CN920">
        <v>0</v>
      </c>
      <c r="CO920">
        <v>7</v>
      </c>
      <c r="CP920" t="s">
        <v>121</v>
      </c>
      <c r="CQ920">
        <v>581</v>
      </c>
      <c r="CR920">
        <v>0</v>
      </c>
      <c r="CW920">
        <v>15841167</v>
      </c>
      <c r="CY920">
        <v>0</v>
      </c>
      <c r="CZ920">
        <v>0</v>
      </c>
      <c r="DA920">
        <v>0</v>
      </c>
      <c r="DB920">
        <v>1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</row>
    <row r="921" spans="1:113" x14ac:dyDescent="0.3">
      <c r="A921" t="str">
        <f>"06/16/2022 19:19:19.958"</f>
        <v>06/16/2022 19:19:19.958</v>
      </c>
      <c r="C921" t="str">
        <f t="shared" si="45"/>
        <v>FFBF5BC0</v>
      </c>
      <c r="D921" t="s">
        <v>113</v>
      </c>
      <c r="E921">
        <v>8</v>
      </c>
      <c r="H921">
        <v>206</v>
      </c>
      <c r="I921" t="s">
        <v>114</v>
      </c>
      <c r="J921" t="s">
        <v>115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>"19:19:19.688"</f>
        <v>19:19:19.688</v>
      </c>
      <c r="T921" t="str">
        <f>"19:19:19.688"</f>
        <v>19:19:19.688</v>
      </c>
      <c r="U921" t="str">
        <f t="shared" si="43"/>
        <v>AB63B2</v>
      </c>
      <c r="V921">
        <v>0</v>
      </c>
      <c r="W921">
        <v>0</v>
      </c>
      <c r="X921">
        <v>6</v>
      </c>
      <c r="Z921">
        <v>0</v>
      </c>
      <c r="AA921">
        <v>9</v>
      </c>
      <c r="AB921">
        <v>3</v>
      </c>
      <c r="AC921">
        <v>0</v>
      </c>
      <c r="AD921">
        <v>10</v>
      </c>
      <c r="AE921">
        <v>0</v>
      </c>
      <c r="AF921">
        <v>0</v>
      </c>
      <c r="AG921">
        <v>2</v>
      </c>
      <c r="AH921">
        <v>0</v>
      </c>
      <c r="AI921" t="s">
        <v>313</v>
      </c>
      <c r="AJ921">
        <v>41.980777000000003</v>
      </c>
      <c r="AK921" t="s">
        <v>859</v>
      </c>
      <c r="AL921">
        <v>-87.891462000000004</v>
      </c>
      <c r="AS921">
        <v>1</v>
      </c>
      <c r="AT921" t="s">
        <v>118</v>
      </c>
      <c r="AU921" t="b">
        <v>1</v>
      </c>
      <c r="AV921">
        <v>47.81</v>
      </c>
      <c r="AW921">
        <v>11.125</v>
      </c>
      <c r="AX921">
        <v>1</v>
      </c>
      <c r="AZ921">
        <v>7205</v>
      </c>
      <c r="BA921">
        <v>1</v>
      </c>
      <c r="BB921" t="str">
        <f t="shared" si="44"/>
        <v xml:space="preserve">KAP400  </v>
      </c>
      <c r="BC921">
        <v>1</v>
      </c>
      <c r="BE921">
        <v>0</v>
      </c>
      <c r="BF921">
        <v>0</v>
      </c>
      <c r="BG921">
        <v>0</v>
      </c>
      <c r="BI921">
        <v>1</v>
      </c>
      <c r="BJ921">
        <v>1</v>
      </c>
      <c r="BK921">
        <v>1</v>
      </c>
      <c r="BL921">
        <v>0</v>
      </c>
      <c r="BO921">
        <v>0</v>
      </c>
      <c r="BP921">
        <v>0</v>
      </c>
      <c r="BW921" t="str">
        <f>"19:19:19.695"</f>
        <v>19:19:19.695</v>
      </c>
      <c r="BX921" t="s">
        <v>119</v>
      </c>
      <c r="BY921" t="s">
        <v>120</v>
      </c>
      <c r="CJ921">
        <v>0</v>
      </c>
      <c r="CK921">
        <v>0</v>
      </c>
      <c r="CL921">
        <v>0</v>
      </c>
      <c r="CM921">
        <v>2</v>
      </c>
      <c r="CN921">
        <v>0</v>
      </c>
      <c r="CO921">
        <v>7</v>
      </c>
      <c r="CP921" t="s">
        <v>121</v>
      </c>
      <c r="CQ921">
        <v>582</v>
      </c>
      <c r="CR921">
        <v>0</v>
      </c>
      <c r="CW921">
        <v>6735440</v>
      </c>
      <c r="CY921">
        <v>0</v>
      </c>
      <c r="CZ921">
        <v>0</v>
      </c>
      <c r="DA921">
        <v>0</v>
      </c>
      <c r="DB921">
        <v>1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</row>
    <row r="922" spans="1:113" x14ac:dyDescent="0.3">
      <c r="A922" t="str">
        <f>"06/16/2022 19:19:21.021"</f>
        <v>06/16/2022 19:19:21.021</v>
      </c>
      <c r="C922" t="str">
        <f t="shared" si="45"/>
        <v>FFBF5BC0</v>
      </c>
      <c r="D922" t="s">
        <v>113</v>
      </c>
      <c r="E922">
        <v>8</v>
      </c>
      <c r="H922">
        <v>206</v>
      </c>
      <c r="I922" t="s">
        <v>114</v>
      </c>
      <c r="J922" t="s">
        <v>115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>"19:19:20.766"</f>
        <v>19:19:20.766</v>
      </c>
      <c r="T922" t="str">
        <f>"19:19:20.766"</f>
        <v>19:19:20.766</v>
      </c>
      <c r="U922" t="str">
        <f t="shared" si="43"/>
        <v>AB63B2</v>
      </c>
      <c r="V922">
        <v>0</v>
      </c>
      <c r="W922">
        <v>0</v>
      </c>
      <c r="X922">
        <v>6</v>
      </c>
      <c r="Z922">
        <v>0</v>
      </c>
      <c r="AA922">
        <v>9</v>
      </c>
      <c r="AB922">
        <v>3</v>
      </c>
      <c r="AC922">
        <v>0</v>
      </c>
      <c r="AD922">
        <v>10</v>
      </c>
      <c r="AE922">
        <v>0</v>
      </c>
      <c r="AF922">
        <v>0</v>
      </c>
      <c r="AG922">
        <v>2</v>
      </c>
      <c r="AH922">
        <v>0</v>
      </c>
      <c r="AI922" t="s">
        <v>860</v>
      </c>
      <c r="AJ922">
        <v>41.980820000000001</v>
      </c>
      <c r="AK922" t="s">
        <v>123</v>
      </c>
      <c r="AL922">
        <v>-87.891396999999998</v>
      </c>
      <c r="AS922">
        <v>1</v>
      </c>
      <c r="AT922" t="s">
        <v>118</v>
      </c>
      <c r="AU922" t="b">
        <v>1</v>
      </c>
      <c r="AV922">
        <v>47.81</v>
      </c>
      <c r="AW922">
        <v>11.125</v>
      </c>
      <c r="AX922">
        <v>1</v>
      </c>
      <c r="AZ922">
        <v>7205</v>
      </c>
      <c r="BA922">
        <v>1</v>
      </c>
      <c r="BB922" t="str">
        <f t="shared" si="44"/>
        <v xml:space="preserve">KAP400  </v>
      </c>
      <c r="BC922">
        <v>1</v>
      </c>
      <c r="BE922">
        <v>0</v>
      </c>
      <c r="BF922">
        <v>0</v>
      </c>
      <c r="BG922">
        <v>0</v>
      </c>
      <c r="BI922">
        <v>1</v>
      </c>
      <c r="BJ922">
        <v>1</v>
      </c>
      <c r="BK922">
        <v>1</v>
      </c>
      <c r="BL922">
        <v>0</v>
      </c>
      <c r="BO922">
        <v>0</v>
      </c>
      <c r="BP922">
        <v>0</v>
      </c>
      <c r="BW922" t="str">
        <f>"19:19:20.767"</f>
        <v>19:19:20.767</v>
      </c>
      <c r="BX922" t="s">
        <v>119</v>
      </c>
      <c r="BY922" t="s">
        <v>120</v>
      </c>
      <c r="CJ922">
        <v>0</v>
      </c>
      <c r="CK922">
        <v>0</v>
      </c>
      <c r="CL922">
        <v>0</v>
      </c>
      <c r="CM922">
        <v>2</v>
      </c>
      <c r="CN922">
        <v>0</v>
      </c>
      <c r="CO922">
        <v>7</v>
      </c>
      <c r="CP922" t="s">
        <v>121</v>
      </c>
      <c r="CQ922">
        <v>581</v>
      </c>
      <c r="CR922">
        <v>0</v>
      </c>
      <c r="CW922">
        <v>15843803</v>
      </c>
      <c r="CY922">
        <v>0</v>
      </c>
      <c r="CZ922">
        <v>0</v>
      </c>
      <c r="DA922">
        <v>0</v>
      </c>
      <c r="DB922">
        <v>1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</row>
    <row r="923" spans="1:113" x14ac:dyDescent="0.3">
      <c r="A923" t="str">
        <f>"06/16/2022 19:19:21.942"</f>
        <v>06/16/2022 19:19:21.942</v>
      </c>
      <c r="C923" t="str">
        <f t="shared" si="45"/>
        <v>FFBF5BC0</v>
      </c>
      <c r="D923" t="s">
        <v>113</v>
      </c>
      <c r="E923">
        <v>8</v>
      </c>
      <c r="H923">
        <v>206</v>
      </c>
      <c r="I923" t="s">
        <v>114</v>
      </c>
      <c r="J923" t="s">
        <v>115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>"19:19:21.734"</f>
        <v>19:19:21.734</v>
      </c>
      <c r="T923" t="str">
        <f>"19:19:21.734"</f>
        <v>19:19:21.734</v>
      </c>
      <c r="U923" t="str">
        <f t="shared" si="43"/>
        <v>AB63B2</v>
      </c>
      <c r="V923">
        <v>0</v>
      </c>
      <c r="W923">
        <v>0</v>
      </c>
      <c r="X923">
        <v>6</v>
      </c>
      <c r="Z923">
        <v>0</v>
      </c>
      <c r="AA923">
        <v>9</v>
      </c>
      <c r="AB923">
        <v>3</v>
      </c>
      <c r="AC923">
        <v>0</v>
      </c>
      <c r="AD923">
        <v>10</v>
      </c>
      <c r="AE923">
        <v>0</v>
      </c>
      <c r="AF923">
        <v>0</v>
      </c>
      <c r="AG923">
        <v>2</v>
      </c>
      <c r="AH923">
        <v>0</v>
      </c>
      <c r="AI923" t="s">
        <v>861</v>
      </c>
      <c r="AJ923">
        <v>41.980840999999998</v>
      </c>
      <c r="AK923" t="s">
        <v>862</v>
      </c>
      <c r="AL923">
        <v>-87.891333000000003</v>
      </c>
      <c r="AS923">
        <v>1</v>
      </c>
      <c r="AT923" t="s">
        <v>118</v>
      </c>
      <c r="AU923" t="b">
        <v>1</v>
      </c>
      <c r="AV923">
        <v>47.81</v>
      </c>
      <c r="AW923">
        <v>11.625</v>
      </c>
      <c r="AX923">
        <v>1</v>
      </c>
      <c r="AZ923">
        <v>7205</v>
      </c>
      <c r="BA923">
        <v>1</v>
      </c>
      <c r="BB923" t="str">
        <f t="shared" si="44"/>
        <v xml:space="preserve">KAP400  </v>
      </c>
      <c r="BC923">
        <v>1</v>
      </c>
      <c r="BE923">
        <v>0</v>
      </c>
      <c r="BF923">
        <v>0</v>
      </c>
      <c r="BG923">
        <v>0</v>
      </c>
      <c r="BI923">
        <v>1</v>
      </c>
      <c r="BJ923">
        <v>1</v>
      </c>
      <c r="BK923">
        <v>1</v>
      </c>
      <c r="BL923">
        <v>0</v>
      </c>
      <c r="BO923">
        <v>0</v>
      </c>
      <c r="BP923">
        <v>0</v>
      </c>
      <c r="BW923" t="str">
        <f>"19:19:21.738"</f>
        <v>19:19:21.738</v>
      </c>
      <c r="BX923" t="s">
        <v>119</v>
      </c>
      <c r="BY923" t="s">
        <v>120</v>
      </c>
      <c r="CJ923">
        <v>0</v>
      </c>
      <c r="CK923">
        <v>0</v>
      </c>
      <c r="CL923">
        <v>0</v>
      </c>
      <c r="CM923">
        <v>2</v>
      </c>
      <c r="CN923">
        <v>0</v>
      </c>
      <c r="CO923">
        <v>7</v>
      </c>
      <c r="CP923" t="s">
        <v>121</v>
      </c>
      <c r="CQ923">
        <v>582</v>
      </c>
      <c r="CR923">
        <v>0</v>
      </c>
      <c r="CW923">
        <v>6737886</v>
      </c>
      <c r="CY923">
        <v>0</v>
      </c>
      <c r="CZ923">
        <v>0</v>
      </c>
      <c r="DA923">
        <v>0</v>
      </c>
      <c r="DB923">
        <v>1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</row>
    <row r="924" spans="1:113" x14ac:dyDescent="0.3">
      <c r="A924" t="str">
        <f>"06/16/2022 19:19:22.942"</f>
        <v>06/16/2022 19:19:22.942</v>
      </c>
      <c r="C924" t="str">
        <f t="shared" si="45"/>
        <v>FFBF5BC0</v>
      </c>
      <c r="D924" t="s">
        <v>113</v>
      </c>
      <c r="E924">
        <v>8</v>
      </c>
      <c r="H924">
        <v>206</v>
      </c>
      <c r="I924" t="s">
        <v>114</v>
      </c>
      <c r="J924" t="s">
        <v>115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>"19:19:22.672"</f>
        <v>19:19:22.672</v>
      </c>
      <c r="T924" t="str">
        <f>"19:19:22.672"</f>
        <v>19:19:22.672</v>
      </c>
      <c r="U924" t="str">
        <f t="shared" si="43"/>
        <v>AB63B2</v>
      </c>
      <c r="V924">
        <v>0</v>
      </c>
      <c r="W924">
        <v>0</v>
      </c>
      <c r="X924">
        <v>6</v>
      </c>
      <c r="Z924">
        <v>0</v>
      </c>
      <c r="AA924">
        <v>9</v>
      </c>
      <c r="AB924">
        <v>3</v>
      </c>
      <c r="AC924">
        <v>0</v>
      </c>
      <c r="AD924">
        <v>10</v>
      </c>
      <c r="AE924">
        <v>0</v>
      </c>
      <c r="AF924">
        <v>0</v>
      </c>
      <c r="AG924">
        <v>2</v>
      </c>
      <c r="AH924">
        <v>0</v>
      </c>
      <c r="AI924" t="s">
        <v>863</v>
      </c>
      <c r="AJ924">
        <v>41.980884000000003</v>
      </c>
      <c r="AK924" t="s">
        <v>864</v>
      </c>
      <c r="AL924">
        <v>-87.891289999999998</v>
      </c>
      <c r="AS924">
        <v>1</v>
      </c>
      <c r="AT924" t="s">
        <v>118</v>
      </c>
      <c r="AU924" t="b">
        <v>1</v>
      </c>
      <c r="AV924">
        <v>47.81</v>
      </c>
      <c r="AW924">
        <v>11.625</v>
      </c>
      <c r="AX924">
        <v>1</v>
      </c>
      <c r="AZ924">
        <v>7205</v>
      </c>
      <c r="BA924">
        <v>1</v>
      </c>
      <c r="BB924" t="str">
        <f t="shared" si="44"/>
        <v xml:space="preserve">KAP400  </v>
      </c>
      <c r="BC924">
        <v>1</v>
      </c>
      <c r="BE924">
        <v>0</v>
      </c>
      <c r="BF924">
        <v>0</v>
      </c>
      <c r="BG924">
        <v>0</v>
      </c>
      <c r="BI924">
        <v>1</v>
      </c>
      <c r="BJ924">
        <v>1</v>
      </c>
      <c r="BK924">
        <v>1</v>
      </c>
      <c r="BL924">
        <v>0</v>
      </c>
      <c r="BO924">
        <v>0</v>
      </c>
      <c r="BP924">
        <v>0</v>
      </c>
      <c r="BW924" t="str">
        <f>"19:19:22.677"</f>
        <v>19:19:22.677</v>
      </c>
      <c r="BX924" t="s">
        <v>119</v>
      </c>
      <c r="BY924" t="s">
        <v>120</v>
      </c>
      <c r="CJ924">
        <v>0</v>
      </c>
      <c r="CK924">
        <v>0</v>
      </c>
      <c r="CL924">
        <v>0</v>
      </c>
      <c r="CM924">
        <v>2</v>
      </c>
      <c r="CN924">
        <v>0</v>
      </c>
      <c r="CO924">
        <v>7</v>
      </c>
      <c r="CP924" t="s">
        <v>121</v>
      </c>
      <c r="CQ924">
        <v>581</v>
      </c>
      <c r="CR924">
        <v>0</v>
      </c>
      <c r="CW924">
        <v>15846294</v>
      </c>
      <c r="CY924">
        <v>0</v>
      </c>
      <c r="CZ924">
        <v>0</v>
      </c>
      <c r="DA924">
        <v>0</v>
      </c>
      <c r="DB924">
        <v>1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</row>
    <row r="925" spans="1:113" x14ac:dyDescent="0.3">
      <c r="A925" t="str">
        <f>"06/16/2022 19:19:24.004"</f>
        <v>06/16/2022 19:19:24.004</v>
      </c>
      <c r="C925" t="str">
        <f t="shared" si="45"/>
        <v>FFBF5BC0</v>
      </c>
      <c r="D925" t="s">
        <v>113</v>
      </c>
      <c r="E925">
        <v>8</v>
      </c>
      <c r="H925">
        <v>206</v>
      </c>
      <c r="I925" t="s">
        <v>114</v>
      </c>
      <c r="J925" t="s">
        <v>115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>"19:19:23.766"</f>
        <v>19:19:23.766</v>
      </c>
      <c r="T925" t="str">
        <f>"19:19:23.766"</f>
        <v>19:19:23.766</v>
      </c>
      <c r="U925" t="str">
        <f t="shared" si="43"/>
        <v>AB63B2</v>
      </c>
      <c r="V925">
        <v>0</v>
      </c>
      <c r="W925">
        <v>0</v>
      </c>
      <c r="X925">
        <v>6</v>
      </c>
      <c r="Z925">
        <v>0</v>
      </c>
      <c r="AA925">
        <v>9</v>
      </c>
      <c r="AB925">
        <v>3</v>
      </c>
      <c r="AC925">
        <v>0</v>
      </c>
      <c r="AD925">
        <v>10</v>
      </c>
      <c r="AE925">
        <v>0</v>
      </c>
      <c r="AF925">
        <v>0</v>
      </c>
      <c r="AG925">
        <v>2</v>
      </c>
      <c r="AH925">
        <v>0</v>
      </c>
      <c r="AI925" t="s">
        <v>865</v>
      </c>
      <c r="AJ925">
        <v>41.980927000000001</v>
      </c>
      <c r="AK925" t="s">
        <v>866</v>
      </c>
      <c r="AL925">
        <v>-87.891247000000007</v>
      </c>
      <c r="AS925">
        <v>1</v>
      </c>
      <c r="AT925" t="s">
        <v>118</v>
      </c>
      <c r="AU925" t="b">
        <v>1</v>
      </c>
      <c r="AV925">
        <v>47.81</v>
      </c>
      <c r="AW925">
        <v>11.625</v>
      </c>
      <c r="AX925">
        <v>1</v>
      </c>
      <c r="AZ925">
        <v>7205</v>
      </c>
      <c r="BA925">
        <v>1</v>
      </c>
      <c r="BB925" t="str">
        <f t="shared" si="44"/>
        <v xml:space="preserve">KAP400  </v>
      </c>
      <c r="BC925">
        <v>1</v>
      </c>
      <c r="BE925">
        <v>0</v>
      </c>
      <c r="BF925">
        <v>0</v>
      </c>
      <c r="BG925">
        <v>0</v>
      </c>
      <c r="BI925">
        <v>1</v>
      </c>
      <c r="BJ925">
        <v>1</v>
      </c>
      <c r="BK925">
        <v>1</v>
      </c>
      <c r="BL925">
        <v>0</v>
      </c>
      <c r="BO925">
        <v>0</v>
      </c>
      <c r="BP925">
        <v>0</v>
      </c>
      <c r="BW925" t="str">
        <f>"19:19:23.770"</f>
        <v>19:19:23.770</v>
      </c>
      <c r="BX925" t="s">
        <v>119</v>
      </c>
      <c r="BY925" t="s">
        <v>120</v>
      </c>
      <c r="CJ925">
        <v>0</v>
      </c>
      <c r="CK925">
        <v>0</v>
      </c>
      <c r="CL925">
        <v>0</v>
      </c>
      <c r="CM925">
        <v>2</v>
      </c>
      <c r="CN925">
        <v>0</v>
      </c>
      <c r="CO925">
        <v>7</v>
      </c>
      <c r="CP925" t="s">
        <v>121</v>
      </c>
      <c r="CQ925">
        <v>581</v>
      </c>
      <c r="CR925">
        <v>0</v>
      </c>
      <c r="CW925">
        <v>15847763</v>
      </c>
      <c r="CY925">
        <v>0</v>
      </c>
      <c r="CZ925">
        <v>0</v>
      </c>
      <c r="DA925">
        <v>0</v>
      </c>
      <c r="DB925">
        <v>1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</row>
    <row r="926" spans="1:113" x14ac:dyDescent="0.3">
      <c r="A926" t="str">
        <f>"06/16/2022 19:19:25.082"</f>
        <v>06/16/2022 19:19:25.082</v>
      </c>
      <c r="C926" t="str">
        <f t="shared" si="45"/>
        <v>FFBF5BC0</v>
      </c>
      <c r="D926" t="s">
        <v>113</v>
      </c>
      <c r="E926">
        <v>8</v>
      </c>
      <c r="H926">
        <v>206</v>
      </c>
      <c r="I926" t="s">
        <v>114</v>
      </c>
      <c r="J926" t="s">
        <v>115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>"19:19:24.820"</f>
        <v>19:19:24.820</v>
      </c>
      <c r="T926" t="str">
        <f>"19:19:24.820"</f>
        <v>19:19:24.820</v>
      </c>
      <c r="U926" t="str">
        <f t="shared" si="43"/>
        <v>AB63B2</v>
      </c>
      <c r="V926">
        <v>0</v>
      </c>
      <c r="W926">
        <v>0</v>
      </c>
      <c r="X926">
        <v>6</v>
      </c>
      <c r="Z926">
        <v>0</v>
      </c>
      <c r="AA926">
        <v>9</v>
      </c>
      <c r="AB926">
        <v>3</v>
      </c>
      <c r="AC926">
        <v>0</v>
      </c>
      <c r="AD926">
        <v>10</v>
      </c>
      <c r="AE926">
        <v>0</v>
      </c>
      <c r="AF926">
        <v>0</v>
      </c>
      <c r="AG926">
        <v>2</v>
      </c>
      <c r="AH926">
        <v>0</v>
      </c>
      <c r="AI926" t="s">
        <v>308</v>
      </c>
      <c r="AJ926">
        <v>41.980969999999999</v>
      </c>
      <c r="AK926" t="s">
        <v>867</v>
      </c>
      <c r="AL926">
        <v>-87.891182999999998</v>
      </c>
      <c r="AS926">
        <v>1</v>
      </c>
      <c r="AT926" t="s">
        <v>118</v>
      </c>
      <c r="AU926" t="b">
        <v>1</v>
      </c>
      <c r="AV926">
        <v>50.63</v>
      </c>
      <c r="AW926">
        <v>11.625</v>
      </c>
      <c r="AX926">
        <v>1</v>
      </c>
      <c r="AZ926">
        <v>7205</v>
      </c>
      <c r="BA926">
        <v>1</v>
      </c>
      <c r="BB926" t="str">
        <f t="shared" si="44"/>
        <v xml:space="preserve">KAP400  </v>
      </c>
      <c r="BC926">
        <v>1</v>
      </c>
      <c r="BE926">
        <v>0</v>
      </c>
      <c r="BF926">
        <v>0</v>
      </c>
      <c r="BG926">
        <v>0</v>
      </c>
      <c r="BI926">
        <v>1</v>
      </c>
      <c r="BJ926">
        <v>1</v>
      </c>
      <c r="BK926">
        <v>1</v>
      </c>
      <c r="BL926">
        <v>0</v>
      </c>
      <c r="BO926">
        <v>0</v>
      </c>
      <c r="BP926">
        <v>0</v>
      </c>
      <c r="BW926" t="str">
        <f>"19:19:24.824"</f>
        <v>19:19:24.824</v>
      </c>
      <c r="BX926" t="s">
        <v>119</v>
      </c>
      <c r="BY926" t="s">
        <v>120</v>
      </c>
      <c r="CJ926">
        <v>0</v>
      </c>
      <c r="CK926">
        <v>0</v>
      </c>
      <c r="CL926">
        <v>0</v>
      </c>
      <c r="CM926">
        <v>2</v>
      </c>
      <c r="CN926">
        <v>0</v>
      </c>
      <c r="CO926">
        <v>7</v>
      </c>
      <c r="CP926" t="s">
        <v>121</v>
      </c>
      <c r="CQ926">
        <v>582</v>
      </c>
      <c r="CR926">
        <v>0</v>
      </c>
      <c r="CW926">
        <v>6741660</v>
      </c>
      <c r="CY926">
        <v>0</v>
      </c>
      <c r="CZ926">
        <v>0</v>
      </c>
      <c r="DA926">
        <v>0</v>
      </c>
      <c r="DB926">
        <v>1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</row>
    <row r="927" spans="1:113" x14ac:dyDescent="0.3">
      <c r="A927" t="str">
        <f>"06/16/2022 19:19:26.083"</f>
        <v>06/16/2022 19:19:26.083</v>
      </c>
      <c r="C927" t="str">
        <f t="shared" si="45"/>
        <v>FFBF5BC0</v>
      </c>
      <c r="D927" t="s">
        <v>113</v>
      </c>
      <c r="E927">
        <v>8</v>
      </c>
      <c r="H927">
        <v>206</v>
      </c>
      <c r="I927" t="s">
        <v>114</v>
      </c>
      <c r="J927" t="s">
        <v>115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>"19:19:25.781"</f>
        <v>19:19:25.781</v>
      </c>
      <c r="T927" t="str">
        <f>"19:19:25.781"</f>
        <v>19:19:25.781</v>
      </c>
      <c r="U927" t="str">
        <f t="shared" si="43"/>
        <v>AB63B2</v>
      </c>
      <c r="V927">
        <v>0</v>
      </c>
      <c r="W927">
        <v>0</v>
      </c>
      <c r="X927">
        <v>6</v>
      </c>
      <c r="Z927">
        <v>0</v>
      </c>
      <c r="AA927">
        <v>9</v>
      </c>
      <c r="AB927">
        <v>3</v>
      </c>
      <c r="AC927">
        <v>0</v>
      </c>
      <c r="AD927">
        <v>10</v>
      </c>
      <c r="AE927">
        <v>0</v>
      </c>
      <c r="AF927">
        <v>0</v>
      </c>
      <c r="AG927">
        <v>2</v>
      </c>
      <c r="AH927">
        <v>0</v>
      </c>
      <c r="AI927" t="s">
        <v>868</v>
      </c>
      <c r="AJ927">
        <v>41.980991000000003</v>
      </c>
      <c r="AK927" t="s">
        <v>869</v>
      </c>
      <c r="AL927">
        <v>-87.891119000000003</v>
      </c>
      <c r="AS927">
        <v>1</v>
      </c>
      <c r="AT927" t="s">
        <v>118</v>
      </c>
      <c r="AU927" t="b">
        <v>1</v>
      </c>
      <c r="AV927">
        <v>50.63</v>
      </c>
      <c r="AW927">
        <v>12.125</v>
      </c>
      <c r="AX927">
        <v>1</v>
      </c>
      <c r="AZ927">
        <v>7205</v>
      </c>
      <c r="BA927">
        <v>1</v>
      </c>
      <c r="BB927" t="str">
        <f t="shared" si="44"/>
        <v xml:space="preserve">KAP400  </v>
      </c>
      <c r="BC927">
        <v>1</v>
      </c>
      <c r="BE927">
        <v>0</v>
      </c>
      <c r="BF927">
        <v>0</v>
      </c>
      <c r="BG927">
        <v>0</v>
      </c>
      <c r="BI927">
        <v>1</v>
      </c>
      <c r="BJ927">
        <v>1</v>
      </c>
      <c r="BK927">
        <v>1</v>
      </c>
      <c r="BL927">
        <v>0</v>
      </c>
      <c r="BO927">
        <v>0</v>
      </c>
      <c r="BP927">
        <v>0</v>
      </c>
      <c r="BW927" t="str">
        <f>"19:19:25.784"</f>
        <v>19:19:25.784</v>
      </c>
      <c r="BX927" t="s">
        <v>119</v>
      </c>
      <c r="BY927" t="s">
        <v>120</v>
      </c>
      <c r="CJ927">
        <v>0</v>
      </c>
      <c r="CK927">
        <v>0</v>
      </c>
      <c r="CL927">
        <v>0</v>
      </c>
      <c r="CM927">
        <v>2</v>
      </c>
      <c r="CN927">
        <v>0</v>
      </c>
      <c r="CO927">
        <v>7</v>
      </c>
      <c r="CP927" t="s">
        <v>121</v>
      </c>
      <c r="CQ927">
        <v>582</v>
      </c>
      <c r="CR927">
        <v>0</v>
      </c>
      <c r="CW927">
        <v>6742767</v>
      </c>
      <c r="CY927">
        <v>0</v>
      </c>
      <c r="CZ927">
        <v>0</v>
      </c>
      <c r="DA927">
        <v>0</v>
      </c>
      <c r="DB927">
        <v>1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</row>
    <row r="928" spans="1:113" x14ac:dyDescent="0.3">
      <c r="A928" t="str">
        <f>"06/16/2022 19:19:27.238"</f>
        <v>06/16/2022 19:19:27.238</v>
      </c>
      <c r="C928" t="str">
        <f t="shared" si="45"/>
        <v>FFBF5BC0</v>
      </c>
      <c r="D928" t="s">
        <v>113</v>
      </c>
      <c r="E928">
        <v>8</v>
      </c>
      <c r="H928">
        <v>206</v>
      </c>
      <c r="I928" t="s">
        <v>114</v>
      </c>
      <c r="J928" t="s">
        <v>115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>"19:19:26.820"</f>
        <v>19:19:26.820</v>
      </c>
      <c r="T928" t="str">
        <f>"19:19:26.820"</f>
        <v>19:19:26.820</v>
      </c>
      <c r="U928" t="str">
        <f t="shared" si="43"/>
        <v>AB63B2</v>
      </c>
      <c r="V928">
        <v>0</v>
      </c>
      <c r="W928">
        <v>0</v>
      </c>
      <c r="X928">
        <v>6</v>
      </c>
      <c r="Z928">
        <v>0</v>
      </c>
      <c r="AA928">
        <v>9</v>
      </c>
      <c r="AB928">
        <v>3</v>
      </c>
      <c r="AC928">
        <v>0</v>
      </c>
      <c r="AD928">
        <v>10</v>
      </c>
      <c r="AE928">
        <v>0</v>
      </c>
      <c r="AF928">
        <v>0</v>
      </c>
      <c r="AG928">
        <v>2</v>
      </c>
      <c r="AH928">
        <v>0</v>
      </c>
      <c r="AI928" t="s">
        <v>306</v>
      </c>
      <c r="AJ928">
        <v>41.981034000000001</v>
      </c>
      <c r="AK928" t="s">
        <v>870</v>
      </c>
      <c r="AL928">
        <v>-87.891075999999998</v>
      </c>
      <c r="AS928">
        <v>1</v>
      </c>
      <c r="AT928" t="s">
        <v>118</v>
      </c>
      <c r="AU928" t="b">
        <v>1</v>
      </c>
      <c r="AV928">
        <v>50.63</v>
      </c>
      <c r="AW928">
        <v>12.125</v>
      </c>
      <c r="AX928">
        <v>1</v>
      </c>
      <c r="AZ928">
        <v>7205</v>
      </c>
      <c r="BA928">
        <v>1</v>
      </c>
      <c r="BB928" t="str">
        <f t="shared" si="44"/>
        <v xml:space="preserve">KAP400  </v>
      </c>
      <c r="BC928">
        <v>1</v>
      </c>
      <c r="BE928">
        <v>0</v>
      </c>
      <c r="BF928">
        <v>0</v>
      </c>
      <c r="BG928">
        <v>0</v>
      </c>
      <c r="BI928">
        <v>1</v>
      </c>
      <c r="BJ928">
        <v>1</v>
      </c>
      <c r="BK928">
        <v>1</v>
      </c>
      <c r="BL928">
        <v>0</v>
      </c>
      <c r="BO928">
        <v>0</v>
      </c>
      <c r="BP928">
        <v>0</v>
      </c>
      <c r="BW928" t="str">
        <f>"19:19:26.826"</f>
        <v>19:19:26.826</v>
      </c>
      <c r="BX928" t="s">
        <v>119</v>
      </c>
      <c r="BY928" t="s">
        <v>120</v>
      </c>
      <c r="CJ928">
        <v>0</v>
      </c>
      <c r="CK928">
        <v>0</v>
      </c>
      <c r="CL928">
        <v>0</v>
      </c>
      <c r="CM928">
        <v>2</v>
      </c>
      <c r="CN928">
        <v>0</v>
      </c>
      <c r="CO928">
        <v>7</v>
      </c>
      <c r="CP928" t="s">
        <v>121</v>
      </c>
      <c r="CQ928">
        <v>581</v>
      </c>
      <c r="CR928">
        <v>0</v>
      </c>
      <c r="CW928">
        <v>15851601</v>
      </c>
      <c r="CY928">
        <v>0</v>
      </c>
      <c r="CZ928">
        <v>0</v>
      </c>
      <c r="DA928">
        <v>0</v>
      </c>
      <c r="DB928">
        <v>1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</row>
    <row r="929" spans="1:113" x14ac:dyDescent="0.3">
      <c r="A929" t="str">
        <f>"06/16/2022 19:19:27.988"</f>
        <v>06/16/2022 19:19:27.988</v>
      </c>
      <c r="C929" t="str">
        <f t="shared" si="45"/>
        <v>FFBF5BC0</v>
      </c>
      <c r="D929" t="s">
        <v>113</v>
      </c>
      <c r="E929">
        <v>8</v>
      </c>
      <c r="H929">
        <v>206</v>
      </c>
      <c r="I929" t="s">
        <v>114</v>
      </c>
      <c r="J929" t="s">
        <v>115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>"19:19:27.734"</f>
        <v>19:19:27.734</v>
      </c>
      <c r="T929" t="str">
        <f>"19:19:27.734"</f>
        <v>19:19:27.734</v>
      </c>
      <c r="U929" t="str">
        <f t="shared" si="43"/>
        <v>AB63B2</v>
      </c>
      <c r="V929">
        <v>0</v>
      </c>
      <c r="W929">
        <v>0</v>
      </c>
      <c r="X929">
        <v>6</v>
      </c>
      <c r="Z929">
        <v>0</v>
      </c>
      <c r="AA929">
        <v>9</v>
      </c>
      <c r="AB929">
        <v>3</v>
      </c>
      <c r="AC929">
        <v>0</v>
      </c>
      <c r="AD929">
        <v>10</v>
      </c>
      <c r="AE929">
        <v>0</v>
      </c>
      <c r="AF929">
        <v>0</v>
      </c>
      <c r="AG929">
        <v>2</v>
      </c>
      <c r="AH929">
        <v>0</v>
      </c>
      <c r="AI929" t="s">
        <v>871</v>
      </c>
      <c r="AJ929">
        <v>41.981056000000002</v>
      </c>
      <c r="AK929" t="s">
        <v>872</v>
      </c>
      <c r="AL929">
        <v>-87.891032999999993</v>
      </c>
      <c r="AS929">
        <v>1</v>
      </c>
      <c r="AT929" t="s">
        <v>118</v>
      </c>
      <c r="AU929" t="b">
        <v>1</v>
      </c>
      <c r="AV929">
        <v>50.63</v>
      </c>
      <c r="AW929">
        <v>12.125</v>
      </c>
      <c r="AX929">
        <v>1</v>
      </c>
      <c r="AZ929">
        <v>7205</v>
      </c>
      <c r="BA929">
        <v>1</v>
      </c>
      <c r="BB929" t="str">
        <f t="shared" si="44"/>
        <v xml:space="preserve">KAP400  </v>
      </c>
      <c r="BC929">
        <v>1</v>
      </c>
      <c r="BE929">
        <v>0</v>
      </c>
      <c r="BF929">
        <v>0</v>
      </c>
      <c r="BG929">
        <v>0</v>
      </c>
      <c r="BI929">
        <v>1</v>
      </c>
      <c r="BJ929">
        <v>1</v>
      </c>
      <c r="BK929">
        <v>1</v>
      </c>
      <c r="BL929">
        <v>0</v>
      </c>
      <c r="BO929">
        <v>0</v>
      </c>
      <c r="BP929">
        <v>0</v>
      </c>
      <c r="BW929" t="str">
        <f>"19:19:27.742"</f>
        <v>19:19:27.742</v>
      </c>
      <c r="BX929" t="s">
        <v>119</v>
      </c>
      <c r="BY929" t="s">
        <v>120</v>
      </c>
      <c r="CJ929">
        <v>0</v>
      </c>
      <c r="CK929">
        <v>0</v>
      </c>
      <c r="CL929">
        <v>0</v>
      </c>
      <c r="CM929">
        <v>2</v>
      </c>
      <c r="CN929">
        <v>0</v>
      </c>
      <c r="CO929">
        <v>7</v>
      </c>
      <c r="CP929" t="s">
        <v>121</v>
      </c>
      <c r="CQ929">
        <v>581</v>
      </c>
      <c r="CR929">
        <v>0</v>
      </c>
      <c r="CW929">
        <v>15852778</v>
      </c>
      <c r="CY929">
        <v>0</v>
      </c>
      <c r="CZ929">
        <v>0</v>
      </c>
      <c r="DA929">
        <v>0</v>
      </c>
      <c r="DB929">
        <v>1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</row>
    <row r="930" spans="1:113" x14ac:dyDescent="0.3">
      <c r="A930" t="str">
        <f>"06/16/2022 19:19:28.941"</f>
        <v>06/16/2022 19:19:28.941</v>
      </c>
      <c r="C930" t="str">
        <f t="shared" si="45"/>
        <v>FFBF5BC0</v>
      </c>
      <c r="D930" t="s">
        <v>113</v>
      </c>
      <c r="E930">
        <v>8</v>
      </c>
      <c r="H930">
        <v>206</v>
      </c>
      <c r="I930" t="s">
        <v>114</v>
      </c>
      <c r="J930" t="s">
        <v>115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>"19:19:28.703"</f>
        <v>19:19:28.703</v>
      </c>
      <c r="T930" t="str">
        <f>"19:19:28.703"</f>
        <v>19:19:28.703</v>
      </c>
      <c r="U930" t="str">
        <f t="shared" si="43"/>
        <v>AB63B2</v>
      </c>
      <c r="V930">
        <v>0</v>
      </c>
      <c r="W930">
        <v>0</v>
      </c>
      <c r="X930">
        <v>6</v>
      </c>
      <c r="Z930">
        <v>0</v>
      </c>
      <c r="AA930">
        <v>9</v>
      </c>
      <c r="AB930">
        <v>3</v>
      </c>
      <c r="AC930">
        <v>0</v>
      </c>
      <c r="AD930">
        <v>10</v>
      </c>
      <c r="AE930">
        <v>0</v>
      </c>
      <c r="AF930">
        <v>0</v>
      </c>
      <c r="AG930">
        <v>2</v>
      </c>
      <c r="AH930">
        <v>0</v>
      </c>
      <c r="AI930" t="s">
        <v>304</v>
      </c>
      <c r="AJ930">
        <v>41.981099</v>
      </c>
      <c r="AK930" t="s">
        <v>873</v>
      </c>
      <c r="AL930">
        <v>-87.890968000000001</v>
      </c>
      <c r="AS930">
        <v>1</v>
      </c>
      <c r="AT930" t="s">
        <v>118</v>
      </c>
      <c r="AU930" t="b">
        <v>1</v>
      </c>
      <c r="AV930">
        <v>50.63</v>
      </c>
      <c r="AW930">
        <v>12.125</v>
      </c>
      <c r="AX930">
        <v>1</v>
      </c>
      <c r="AZ930">
        <v>7205</v>
      </c>
      <c r="BA930">
        <v>1</v>
      </c>
      <c r="BB930" t="str">
        <f t="shared" si="44"/>
        <v xml:space="preserve">KAP400  </v>
      </c>
      <c r="BC930">
        <v>1</v>
      </c>
      <c r="BE930">
        <v>0</v>
      </c>
      <c r="BF930">
        <v>0</v>
      </c>
      <c r="BG930">
        <v>0</v>
      </c>
      <c r="BI930">
        <v>1</v>
      </c>
      <c r="BJ930">
        <v>1</v>
      </c>
      <c r="BK930">
        <v>1</v>
      </c>
      <c r="BL930">
        <v>0</v>
      </c>
      <c r="BO930">
        <v>0</v>
      </c>
      <c r="BP930">
        <v>0</v>
      </c>
      <c r="BW930" t="str">
        <f>"19:19:28.707"</f>
        <v>19:19:28.707</v>
      </c>
      <c r="BX930" t="s">
        <v>119</v>
      </c>
      <c r="BY930" t="s">
        <v>120</v>
      </c>
      <c r="CJ930">
        <v>0</v>
      </c>
      <c r="CK930">
        <v>0</v>
      </c>
      <c r="CL930">
        <v>0</v>
      </c>
      <c r="CM930">
        <v>2</v>
      </c>
      <c r="CN930">
        <v>0</v>
      </c>
      <c r="CO930">
        <v>7</v>
      </c>
      <c r="CP930" t="s">
        <v>121</v>
      </c>
      <c r="CQ930">
        <v>581</v>
      </c>
      <c r="CR930">
        <v>0</v>
      </c>
      <c r="CW930">
        <v>15854009</v>
      </c>
      <c r="CY930">
        <v>0</v>
      </c>
      <c r="CZ930">
        <v>0</v>
      </c>
      <c r="DA930">
        <v>0</v>
      </c>
      <c r="DB930">
        <v>1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</row>
    <row r="931" spans="1:113" x14ac:dyDescent="0.3">
      <c r="A931" t="str">
        <f>"06/16/2022 19:19:30.019"</f>
        <v>06/16/2022 19:19:30.019</v>
      </c>
      <c r="C931" t="str">
        <f t="shared" si="45"/>
        <v>FFBF5BC0</v>
      </c>
      <c r="D931" t="s">
        <v>113</v>
      </c>
      <c r="E931">
        <v>8</v>
      </c>
      <c r="H931">
        <v>206</v>
      </c>
      <c r="I931" t="s">
        <v>114</v>
      </c>
      <c r="J931" t="s">
        <v>115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>"19:19:29.766"</f>
        <v>19:19:29.766</v>
      </c>
      <c r="T931" t="str">
        <f>"19:19:29.766"</f>
        <v>19:19:29.766</v>
      </c>
      <c r="U931" t="str">
        <f t="shared" si="43"/>
        <v>AB63B2</v>
      </c>
      <c r="V931">
        <v>0</v>
      </c>
      <c r="W931">
        <v>0</v>
      </c>
      <c r="X931">
        <v>6</v>
      </c>
      <c r="Z931">
        <v>0</v>
      </c>
      <c r="AA931">
        <v>9</v>
      </c>
      <c r="AB931">
        <v>3</v>
      </c>
      <c r="AC931">
        <v>0</v>
      </c>
      <c r="AD931">
        <v>10</v>
      </c>
      <c r="AE931">
        <v>0</v>
      </c>
      <c r="AF931">
        <v>0</v>
      </c>
      <c r="AG931">
        <v>2</v>
      </c>
      <c r="AH931">
        <v>0</v>
      </c>
      <c r="AI931" t="s">
        <v>874</v>
      </c>
      <c r="AJ931">
        <v>41.981119999999997</v>
      </c>
      <c r="AK931" t="s">
        <v>875</v>
      </c>
      <c r="AL931">
        <v>-87.890904000000006</v>
      </c>
      <c r="AS931">
        <v>1</v>
      </c>
      <c r="AT931" t="s">
        <v>118</v>
      </c>
      <c r="AU931" t="b">
        <v>1</v>
      </c>
      <c r="AV931">
        <v>50.63</v>
      </c>
      <c r="AW931">
        <v>12.625</v>
      </c>
      <c r="AX931">
        <v>1</v>
      </c>
      <c r="AZ931">
        <v>7205</v>
      </c>
      <c r="BA931">
        <v>1</v>
      </c>
      <c r="BB931" t="str">
        <f t="shared" si="44"/>
        <v xml:space="preserve">KAP400  </v>
      </c>
      <c r="BC931">
        <v>1</v>
      </c>
      <c r="BE931">
        <v>0</v>
      </c>
      <c r="BF931">
        <v>0</v>
      </c>
      <c r="BG931">
        <v>0</v>
      </c>
      <c r="BI931">
        <v>1</v>
      </c>
      <c r="BJ931">
        <v>1</v>
      </c>
      <c r="BK931">
        <v>1</v>
      </c>
      <c r="BL931">
        <v>0</v>
      </c>
      <c r="BO931">
        <v>0</v>
      </c>
      <c r="BP931">
        <v>0</v>
      </c>
      <c r="BW931" t="str">
        <f>"19:19:29.770"</f>
        <v>19:19:29.770</v>
      </c>
      <c r="BX931" t="s">
        <v>119</v>
      </c>
      <c r="BY931" t="s">
        <v>120</v>
      </c>
      <c r="CJ931">
        <v>0</v>
      </c>
      <c r="CK931">
        <v>0</v>
      </c>
      <c r="CL931">
        <v>0</v>
      </c>
      <c r="CM931">
        <v>2</v>
      </c>
      <c r="CN931">
        <v>0</v>
      </c>
      <c r="CO931">
        <v>7</v>
      </c>
      <c r="CP931" t="s">
        <v>121</v>
      </c>
      <c r="CQ931">
        <v>582</v>
      </c>
      <c r="CR931">
        <v>0</v>
      </c>
      <c r="CW931">
        <v>6747477</v>
      </c>
      <c r="CY931">
        <v>0</v>
      </c>
      <c r="CZ931">
        <v>0</v>
      </c>
      <c r="DA931">
        <v>0</v>
      </c>
      <c r="DB931">
        <v>1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</row>
    <row r="932" spans="1:113" x14ac:dyDescent="0.3">
      <c r="A932" t="str">
        <f>"06/16/2022 19:19:30.972"</f>
        <v>06/16/2022 19:19:30.972</v>
      </c>
      <c r="C932" t="str">
        <f t="shared" si="45"/>
        <v>FFBF5BC0</v>
      </c>
      <c r="D932" t="s">
        <v>113</v>
      </c>
      <c r="E932">
        <v>8</v>
      </c>
      <c r="H932">
        <v>206</v>
      </c>
      <c r="I932" t="s">
        <v>114</v>
      </c>
      <c r="J932" t="s">
        <v>115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>"19:19:30.750"</f>
        <v>19:19:30.750</v>
      </c>
      <c r="T932" t="str">
        <f>"19:19:30.750"</f>
        <v>19:19:30.750</v>
      </c>
      <c r="U932" t="str">
        <f t="shared" si="43"/>
        <v>AB63B2</v>
      </c>
      <c r="V932">
        <v>0</v>
      </c>
      <c r="W932">
        <v>0</v>
      </c>
      <c r="X932">
        <v>6</v>
      </c>
      <c r="Z932">
        <v>0</v>
      </c>
      <c r="AA932">
        <v>9</v>
      </c>
      <c r="AB932">
        <v>3</v>
      </c>
      <c r="AC932">
        <v>0</v>
      </c>
      <c r="AD932">
        <v>10</v>
      </c>
      <c r="AE932">
        <v>0</v>
      </c>
      <c r="AF932">
        <v>0</v>
      </c>
      <c r="AG932">
        <v>2</v>
      </c>
      <c r="AH932">
        <v>0</v>
      </c>
      <c r="AI932" t="s">
        <v>876</v>
      </c>
      <c r="AJ932">
        <v>41.981163000000002</v>
      </c>
      <c r="AK932" t="s">
        <v>877</v>
      </c>
      <c r="AL932">
        <v>-87.890839999999997</v>
      </c>
      <c r="AS932">
        <v>1</v>
      </c>
      <c r="AT932" t="s">
        <v>118</v>
      </c>
      <c r="AU932" t="b">
        <v>1</v>
      </c>
      <c r="AV932">
        <v>50.63</v>
      </c>
      <c r="AW932">
        <v>12.625</v>
      </c>
      <c r="AX932">
        <v>1</v>
      </c>
      <c r="AZ932">
        <v>7205</v>
      </c>
      <c r="BA932">
        <v>1</v>
      </c>
      <c r="BB932" t="str">
        <f t="shared" si="44"/>
        <v xml:space="preserve">KAP400  </v>
      </c>
      <c r="BC932">
        <v>1</v>
      </c>
      <c r="BE932">
        <v>0</v>
      </c>
      <c r="BF932">
        <v>0</v>
      </c>
      <c r="BG932">
        <v>0</v>
      </c>
      <c r="BI932">
        <v>1</v>
      </c>
      <c r="BJ932">
        <v>1</v>
      </c>
      <c r="BK932">
        <v>1</v>
      </c>
      <c r="BL932">
        <v>0</v>
      </c>
      <c r="BO932">
        <v>0</v>
      </c>
      <c r="BP932">
        <v>0</v>
      </c>
      <c r="BW932" t="str">
        <f>"19:19:30.751"</f>
        <v>19:19:30.751</v>
      </c>
      <c r="BX932" t="s">
        <v>119</v>
      </c>
      <c r="BY932" t="s">
        <v>120</v>
      </c>
      <c r="CJ932">
        <v>0</v>
      </c>
      <c r="CK932">
        <v>0</v>
      </c>
      <c r="CL932">
        <v>0</v>
      </c>
      <c r="CM932">
        <v>2</v>
      </c>
      <c r="CN932">
        <v>0</v>
      </c>
      <c r="CO932">
        <v>7</v>
      </c>
      <c r="CP932" t="s">
        <v>121</v>
      </c>
      <c r="CQ932">
        <v>581</v>
      </c>
      <c r="CR932">
        <v>0</v>
      </c>
      <c r="CW932">
        <v>15856486</v>
      </c>
      <c r="CY932">
        <v>0</v>
      </c>
      <c r="CZ932">
        <v>0</v>
      </c>
      <c r="DA932">
        <v>0</v>
      </c>
      <c r="DB932">
        <v>1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</row>
    <row r="933" spans="1:113" x14ac:dyDescent="0.3">
      <c r="A933" t="str">
        <f>"06/16/2022 19:19:45.941"</f>
        <v>06/16/2022 19:19:45.941</v>
      </c>
      <c r="C933" t="str">
        <f t="shared" si="45"/>
        <v>FFBF5BC0</v>
      </c>
      <c r="D933" t="s">
        <v>113</v>
      </c>
      <c r="E933">
        <v>8</v>
      </c>
      <c r="H933">
        <v>206</v>
      </c>
      <c r="I933" t="s">
        <v>114</v>
      </c>
      <c r="J933" t="s">
        <v>115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>"19:19:45.758"</f>
        <v>19:19:45.758</v>
      </c>
      <c r="T933" t="str">
        <f>"19:19:45.758"</f>
        <v>19:19:45.758</v>
      </c>
      <c r="U933" t="str">
        <f t="shared" si="43"/>
        <v>AB63B2</v>
      </c>
      <c r="V933">
        <v>0</v>
      </c>
      <c r="W933">
        <v>0</v>
      </c>
      <c r="X933">
        <v>6</v>
      </c>
      <c r="Z933">
        <v>0</v>
      </c>
      <c r="AA933">
        <v>9</v>
      </c>
      <c r="AB933">
        <v>3</v>
      </c>
      <c r="AC933">
        <v>0</v>
      </c>
      <c r="AD933">
        <v>10</v>
      </c>
      <c r="AE933">
        <v>0</v>
      </c>
      <c r="AF933">
        <v>0</v>
      </c>
      <c r="AG933">
        <v>2</v>
      </c>
      <c r="AH933">
        <v>0</v>
      </c>
      <c r="AI933" t="s">
        <v>878</v>
      </c>
      <c r="AJ933">
        <v>41.981977999999998</v>
      </c>
      <c r="AK933" t="s">
        <v>879</v>
      </c>
      <c r="AL933">
        <v>-87.890345999999994</v>
      </c>
      <c r="AS933">
        <v>1</v>
      </c>
      <c r="AT933" t="s">
        <v>118</v>
      </c>
      <c r="AU933" t="b">
        <v>1</v>
      </c>
      <c r="AV933">
        <v>357.19</v>
      </c>
      <c r="AW933">
        <v>16.125</v>
      </c>
      <c r="AX933">
        <v>1</v>
      </c>
      <c r="AZ933">
        <v>7205</v>
      </c>
      <c r="BA933">
        <v>1</v>
      </c>
      <c r="BB933" t="str">
        <f t="shared" si="44"/>
        <v xml:space="preserve">KAP400  </v>
      </c>
      <c r="BC933">
        <v>1</v>
      </c>
      <c r="BE933">
        <v>0</v>
      </c>
      <c r="BF933">
        <v>0</v>
      </c>
      <c r="BG933">
        <v>0</v>
      </c>
      <c r="BI933">
        <v>1</v>
      </c>
      <c r="BJ933">
        <v>1</v>
      </c>
      <c r="BK933">
        <v>1</v>
      </c>
      <c r="BL933">
        <v>0</v>
      </c>
      <c r="BO933">
        <v>0</v>
      </c>
      <c r="BP933">
        <v>0</v>
      </c>
      <c r="BW933" t="str">
        <f>"19:19:45.761"</f>
        <v>19:19:45.761</v>
      </c>
      <c r="BX933" t="s">
        <v>119</v>
      </c>
      <c r="BY933" t="s">
        <v>120</v>
      </c>
      <c r="CJ933">
        <v>0</v>
      </c>
      <c r="CK933">
        <v>0</v>
      </c>
      <c r="CL933">
        <v>0</v>
      </c>
      <c r="CM933">
        <v>2</v>
      </c>
      <c r="CN933">
        <v>0</v>
      </c>
      <c r="CO933">
        <v>7</v>
      </c>
      <c r="CP933" t="s">
        <v>121</v>
      </c>
      <c r="CQ933">
        <v>581</v>
      </c>
      <c r="CR933">
        <v>0</v>
      </c>
      <c r="CW933">
        <v>15876077</v>
      </c>
      <c r="CY933">
        <v>0</v>
      </c>
      <c r="CZ933">
        <v>0</v>
      </c>
      <c r="DA933">
        <v>0</v>
      </c>
      <c r="DB933">
        <v>1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</row>
    <row r="934" spans="1:113" x14ac:dyDescent="0.3">
      <c r="A934" t="str">
        <f>"06/16/2022 19:19:46.957"</f>
        <v>06/16/2022 19:19:46.957</v>
      </c>
      <c r="C934" t="str">
        <f t="shared" si="45"/>
        <v>FFBF5BC0</v>
      </c>
      <c r="D934" t="s">
        <v>113</v>
      </c>
      <c r="E934">
        <v>8</v>
      </c>
      <c r="H934">
        <v>206</v>
      </c>
      <c r="I934" t="s">
        <v>114</v>
      </c>
      <c r="J934" t="s">
        <v>115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>"19:19:46.781"</f>
        <v>19:19:46.781</v>
      </c>
      <c r="T934" t="str">
        <f>"19:19:46.781"</f>
        <v>19:19:46.781</v>
      </c>
      <c r="U934" t="str">
        <f t="shared" si="43"/>
        <v>AB63B2</v>
      </c>
      <c r="V934">
        <v>0</v>
      </c>
      <c r="W934">
        <v>0</v>
      </c>
      <c r="X934">
        <v>6</v>
      </c>
      <c r="Z934">
        <v>0</v>
      </c>
      <c r="AA934">
        <v>9</v>
      </c>
      <c r="AB934">
        <v>3</v>
      </c>
      <c r="AC934">
        <v>0</v>
      </c>
      <c r="AD934">
        <v>10</v>
      </c>
      <c r="AE934">
        <v>0</v>
      </c>
      <c r="AF934">
        <v>0</v>
      </c>
      <c r="AG934">
        <v>2</v>
      </c>
      <c r="AH934">
        <v>0</v>
      </c>
      <c r="AI934" t="s">
        <v>266</v>
      </c>
      <c r="AJ934">
        <v>41.982064000000001</v>
      </c>
      <c r="AK934" t="s">
        <v>879</v>
      </c>
      <c r="AL934">
        <v>-87.890345999999994</v>
      </c>
      <c r="AS934">
        <v>1</v>
      </c>
      <c r="AT934" t="s">
        <v>118</v>
      </c>
      <c r="AU934" t="b">
        <v>1</v>
      </c>
      <c r="AV934">
        <v>0</v>
      </c>
      <c r="AW934">
        <v>16.125</v>
      </c>
      <c r="AX934">
        <v>1</v>
      </c>
      <c r="AZ934">
        <v>7205</v>
      </c>
      <c r="BA934">
        <v>1</v>
      </c>
      <c r="BB934" t="str">
        <f t="shared" si="44"/>
        <v xml:space="preserve">KAP400  </v>
      </c>
      <c r="BC934">
        <v>1</v>
      </c>
      <c r="BE934">
        <v>0</v>
      </c>
      <c r="BF934">
        <v>0</v>
      </c>
      <c r="BG934">
        <v>0</v>
      </c>
      <c r="BI934">
        <v>1</v>
      </c>
      <c r="BJ934">
        <v>1</v>
      </c>
      <c r="BK934">
        <v>1</v>
      </c>
      <c r="BL934">
        <v>0</v>
      </c>
      <c r="BO934">
        <v>0</v>
      </c>
      <c r="BP934">
        <v>0</v>
      </c>
      <c r="BW934" t="str">
        <f>"19:19:46.785"</f>
        <v>19:19:46.785</v>
      </c>
      <c r="BX934" t="s">
        <v>119</v>
      </c>
      <c r="BY934" t="s">
        <v>120</v>
      </c>
      <c r="CJ934">
        <v>0</v>
      </c>
      <c r="CK934">
        <v>0</v>
      </c>
      <c r="CL934">
        <v>0</v>
      </c>
      <c r="CM934">
        <v>2</v>
      </c>
      <c r="CN934">
        <v>0</v>
      </c>
      <c r="CO934">
        <v>7</v>
      </c>
      <c r="CP934" t="s">
        <v>121</v>
      </c>
      <c r="CQ934">
        <v>581</v>
      </c>
      <c r="CR934">
        <v>0</v>
      </c>
      <c r="CW934">
        <v>15877448</v>
      </c>
      <c r="CY934">
        <v>0</v>
      </c>
      <c r="CZ934">
        <v>0</v>
      </c>
      <c r="DA934">
        <v>0</v>
      </c>
      <c r="DB934">
        <v>1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</row>
    <row r="935" spans="1:113" x14ac:dyDescent="0.3">
      <c r="A935" t="str">
        <f>"06/16/2022 19:19:48.098"</f>
        <v>06/16/2022 19:19:48.098</v>
      </c>
      <c r="C935" t="str">
        <f t="shared" si="45"/>
        <v>FFBF5BC0</v>
      </c>
      <c r="D935" t="s">
        <v>113</v>
      </c>
      <c r="E935">
        <v>8</v>
      </c>
      <c r="H935">
        <v>206</v>
      </c>
      <c r="I935" t="s">
        <v>114</v>
      </c>
      <c r="J935" t="s">
        <v>115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>"19:19:47.805"</f>
        <v>19:19:47.805</v>
      </c>
      <c r="T935" t="str">
        <f>"19:19:47.805"</f>
        <v>19:19:47.805</v>
      </c>
      <c r="U935" t="str">
        <f t="shared" si="43"/>
        <v>AB63B2</v>
      </c>
      <c r="V935">
        <v>0</v>
      </c>
      <c r="W935">
        <v>0</v>
      </c>
      <c r="X935">
        <v>6</v>
      </c>
      <c r="Z935">
        <v>0</v>
      </c>
      <c r="AA935">
        <v>9</v>
      </c>
      <c r="AB935">
        <v>3</v>
      </c>
      <c r="AC935">
        <v>0</v>
      </c>
      <c r="AD935">
        <v>10</v>
      </c>
      <c r="AE935">
        <v>0</v>
      </c>
      <c r="AF935">
        <v>0</v>
      </c>
      <c r="AG935">
        <v>2</v>
      </c>
      <c r="AH935">
        <v>0</v>
      </c>
      <c r="AI935" t="s">
        <v>880</v>
      </c>
      <c r="AJ935">
        <v>41.982149999999997</v>
      </c>
      <c r="AK935" t="s">
        <v>879</v>
      </c>
      <c r="AL935">
        <v>-87.890345999999994</v>
      </c>
      <c r="AS935">
        <v>1</v>
      </c>
      <c r="AT935" t="s">
        <v>118</v>
      </c>
      <c r="AU935" t="b">
        <v>1</v>
      </c>
      <c r="AV935">
        <v>357.19</v>
      </c>
      <c r="AW935">
        <v>17.125</v>
      </c>
      <c r="AX935">
        <v>1</v>
      </c>
      <c r="AZ935">
        <v>7205</v>
      </c>
      <c r="BA935">
        <v>1</v>
      </c>
      <c r="BB935" t="str">
        <f t="shared" si="44"/>
        <v xml:space="preserve">KAP400  </v>
      </c>
      <c r="BC935">
        <v>1</v>
      </c>
      <c r="BE935">
        <v>0</v>
      </c>
      <c r="BF935">
        <v>0</v>
      </c>
      <c r="BG935">
        <v>0</v>
      </c>
      <c r="BI935">
        <v>1</v>
      </c>
      <c r="BJ935">
        <v>1</v>
      </c>
      <c r="BK935">
        <v>1</v>
      </c>
      <c r="BL935">
        <v>0</v>
      </c>
      <c r="BO935">
        <v>0</v>
      </c>
      <c r="BP935">
        <v>0</v>
      </c>
      <c r="BW935" t="str">
        <f>"19:19:47.812"</f>
        <v>19:19:47.812</v>
      </c>
      <c r="BX935" t="s">
        <v>119</v>
      </c>
      <c r="BY935" t="s">
        <v>120</v>
      </c>
      <c r="CJ935">
        <v>0</v>
      </c>
      <c r="CK935">
        <v>0</v>
      </c>
      <c r="CL935">
        <v>0</v>
      </c>
      <c r="CM935">
        <v>2</v>
      </c>
      <c r="CN935">
        <v>0</v>
      </c>
      <c r="CO935">
        <v>7</v>
      </c>
      <c r="CP935" t="s">
        <v>121</v>
      </c>
      <c r="CQ935">
        <v>582</v>
      </c>
      <c r="CR935">
        <v>0</v>
      </c>
      <c r="CW935">
        <v>6769359</v>
      </c>
      <c r="CY935">
        <v>0</v>
      </c>
      <c r="CZ935">
        <v>0</v>
      </c>
      <c r="DA935">
        <v>0</v>
      </c>
      <c r="DB935">
        <v>1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</row>
    <row r="936" spans="1:113" x14ac:dyDescent="0.3">
      <c r="A936" t="str">
        <f>"06/16/2022 19:19:49.035"</f>
        <v>06/16/2022 19:19:49.035</v>
      </c>
      <c r="C936" t="str">
        <f t="shared" si="45"/>
        <v>FFBF5BC0</v>
      </c>
      <c r="D936" t="s">
        <v>113</v>
      </c>
      <c r="E936">
        <v>8</v>
      </c>
      <c r="H936">
        <v>206</v>
      </c>
      <c r="I936" t="s">
        <v>114</v>
      </c>
      <c r="J936" t="s">
        <v>115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>"19:19:48.813"</f>
        <v>19:19:48.813</v>
      </c>
      <c r="T936" t="str">
        <f>"19:19:48.813"</f>
        <v>19:19:48.813</v>
      </c>
      <c r="U936" t="str">
        <f t="shared" si="43"/>
        <v>AB63B2</v>
      </c>
      <c r="V936">
        <v>0</v>
      </c>
      <c r="W936">
        <v>0</v>
      </c>
      <c r="X936">
        <v>6</v>
      </c>
      <c r="Z936">
        <v>0</v>
      </c>
      <c r="AA936">
        <v>9</v>
      </c>
      <c r="AB936">
        <v>3</v>
      </c>
      <c r="AC936">
        <v>0</v>
      </c>
      <c r="AD936">
        <v>10</v>
      </c>
      <c r="AE936">
        <v>0</v>
      </c>
      <c r="AF936">
        <v>0</v>
      </c>
      <c r="AG936">
        <v>2</v>
      </c>
      <c r="AH936">
        <v>0</v>
      </c>
      <c r="AI936" t="s">
        <v>881</v>
      </c>
      <c r="AJ936">
        <v>41.982213999999999</v>
      </c>
      <c r="AK936" t="s">
        <v>879</v>
      </c>
      <c r="AL936">
        <v>-87.890345999999994</v>
      </c>
      <c r="AS936">
        <v>1</v>
      </c>
      <c r="AT936" t="s">
        <v>118</v>
      </c>
      <c r="AU936" t="b">
        <v>1</v>
      </c>
      <c r="AV936">
        <v>357.19</v>
      </c>
      <c r="AW936">
        <v>17.125</v>
      </c>
      <c r="AX936">
        <v>1</v>
      </c>
      <c r="AZ936">
        <v>7205</v>
      </c>
      <c r="BA936">
        <v>1</v>
      </c>
      <c r="BB936" t="str">
        <f t="shared" si="44"/>
        <v xml:space="preserve">KAP400  </v>
      </c>
      <c r="BC936">
        <v>1</v>
      </c>
      <c r="BE936">
        <v>0</v>
      </c>
      <c r="BF936">
        <v>0</v>
      </c>
      <c r="BG936">
        <v>0</v>
      </c>
      <c r="BI936">
        <v>1</v>
      </c>
      <c r="BJ936">
        <v>1</v>
      </c>
      <c r="BK936">
        <v>1</v>
      </c>
      <c r="BL936">
        <v>0</v>
      </c>
      <c r="BO936">
        <v>0</v>
      </c>
      <c r="BP936">
        <v>0</v>
      </c>
      <c r="BW936" t="str">
        <f>"19:19:48.813"</f>
        <v>19:19:48.813</v>
      </c>
      <c r="BX936" t="s">
        <v>119</v>
      </c>
      <c r="BY936" t="s">
        <v>120</v>
      </c>
      <c r="CJ936">
        <v>0</v>
      </c>
      <c r="CK936">
        <v>0</v>
      </c>
      <c r="CL936">
        <v>0</v>
      </c>
      <c r="CM936">
        <v>2</v>
      </c>
      <c r="CN936">
        <v>0</v>
      </c>
      <c r="CO936">
        <v>7</v>
      </c>
      <c r="CP936" t="s">
        <v>121</v>
      </c>
      <c r="CQ936">
        <v>581</v>
      </c>
      <c r="CR936">
        <v>0</v>
      </c>
      <c r="CW936">
        <v>15880126</v>
      </c>
      <c r="CY936">
        <v>0</v>
      </c>
      <c r="CZ936">
        <v>0</v>
      </c>
      <c r="DA936">
        <v>0</v>
      </c>
      <c r="DB936">
        <v>1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</row>
    <row r="937" spans="1:113" x14ac:dyDescent="0.3">
      <c r="A937" t="str">
        <f>"06/16/2022 19:19:50.035"</f>
        <v>06/16/2022 19:19:50.035</v>
      </c>
      <c r="C937" t="str">
        <f t="shared" si="45"/>
        <v>FFBF5BC0</v>
      </c>
      <c r="D937" t="s">
        <v>113</v>
      </c>
      <c r="E937">
        <v>8</v>
      </c>
      <c r="H937">
        <v>206</v>
      </c>
      <c r="I937" t="s">
        <v>114</v>
      </c>
      <c r="J937" t="s">
        <v>115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>"19:19:49.813"</f>
        <v>19:19:49.813</v>
      </c>
      <c r="T937" t="str">
        <f>"19:19:49.813"</f>
        <v>19:19:49.813</v>
      </c>
      <c r="U937" t="str">
        <f t="shared" si="43"/>
        <v>AB63B2</v>
      </c>
      <c r="V937">
        <v>0</v>
      </c>
      <c r="W937">
        <v>0</v>
      </c>
      <c r="X937">
        <v>6</v>
      </c>
      <c r="Z937">
        <v>0</v>
      </c>
      <c r="AA937">
        <v>9</v>
      </c>
      <c r="AB937">
        <v>3</v>
      </c>
      <c r="AC937">
        <v>0</v>
      </c>
      <c r="AD937">
        <v>10</v>
      </c>
      <c r="AE937">
        <v>0</v>
      </c>
      <c r="AF937">
        <v>0</v>
      </c>
      <c r="AG937">
        <v>2</v>
      </c>
      <c r="AH937">
        <v>0</v>
      </c>
      <c r="AI937" t="s">
        <v>882</v>
      </c>
      <c r="AJ937">
        <v>41.982300000000002</v>
      </c>
      <c r="AK937" t="s">
        <v>879</v>
      </c>
      <c r="AL937">
        <v>-87.890345999999994</v>
      </c>
      <c r="AS937">
        <v>1</v>
      </c>
      <c r="AT937" t="s">
        <v>118</v>
      </c>
      <c r="AU937" t="b">
        <v>1</v>
      </c>
      <c r="AV937">
        <v>0</v>
      </c>
      <c r="AW937">
        <v>17.125</v>
      </c>
      <c r="AX937">
        <v>1</v>
      </c>
      <c r="AZ937">
        <v>7205</v>
      </c>
      <c r="BA937">
        <v>1</v>
      </c>
      <c r="BB937" t="str">
        <f t="shared" si="44"/>
        <v xml:space="preserve">KAP400  </v>
      </c>
      <c r="BC937">
        <v>1</v>
      </c>
      <c r="BE937">
        <v>0</v>
      </c>
      <c r="BF937">
        <v>0</v>
      </c>
      <c r="BG937">
        <v>0</v>
      </c>
      <c r="BI937">
        <v>1</v>
      </c>
      <c r="BJ937">
        <v>1</v>
      </c>
      <c r="BK937">
        <v>1</v>
      </c>
      <c r="BL937">
        <v>0</v>
      </c>
      <c r="BO937">
        <v>0</v>
      </c>
      <c r="BP937">
        <v>0</v>
      </c>
      <c r="BW937" t="str">
        <f>"19:19:49.816"</f>
        <v>19:19:49.816</v>
      </c>
      <c r="BX937" t="s">
        <v>119</v>
      </c>
      <c r="BY937" t="s">
        <v>120</v>
      </c>
      <c r="CJ937">
        <v>0</v>
      </c>
      <c r="CK937">
        <v>0</v>
      </c>
      <c r="CL937">
        <v>0</v>
      </c>
      <c r="CM937">
        <v>2</v>
      </c>
      <c r="CN937">
        <v>0</v>
      </c>
      <c r="CO937">
        <v>7</v>
      </c>
      <c r="CP937" t="s">
        <v>121</v>
      </c>
      <c r="CQ937">
        <v>582</v>
      </c>
      <c r="CR937">
        <v>0</v>
      </c>
      <c r="CW937">
        <v>6771821</v>
      </c>
      <c r="CY937">
        <v>0</v>
      </c>
      <c r="CZ937">
        <v>0</v>
      </c>
      <c r="DA937">
        <v>0</v>
      </c>
      <c r="DB937">
        <v>1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</row>
    <row r="938" spans="1:113" x14ac:dyDescent="0.3">
      <c r="A938" t="str">
        <f>"06/16/2022 19:19:51.145"</f>
        <v>06/16/2022 19:19:51.145</v>
      </c>
      <c r="C938" t="str">
        <f t="shared" si="45"/>
        <v>FFBF5BC0</v>
      </c>
      <c r="D938" t="s">
        <v>113</v>
      </c>
      <c r="E938">
        <v>8</v>
      </c>
      <c r="H938">
        <v>206</v>
      </c>
      <c r="I938" t="s">
        <v>114</v>
      </c>
      <c r="J938" t="s">
        <v>115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>"19:19:50.930"</f>
        <v>19:19:50.930</v>
      </c>
      <c r="T938" t="str">
        <f>"19:19:50.930"</f>
        <v>19:19:50.930</v>
      </c>
      <c r="U938" t="str">
        <f t="shared" si="43"/>
        <v>AB63B2</v>
      </c>
      <c r="V938">
        <v>0</v>
      </c>
      <c r="W938">
        <v>0</v>
      </c>
      <c r="X938">
        <v>6</v>
      </c>
      <c r="Z938">
        <v>0</v>
      </c>
      <c r="AA938">
        <v>9</v>
      </c>
      <c r="AB938">
        <v>3</v>
      </c>
      <c r="AC938">
        <v>0</v>
      </c>
      <c r="AD938">
        <v>10</v>
      </c>
      <c r="AE938">
        <v>0</v>
      </c>
      <c r="AF938">
        <v>0</v>
      </c>
      <c r="AG938">
        <v>2</v>
      </c>
      <c r="AH938">
        <v>0</v>
      </c>
      <c r="AI938" t="s">
        <v>883</v>
      </c>
      <c r="AJ938">
        <v>41.982385999999998</v>
      </c>
      <c r="AK938" t="s">
        <v>879</v>
      </c>
      <c r="AL938">
        <v>-87.890345999999994</v>
      </c>
      <c r="AS938">
        <v>1</v>
      </c>
      <c r="AT938" t="s">
        <v>118</v>
      </c>
      <c r="AU938" t="b">
        <v>1</v>
      </c>
      <c r="AV938">
        <v>0</v>
      </c>
      <c r="AW938">
        <v>17.125</v>
      </c>
      <c r="AX938">
        <v>1</v>
      </c>
      <c r="AZ938">
        <v>7205</v>
      </c>
      <c r="BA938">
        <v>1</v>
      </c>
      <c r="BB938" t="str">
        <f t="shared" si="44"/>
        <v xml:space="preserve">KAP400  </v>
      </c>
      <c r="BC938">
        <v>1</v>
      </c>
      <c r="BE938">
        <v>0</v>
      </c>
      <c r="BF938">
        <v>0</v>
      </c>
      <c r="BG938">
        <v>0</v>
      </c>
      <c r="BI938">
        <v>1</v>
      </c>
      <c r="BJ938">
        <v>1</v>
      </c>
      <c r="BK938">
        <v>1</v>
      </c>
      <c r="BL938">
        <v>0</v>
      </c>
      <c r="BO938">
        <v>0</v>
      </c>
      <c r="BP938">
        <v>0</v>
      </c>
      <c r="BW938" t="str">
        <f>"19:19:50.934"</f>
        <v>19:19:50.934</v>
      </c>
      <c r="BX938" t="s">
        <v>119</v>
      </c>
      <c r="BY938" t="s">
        <v>120</v>
      </c>
      <c r="CJ938">
        <v>0</v>
      </c>
      <c r="CK938">
        <v>0</v>
      </c>
      <c r="CL938">
        <v>0</v>
      </c>
      <c r="CM938">
        <v>2</v>
      </c>
      <c r="CN938">
        <v>0</v>
      </c>
      <c r="CO938">
        <v>7</v>
      </c>
      <c r="CP938" t="s">
        <v>121</v>
      </c>
      <c r="CQ938">
        <v>581</v>
      </c>
      <c r="CR938">
        <v>0</v>
      </c>
      <c r="CW938">
        <v>15882903</v>
      </c>
      <c r="CY938">
        <v>0</v>
      </c>
      <c r="CZ938">
        <v>0</v>
      </c>
      <c r="DA938">
        <v>0</v>
      </c>
      <c r="DB938">
        <v>1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</row>
    <row r="939" spans="1:113" x14ac:dyDescent="0.3">
      <c r="A939" t="str">
        <f>"06/16/2022 19:19:52.207"</f>
        <v>06/16/2022 19:19:52.207</v>
      </c>
      <c r="C939" t="str">
        <f t="shared" si="45"/>
        <v>FFBF5BC0</v>
      </c>
      <c r="D939" t="s">
        <v>113</v>
      </c>
      <c r="E939">
        <v>8</v>
      </c>
      <c r="H939">
        <v>206</v>
      </c>
      <c r="I939" t="s">
        <v>114</v>
      </c>
      <c r="J939" t="s">
        <v>115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>"19:19:51.953"</f>
        <v>19:19:51.953</v>
      </c>
      <c r="T939" t="str">
        <f>"19:19:51.953"</f>
        <v>19:19:51.953</v>
      </c>
      <c r="U939" t="str">
        <f t="shared" si="43"/>
        <v>AB63B2</v>
      </c>
      <c r="V939">
        <v>0</v>
      </c>
      <c r="W939">
        <v>0</v>
      </c>
      <c r="X939">
        <v>6</v>
      </c>
      <c r="Z939">
        <v>0</v>
      </c>
      <c r="AA939">
        <v>9</v>
      </c>
      <c r="AB939">
        <v>3</v>
      </c>
      <c r="AC939">
        <v>0</v>
      </c>
      <c r="AD939">
        <v>10</v>
      </c>
      <c r="AE939">
        <v>0</v>
      </c>
      <c r="AF939">
        <v>0</v>
      </c>
      <c r="AG939">
        <v>2</v>
      </c>
      <c r="AH939">
        <v>0</v>
      </c>
      <c r="AI939" t="s">
        <v>884</v>
      </c>
      <c r="AJ939">
        <v>41.98245</v>
      </c>
      <c r="AK939" t="s">
        <v>879</v>
      </c>
      <c r="AL939">
        <v>-87.890345999999994</v>
      </c>
      <c r="AS939">
        <v>1</v>
      </c>
      <c r="AT939" t="s">
        <v>118</v>
      </c>
      <c r="AU939" t="b">
        <v>1</v>
      </c>
      <c r="AV939">
        <v>0</v>
      </c>
      <c r="AW939">
        <v>17.125</v>
      </c>
      <c r="AX939">
        <v>1</v>
      </c>
      <c r="AZ939">
        <v>7205</v>
      </c>
      <c r="BA939">
        <v>1</v>
      </c>
      <c r="BB939" t="str">
        <f t="shared" si="44"/>
        <v xml:space="preserve">KAP400  </v>
      </c>
      <c r="BC939">
        <v>1</v>
      </c>
      <c r="BE939">
        <v>0</v>
      </c>
      <c r="BF939">
        <v>0</v>
      </c>
      <c r="BG939">
        <v>0</v>
      </c>
      <c r="BI939">
        <v>1</v>
      </c>
      <c r="BJ939">
        <v>1</v>
      </c>
      <c r="BK939">
        <v>1</v>
      </c>
      <c r="BL939">
        <v>0</v>
      </c>
      <c r="BO939">
        <v>0</v>
      </c>
      <c r="BP939">
        <v>0</v>
      </c>
      <c r="BW939" t="str">
        <f>"19:19:51.956"</f>
        <v>19:19:51.956</v>
      </c>
      <c r="BX939" t="s">
        <v>119</v>
      </c>
      <c r="BY939" t="s">
        <v>120</v>
      </c>
      <c r="CJ939">
        <v>0</v>
      </c>
      <c r="CK939">
        <v>0</v>
      </c>
      <c r="CL939">
        <v>0</v>
      </c>
      <c r="CM939">
        <v>2</v>
      </c>
      <c r="CN939">
        <v>0</v>
      </c>
      <c r="CO939">
        <v>7</v>
      </c>
      <c r="CP939" t="s">
        <v>121</v>
      </c>
      <c r="CQ939">
        <v>582</v>
      </c>
      <c r="CR939">
        <v>0</v>
      </c>
      <c r="CW939">
        <v>6774336</v>
      </c>
      <c r="CY939">
        <v>0</v>
      </c>
      <c r="CZ939">
        <v>0</v>
      </c>
      <c r="DA939">
        <v>0</v>
      </c>
      <c r="DB939">
        <v>1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</row>
    <row r="940" spans="1:113" x14ac:dyDescent="0.3">
      <c r="A940" t="str">
        <f>"06/16/2022 19:19:53.254"</f>
        <v>06/16/2022 19:19:53.254</v>
      </c>
      <c r="C940" t="str">
        <f t="shared" si="45"/>
        <v>FFBF5BC0</v>
      </c>
      <c r="D940" t="s">
        <v>113</v>
      </c>
      <c r="E940">
        <v>8</v>
      </c>
      <c r="H940">
        <v>206</v>
      </c>
      <c r="I940" t="s">
        <v>114</v>
      </c>
      <c r="J940" t="s">
        <v>115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>"19:19:52.883"</f>
        <v>19:19:52.883</v>
      </c>
      <c r="T940" t="str">
        <f>"19:19:52.883"</f>
        <v>19:19:52.883</v>
      </c>
      <c r="U940" t="str">
        <f t="shared" si="43"/>
        <v>AB63B2</v>
      </c>
      <c r="V940">
        <v>0</v>
      </c>
      <c r="W940">
        <v>0</v>
      </c>
      <c r="X940">
        <v>6</v>
      </c>
      <c r="Z940">
        <v>0</v>
      </c>
      <c r="AA940">
        <v>9</v>
      </c>
      <c r="AB940">
        <v>3</v>
      </c>
      <c r="AC940">
        <v>0</v>
      </c>
      <c r="AD940">
        <v>10</v>
      </c>
      <c r="AE940">
        <v>0</v>
      </c>
      <c r="AF940">
        <v>0</v>
      </c>
      <c r="AG940">
        <v>2</v>
      </c>
      <c r="AH940">
        <v>0</v>
      </c>
      <c r="AI940" t="s">
        <v>885</v>
      </c>
      <c r="AJ940">
        <v>41.982536000000003</v>
      </c>
      <c r="AK940" t="s">
        <v>879</v>
      </c>
      <c r="AL940">
        <v>-87.890345999999994</v>
      </c>
      <c r="AS940">
        <v>1</v>
      </c>
      <c r="AT940" t="s">
        <v>118</v>
      </c>
      <c r="AU940" t="b">
        <v>1</v>
      </c>
      <c r="AV940">
        <v>0</v>
      </c>
      <c r="AW940">
        <v>17.125</v>
      </c>
      <c r="AX940">
        <v>1</v>
      </c>
      <c r="AZ940">
        <v>7205</v>
      </c>
      <c r="BA940">
        <v>1</v>
      </c>
      <c r="BB940" t="str">
        <f t="shared" si="44"/>
        <v xml:space="preserve">KAP400  </v>
      </c>
      <c r="BC940">
        <v>1</v>
      </c>
      <c r="BE940">
        <v>0</v>
      </c>
      <c r="BF940">
        <v>0</v>
      </c>
      <c r="BG940">
        <v>0</v>
      </c>
      <c r="BI940">
        <v>1</v>
      </c>
      <c r="BJ940">
        <v>1</v>
      </c>
      <c r="BK940">
        <v>1</v>
      </c>
      <c r="BL940">
        <v>0</v>
      </c>
      <c r="BO940">
        <v>0</v>
      </c>
      <c r="BP940">
        <v>0</v>
      </c>
      <c r="BW940" t="str">
        <f>"19:19:52.883"</f>
        <v>19:19:52.883</v>
      </c>
      <c r="BX940" t="s">
        <v>119</v>
      </c>
      <c r="BY940" t="s">
        <v>120</v>
      </c>
      <c r="CJ940">
        <v>0</v>
      </c>
      <c r="CK940">
        <v>0</v>
      </c>
      <c r="CL940">
        <v>0</v>
      </c>
      <c r="CM940">
        <v>2</v>
      </c>
      <c r="CN940">
        <v>0</v>
      </c>
      <c r="CO940">
        <v>7</v>
      </c>
      <c r="CP940" t="s">
        <v>121</v>
      </c>
      <c r="CQ940">
        <v>582</v>
      </c>
      <c r="CR940">
        <v>0</v>
      </c>
      <c r="CW940">
        <v>6775422</v>
      </c>
      <c r="CY940">
        <v>0</v>
      </c>
      <c r="CZ940">
        <v>0</v>
      </c>
      <c r="DA940">
        <v>0</v>
      </c>
      <c r="DB940">
        <v>1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</row>
    <row r="941" spans="1:113" x14ac:dyDescent="0.3">
      <c r="A941" t="str">
        <f>"06/16/2022 19:19:54.114"</f>
        <v>06/16/2022 19:19:54.114</v>
      </c>
      <c r="C941" t="str">
        <f t="shared" si="45"/>
        <v>FFBF5BC0</v>
      </c>
      <c r="D941" t="s">
        <v>113</v>
      </c>
      <c r="E941">
        <v>8</v>
      </c>
      <c r="H941">
        <v>206</v>
      </c>
      <c r="I941" t="s">
        <v>114</v>
      </c>
      <c r="J941" t="s">
        <v>115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>"19:19:53.797"</f>
        <v>19:19:53.797</v>
      </c>
      <c r="T941" t="str">
        <f>"19:19:53.797"</f>
        <v>19:19:53.797</v>
      </c>
      <c r="U941" t="str">
        <f t="shared" si="43"/>
        <v>AB63B2</v>
      </c>
      <c r="V941">
        <v>0</v>
      </c>
      <c r="W941">
        <v>0</v>
      </c>
      <c r="X941">
        <v>6</v>
      </c>
      <c r="Z941">
        <v>0</v>
      </c>
      <c r="AA941">
        <v>9</v>
      </c>
      <c r="AB941">
        <v>3</v>
      </c>
      <c r="AC941">
        <v>0</v>
      </c>
      <c r="AD941">
        <v>10</v>
      </c>
      <c r="AE941">
        <v>0</v>
      </c>
      <c r="AF941">
        <v>0</v>
      </c>
      <c r="AG941">
        <v>2</v>
      </c>
      <c r="AH941">
        <v>0</v>
      </c>
      <c r="AI941" t="s">
        <v>886</v>
      </c>
      <c r="AJ941">
        <v>41.982621999999999</v>
      </c>
      <c r="AK941" t="s">
        <v>879</v>
      </c>
      <c r="AL941">
        <v>-87.890345999999994</v>
      </c>
      <c r="AS941">
        <v>1</v>
      </c>
      <c r="AT941" t="s">
        <v>118</v>
      </c>
      <c r="AU941" t="b">
        <v>1</v>
      </c>
      <c r="AV941">
        <v>0</v>
      </c>
      <c r="AW941">
        <v>17.125</v>
      </c>
      <c r="AX941">
        <v>1</v>
      </c>
      <c r="AZ941">
        <v>7205</v>
      </c>
      <c r="BA941">
        <v>1</v>
      </c>
      <c r="BB941" t="str">
        <f t="shared" si="44"/>
        <v xml:space="preserve">KAP400  </v>
      </c>
      <c r="BC941">
        <v>1</v>
      </c>
      <c r="BE941">
        <v>0</v>
      </c>
      <c r="BF941">
        <v>0</v>
      </c>
      <c r="BG941">
        <v>0</v>
      </c>
      <c r="BI941">
        <v>1</v>
      </c>
      <c r="BJ941">
        <v>1</v>
      </c>
      <c r="BK941">
        <v>1</v>
      </c>
      <c r="BL941">
        <v>0</v>
      </c>
      <c r="BO941">
        <v>0</v>
      </c>
      <c r="BP941">
        <v>0</v>
      </c>
      <c r="BW941" t="str">
        <f>"19:19:53.801"</f>
        <v>19:19:53.801</v>
      </c>
      <c r="BX941" t="s">
        <v>119</v>
      </c>
      <c r="BY941" t="s">
        <v>120</v>
      </c>
      <c r="CJ941">
        <v>0</v>
      </c>
      <c r="CK941">
        <v>0</v>
      </c>
      <c r="CL941">
        <v>0</v>
      </c>
      <c r="CM941">
        <v>2</v>
      </c>
      <c r="CN941">
        <v>0</v>
      </c>
      <c r="CO941">
        <v>7</v>
      </c>
      <c r="CP941" t="s">
        <v>121</v>
      </c>
      <c r="CQ941">
        <v>581</v>
      </c>
      <c r="CR941">
        <v>0</v>
      </c>
      <c r="CW941">
        <v>15886777</v>
      </c>
      <c r="CY941">
        <v>0</v>
      </c>
      <c r="CZ941">
        <v>0</v>
      </c>
      <c r="DA941">
        <v>0</v>
      </c>
      <c r="DB941">
        <v>1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</row>
    <row r="942" spans="1:113" x14ac:dyDescent="0.3">
      <c r="A942" t="str">
        <f>"06/16/2022 19:19:55.082"</f>
        <v>06/16/2022 19:19:55.082</v>
      </c>
      <c r="C942" t="str">
        <f t="shared" si="45"/>
        <v>FFBF5BC0</v>
      </c>
      <c r="D942" t="s">
        <v>113</v>
      </c>
      <c r="E942">
        <v>8</v>
      </c>
      <c r="H942">
        <v>206</v>
      </c>
      <c r="I942" t="s">
        <v>114</v>
      </c>
      <c r="J942" t="s">
        <v>115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>"19:19:54.797"</f>
        <v>19:19:54.797</v>
      </c>
      <c r="T942" t="str">
        <f>"19:19:54.797"</f>
        <v>19:19:54.797</v>
      </c>
      <c r="U942" t="str">
        <f t="shared" si="43"/>
        <v>AB63B2</v>
      </c>
      <c r="V942">
        <v>0</v>
      </c>
      <c r="W942">
        <v>0</v>
      </c>
      <c r="X942">
        <v>6</v>
      </c>
      <c r="Z942">
        <v>0</v>
      </c>
      <c r="AA942">
        <v>9</v>
      </c>
      <c r="AB942">
        <v>3</v>
      </c>
      <c r="AC942">
        <v>0</v>
      </c>
      <c r="AD942">
        <v>10</v>
      </c>
      <c r="AE942">
        <v>0</v>
      </c>
      <c r="AF942">
        <v>0</v>
      </c>
      <c r="AG942">
        <v>2</v>
      </c>
      <c r="AH942">
        <v>0</v>
      </c>
      <c r="AI942" t="s">
        <v>887</v>
      </c>
      <c r="AJ942">
        <v>41.982686999999999</v>
      </c>
      <c r="AK942" t="s">
        <v>879</v>
      </c>
      <c r="AL942">
        <v>-87.890345999999994</v>
      </c>
      <c r="AS942">
        <v>1</v>
      </c>
      <c r="AT942" t="s">
        <v>118</v>
      </c>
      <c r="AU942" t="b">
        <v>1</v>
      </c>
      <c r="AV942">
        <v>2.81</v>
      </c>
      <c r="AW942">
        <v>16.125</v>
      </c>
      <c r="AX942">
        <v>1</v>
      </c>
      <c r="AZ942">
        <v>7205</v>
      </c>
      <c r="BA942">
        <v>1</v>
      </c>
      <c r="BB942" t="str">
        <f t="shared" si="44"/>
        <v xml:space="preserve">KAP400  </v>
      </c>
      <c r="BC942">
        <v>1</v>
      </c>
      <c r="BE942">
        <v>0</v>
      </c>
      <c r="BF942">
        <v>0</v>
      </c>
      <c r="BG942">
        <v>0</v>
      </c>
      <c r="BI942">
        <v>1</v>
      </c>
      <c r="BJ942">
        <v>1</v>
      </c>
      <c r="BK942">
        <v>1</v>
      </c>
      <c r="BL942">
        <v>0</v>
      </c>
      <c r="BO942">
        <v>0</v>
      </c>
      <c r="BP942">
        <v>0</v>
      </c>
      <c r="BW942" t="str">
        <f>"19:19:54.799"</f>
        <v>19:19:54.799</v>
      </c>
      <c r="BX942" t="s">
        <v>119</v>
      </c>
      <c r="BY942" t="s">
        <v>120</v>
      </c>
      <c r="CJ942">
        <v>0</v>
      </c>
      <c r="CK942">
        <v>0</v>
      </c>
      <c r="CL942">
        <v>0</v>
      </c>
      <c r="CM942">
        <v>2</v>
      </c>
      <c r="CN942">
        <v>0</v>
      </c>
      <c r="CO942">
        <v>7</v>
      </c>
      <c r="CP942" t="s">
        <v>121</v>
      </c>
      <c r="CQ942">
        <v>582</v>
      </c>
      <c r="CR942">
        <v>0</v>
      </c>
      <c r="CW942">
        <v>6777731</v>
      </c>
      <c r="CY942">
        <v>0</v>
      </c>
      <c r="CZ942">
        <v>0</v>
      </c>
      <c r="DA942">
        <v>0</v>
      </c>
      <c r="DB942">
        <v>1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</row>
    <row r="943" spans="1:113" x14ac:dyDescent="0.3">
      <c r="A943" t="str">
        <f>"06/16/2022 19:19:56.067"</f>
        <v>06/16/2022 19:19:56.067</v>
      </c>
      <c r="C943" t="str">
        <f t="shared" si="45"/>
        <v>FFBF5BC0</v>
      </c>
      <c r="D943" t="s">
        <v>113</v>
      </c>
      <c r="E943">
        <v>8</v>
      </c>
      <c r="H943">
        <v>206</v>
      </c>
      <c r="I943" t="s">
        <v>114</v>
      </c>
      <c r="J943" t="s">
        <v>115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>"19:19:55.750"</f>
        <v>19:19:55.750</v>
      </c>
      <c r="T943" t="str">
        <f>"19:19:55.750"</f>
        <v>19:19:55.750</v>
      </c>
      <c r="U943" t="str">
        <f t="shared" si="43"/>
        <v>AB63B2</v>
      </c>
      <c r="V943">
        <v>0</v>
      </c>
      <c r="W943">
        <v>0</v>
      </c>
      <c r="X943">
        <v>6</v>
      </c>
      <c r="Z943">
        <v>0</v>
      </c>
      <c r="AA943">
        <v>9</v>
      </c>
      <c r="AB943">
        <v>3</v>
      </c>
      <c r="AC943">
        <v>0</v>
      </c>
      <c r="AD943">
        <v>10</v>
      </c>
      <c r="AE943">
        <v>0</v>
      </c>
      <c r="AF943">
        <v>0</v>
      </c>
      <c r="AG943">
        <v>2</v>
      </c>
      <c r="AH943">
        <v>0</v>
      </c>
      <c r="AI943" t="s">
        <v>888</v>
      </c>
      <c r="AJ943">
        <v>41.982751</v>
      </c>
      <c r="AK943" t="s">
        <v>879</v>
      </c>
      <c r="AL943">
        <v>-87.890345999999994</v>
      </c>
      <c r="AS943">
        <v>1</v>
      </c>
      <c r="AT943" t="s">
        <v>118</v>
      </c>
      <c r="AU943" t="b">
        <v>1</v>
      </c>
      <c r="AV943">
        <v>0</v>
      </c>
      <c r="AW943">
        <v>16.125</v>
      </c>
      <c r="AX943">
        <v>1</v>
      </c>
      <c r="AZ943">
        <v>7205</v>
      </c>
      <c r="BA943">
        <v>1</v>
      </c>
      <c r="BB943" t="str">
        <f t="shared" si="44"/>
        <v xml:space="preserve">KAP400  </v>
      </c>
      <c r="BC943">
        <v>1</v>
      </c>
      <c r="BE943">
        <v>0</v>
      </c>
      <c r="BF943">
        <v>0</v>
      </c>
      <c r="BG943">
        <v>0</v>
      </c>
      <c r="BI943">
        <v>1</v>
      </c>
      <c r="BJ943">
        <v>1</v>
      </c>
      <c r="BK943">
        <v>1</v>
      </c>
      <c r="BL943">
        <v>0</v>
      </c>
      <c r="BO943">
        <v>0</v>
      </c>
      <c r="BP943">
        <v>0</v>
      </c>
      <c r="BW943" t="str">
        <f>"19:19:55.754"</f>
        <v>19:19:55.754</v>
      </c>
      <c r="BX943" t="s">
        <v>119</v>
      </c>
      <c r="BY943" t="s">
        <v>120</v>
      </c>
      <c r="CJ943">
        <v>0</v>
      </c>
      <c r="CK943">
        <v>0</v>
      </c>
      <c r="CL943">
        <v>0</v>
      </c>
      <c r="CM943">
        <v>2</v>
      </c>
      <c r="CN943">
        <v>0</v>
      </c>
      <c r="CO943">
        <v>7</v>
      </c>
      <c r="CP943" t="s">
        <v>121</v>
      </c>
      <c r="CQ943">
        <v>581</v>
      </c>
      <c r="CR943">
        <v>0</v>
      </c>
      <c r="CW943">
        <v>15889392</v>
      </c>
      <c r="CY943">
        <v>0</v>
      </c>
      <c r="CZ943">
        <v>0</v>
      </c>
      <c r="DA943">
        <v>0</v>
      </c>
      <c r="DB943">
        <v>1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</row>
    <row r="944" spans="1:113" x14ac:dyDescent="0.3">
      <c r="A944" t="str">
        <f>"06/16/2022 19:19:57.081"</f>
        <v>06/16/2022 19:19:57.081</v>
      </c>
      <c r="C944" t="str">
        <f t="shared" si="45"/>
        <v>FFBF5BC0</v>
      </c>
      <c r="D944" t="s">
        <v>113</v>
      </c>
      <c r="E944">
        <v>8</v>
      </c>
      <c r="H944">
        <v>206</v>
      </c>
      <c r="I944" t="s">
        <v>114</v>
      </c>
      <c r="J944" t="s">
        <v>115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>"19:19:56.859"</f>
        <v>19:19:56.859</v>
      </c>
      <c r="T944" t="str">
        <f>"19:19:56.859"</f>
        <v>19:19:56.859</v>
      </c>
      <c r="U944" t="str">
        <f t="shared" si="43"/>
        <v>AB63B2</v>
      </c>
      <c r="V944">
        <v>0</v>
      </c>
      <c r="W944">
        <v>0</v>
      </c>
      <c r="X944">
        <v>6</v>
      </c>
      <c r="Z944">
        <v>0</v>
      </c>
      <c r="AA944">
        <v>9</v>
      </c>
      <c r="AB944">
        <v>3</v>
      </c>
      <c r="AC944">
        <v>0</v>
      </c>
      <c r="AD944">
        <v>10</v>
      </c>
      <c r="AE944">
        <v>0</v>
      </c>
      <c r="AF944">
        <v>0</v>
      </c>
      <c r="AG944">
        <v>2</v>
      </c>
      <c r="AH944">
        <v>0</v>
      </c>
      <c r="AI944" t="s">
        <v>889</v>
      </c>
      <c r="AJ944">
        <v>41.982837000000004</v>
      </c>
      <c r="AK944" t="s">
        <v>879</v>
      </c>
      <c r="AL944">
        <v>-87.890345999999994</v>
      </c>
      <c r="AS944">
        <v>1</v>
      </c>
      <c r="AT944" t="s">
        <v>118</v>
      </c>
      <c r="AU944" t="b">
        <v>1</v>
      </c>
      <c r="AV944">
        <v>0</v>
      </c>
      <c r="AW944">
        <v>16.125</v>
      </c>
      <c r="AX944">
        <v>1</v>
      </c>
      <c r="AZ944">
        <v>7205</v>
      </c>
      <c r="BA944">
        <v>1</v>
      </c>
      <c r="BB944" t="str">
        <f t="shared" si="44"/>
        <v xml:space="preserve">KAP400  </v>
      </c>
      <c r="BC944">
        <v>1</v>
      </c>
      <c r="BE944">
        <v>0</v>
      </c>
      <c r="BF944">
        <v>0</v>
      </c>
      <c r="BG944">
        <v>0</v>
      </c>
      <c r="BI944">
        <v>1</v>
      </c>
      <c r="BJ944">
        <v>1</v>
      </c>
      <c r="BK944">
        <v>1</v>
      </c>
      <c r="BL944">
        <v>0</v>
      </c>
      <c r="BO944">
        <v>0</v>
      </c>
      <c r="BP944">
        <v>0</v>
      </c>
      <c r="BW944" t="str">
        <f>"19:19:56.866"</f>
        <v>19:19:56.866</v>
      </c>
      <c r="BX944" t="s">
        <v>119</v>
      </c>
      <c r="BY944" t="s">
        <v>120</v>
      </c>
      <c r="CJ944">
        <v>0</v>
      </c>
      <c r="CK944">
        <v>0</v>
      </c>
      <c r="CL944">
        <v>0</v>
      </c>
      <c r="CM944">
        <v>2</v>
      </c>
      <c r="CN944">
        <v>0</v>
      </c>
      <c r="CO944">
        <v>7</v>
      </c>
      <c r="CP944" t="s">
        <v>121</v>
      </c>
      <c r="CQ944">
        <v>582</v>
      </c>
      <c r="CR944">
        <v>0</v>
      </c>
      <c r="CW944">
        <v>6780225</v>
      </c>
      <c r="CY944">
        <v>0</v>
      </c>
      <c r="CZ944">
        <v>0</v>
      </c>
      <c r="DA944">
        <v>0</v>
      </c>
      <c r="DB944">
        <v>1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</row>
    <row r="945" spans="1:113" x14ac:dyDescent="0.3">
      <c r="A945" t="str">
        <f>"06/16/2022 19:19:58.035"</f>
        <v>06/16/2022 19:19:58.035</v>
      </c>
      <c r="C945" t="str">
        <f t="shared" si="45"/>
        <v>FFBF5BC0</v>
      </c>
      <c r="D945" t="s">
        <v>113</v>
      </c>
      <c r="E945">
        <v>8</v>
      </c>
      <c r="H945">
        <v>206</v>
      </c>
      <c r="I945" t="s">
        <v>114</v>
      </c>
      <c r="J945" t="s">
        <v>115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>"19:19:57.797"</f>
        <v>19:19:57.797</v>
      </c>
      <c r="T945" t="str">
        <f>"19:19:57.797"</f>
        <v>19:19:57.797</v>
      </c>
      <c r="U945" t="str">
        <f t="shared" si="43"/>
        <v>AB63B2</v>
      </c>
      <c r="V945">
        <v>0</v>
      </c>
      <c r="W945">
        <v>0</v>
      </c>
      <c r="X945">
        <v>6</v>
      </c>
      <c r="Z945">
        <v>0</v>
      </c>
      <c r="AA945">
        <v>9</v>
      </c>
      <c r="AB945">
        <v>3</v>
      </c>
      <c r="AC945">
        <v>0</v>
      </c>
      <c r="AD945">
        <v>10</v>
      </c>
      <c r="AE945">
        <v>0</v>
      </c>
      <c r="AF945">
        <v>0</v>
      </c>
      <c r="AG945">
        <v>2</v>
      </c>
      <c r="AH945">
        <v>0</v>
      </c>
      <c r="AI945" t="s">
        <v>890</v>
      </c>
      <c r="AJ945">
        <v>41.982900999999998</v>
      </c>
      <c r="AK945" t="s">
        <v>879</v>
      </c>
      <c r="AL945">
        <v>-87.890345999999994</v>
      </c>
      <c r="AS945">
        <v>1</v>
      </c>
      <c r="AT945" t="s">
        <v>118</v>
      </c>
      <c r="AU945" t="b">
        <v>1</v>
      </c>
      <c r="AV945">
        <v>0</v>
      </c>
      <c r="AW945">
        <v>17.125</v>
      </c>
      <c r="AX945">
        <v>1</v>
      </c>
      <c r="AZ945">
        <v>7205</v>
      </c>
      <c r="BA945">
        <v>1</v>
      </c>
      <c r="BB945" t="str">
        <f t="shared" si="44"/>
        <v xml:space="preserve">KAP400  </v>
      </c>
      <c r="BC945">
        <v>1</v>
      </c>
      <c r="BE945">
        <v>0</v>
      </c>
      <c r="BF945">
        <v>0</v>
      </c>
      <c r="BG945">
        <v>0</v>
      </c>
      <c r="BI945">
        <v>1</v>
      </c>
      <c r="BJ945">
        <v>1</v>
      </c>
      <c r="BK945">
        <v>1</v>
      </c>
      <c r="BL945">
        <v>0</v>
      </c>
      <c r="BO945">
        <v>0</v>
      </c>
      <c r="BP945">
        <v>0</v>
      </c>
      <c r="BW945" t="str">
        <f>"19:19:57.799"</f>
        <v>19:19:57.799</v>
      </c>
      <c r="BX945" t="s">
        <v>119</v>
      </c>
      <c r="BY945" t="s">
        <v>120</v>
      </c>
      <c r="CJ945">
        <v>0</v>
      </c>
      <c r="CK945">
        <v>0</v>
      </c>
      <c r="CL945">
        <v>0</v>
      </c>
      <c r="CM945">
        <v>2</v>
      </c>
      <c r="CN945">
        <v>0</v>
      </c>
      <c r="CO945">
        <v>7</v>
      </c>
      <c r="CP945" t="s">
        <v>121</v>
      </c>
      <c r="CQ945">
        <v>581</v>
      </c>
      <c r="CR945">
        <v>0</v>
      </c>
      <c r="CW945">
        <v>15892115</v>
      </c>
      <c r="CY945">
        <v>0</v>
      </c>
      <c r="CZ945">
        <v>0</v>
      </c>
      <c r="DA945">
        <v>0</v>
      </c>
      <c r="DB945">
        <v>1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</row>
    <row r="946" spans="1:113" x14ac:dyDescent="0.3">
      <c r="A946" t="str">
        <f>"06/16/2022 19:19:59.035"</f>
        <v>06/16/2022 19:19:59.035</v>
      </c>
      <c r="C946" t="str">
        <f t="shared" si="45"/>
        <v>FFBF5BC0</v>
      </c>
      <c r="D946" t="s">
        <v>113</v>
      </c>
      <c r="E946">
        <v>8</v>
      </c>
      <c r="H946">
        <v>206</v>
      </c>
      <c r="I946" t="s">
        <v>114</v>
      </c>
      <c r="J946" t="s">
        <v>115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>"19:19:58.844"</f>
        <v>19:19:58.844</v>
      </c>
      <c r="T946" t="str">
        <f>"19:19:58.844"</f>
        <v>19:19:58.844</v>
      </c>
      <c r="U946" t="str">
        <f t="shared" si="43"/>
        <v>AB63B2</v>
      </c>
      <c r="V946">
        <v>0</v>
      </c>
      <c r="W946">
        <v>0</v>
      </c>
      <c r="X946">
        <v>6</v>
      </c>
      <c r="Z946">
        <v>0</v>
      </c>
      <c r="AA946">
        <v>9</v>
      </c>
      <c r="AB946">
        <v>3</v>
      </c>
      <c r="AC946">
        <v>0</v>
      </c>
      <c r="AD946">
        <v>10</v>
      </c>
      <c r="AE946">
        <v>0</v>
      </c>
      <c r="AF946">
        <v>0</v>
      </c>
      <c r="AG946">
        <v>2</v>
      </c>
      <c r="AH946">
        <v>0</v>
      </c>
      <c r="AI946" t="s">
        <v>891</v>
      </c>
      <c r="AJ946">
        <v>41.982965</v>
      </c>
      <c r="AK946" t="s">
        <v>879</v>
      </c>
      <c r="AL946">
        <v>-87.890345999999994</v>
      </c>
      <c r="AS946">
        <v>1</v>
      </c>
      <c r="AT946" t="s">
        <v>118</v>
      </c>
      <c r="AU946" t="b">
        <v>1</v>
      </c>
      <c r="AV946">
        <v>0</v>
      </c>
      <c r="AW946">
        <v>17.125</v>
      </c>
      <c r="AX946">
        <v>1</v>
      </c>
      <c r="AZ946">
        <v>7205</v>
      </c>
      <c r="BA946">
        <v>1</v>
      </c>
      <c r="BB946" t="str">
        <f t="shared" si="44"/>
        <v xml:space="preserve">KAP400  </v>
      </c>
      <c r="BC946">
        <v>1</v>
      </c>
      <c r="BE946">
        <v>0</v>
      </c>
      <c r="BF946">
        <v>0</v>
      </c>
      <c r="BG946">
        <v>0</v>
      </c>
      <c r="BI946">
        <v>1</v>
      </c>
      <c r="BJ946">
        <v>1</v>
      </c>
      <c r="BK946">
        <v>1</v>
      </c>
      <c r="BL946">
        <v>0</v>
      </c>
      <c r="BO946">
        <v>0</v>
      </c>
      <c r="BP946">
        <v>0</v>
      </c>
      <c r="BW946" t="str">
        <f>"19:19:58.849"</f>
        <v>19:19:58.849</v>
      </c>
      <c r="BX946" t="s">
        <v>119</v>
      </c>
      <c r="BY946" t="s">
        <v>120</v>
      </c>
      <c r="CJ946">
        <v>0</v>
      </c>
      <c r="CK946">
        <v>0</v>
      </c>
      <c r="CL946">
        <v>0</v>
      </c>
      <c r="CM946">
        <v>2</v>
      </c>
      <c r="CN946">
        <v>0</v>
      </c>
      <c r="CO946">
        <v>7</v>
      </c>
      <c r="CP946" t="s">
        <v>121</v>
      </c>
      <c r="CQ946">
        <v>581</v>
      </c>
      <c r="CR946">
        <v>0</v>
      </c>
      <c r="CW946">
        <v>15893583</v>
      </c>
      <c r="CY946">
        <v>0</v>
      </c>
      <c r="CZ946">
        <v>0</v>
      </c>
      <c r="DA946">
        <v>0</v>
      </c>
      <c r="DB946">
        <v>1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</row>
    <row r="947" spans="1:113" x14ac:dyDescent="0.3">
      <c r="A947" t="str">
        <f>"06/16/2022 19:20:00.160"</f>
        <v>06/16/2022 19:20:00.160</v>
      </c>
      <c r="C947" t="str">
        <f t="shared" si="45"/>
        <v>FFBF5BC0</v>
      </c>
      <c r="D947" t="s">
        <v>113</v>
      </c>
      <c r="E947">
        <v>8</v>
      </c>
      <c r="H947">
        <v>206</v>
      </c>
      <c r="I947" t="s">
        <v>114</v>
      </c>
      <c r="J947" t="s">
        <v>115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>"19:19:59.883"</f>
        <v>19:19:59.883</v>
      </c>
      <c r="T947" t="str">
        <f>"19:19:59.883"</f>
        <v>19:19:59.883</v>
      </c>
      <c r="U947" t="str">
        <f t="shared" si="43"/>
        <v>AB63B2</v>
      </c>
      <c r="V947">
        <v>0</v>
      </c>
      <c r="W947">
        <v>0</v>
      </c>
      <c r="X947">
        <v>6</v>
      </c>
      <c r="Z947">
        <v>0</v>
      </c>
      <c r="AA947">
        <v>9</v>
      </c>
      <c r="AB947">
        <v>3</v>
      </c>
      <c r="AC947">
        <v>0</v>
      </c>
      <c r="AD947">
        <v>10</v>
      </c>
      <c r="AE947">
        <v>0</v>
      </c>
      <c r="AF947">
        <v>0</v>
      </c>
      <c r="AG947">
        <v>2</v>
      </c>
      <c r="AH947">
        <v>0</v>
      </c>
      <c r="AI947" t="s">
        <v>250</v>
      </c>
      <c r="AJ947">
        <v>41.983072999999997</v>
      </c>
      <c r="AK947" t="s">
        <v>879</v>
      </c>
      <c r="AL947">
        <v>-87.890345999999994</v>
      </c>
      <c r="AS947">
        <v>1</v>
      </c>
      <c r="AT947" t="s">
        <v>118</v>
      </c>
      <c r="AU947" t="b">
        <v>1</v>
      </c>
      <c r="AV947">
        <v>0</v>
      </c>
      <c r="AW947">
        <v>17.125</v>
      </c>
      <c r="AX947">
        <v>1</v>
      </c>
      <c r="AZ947">
        <v>7205</v>
      </c>
      <c r="BA947">
        <v>1</v>
      </c>
      <c r="BB947" t="str">
        <f t="shared" si="44"/>
        <v xml:space="preserve">KAP400  </v>
      </c>
      <c r="BC947">
        <v>1</v>
      </c>
      <c r="BE947">
        <v>0</v>
      </c>
      <c r="BF947">
        <v>0</v>
      </c>
      <c r="BG947">
        <v>0</v>
      </c>
      <c r="BI947">
        <v>1</v>
      </c>
      <c r="BJ947">
        <v>1</v>
      </c>
      <c r="BK947">
        <v>1</v>
      </c>
      <c r="BL947">
        <v>0</v>
      </c>
      <c r="BO947">
        <v>0</v>
      </c>
      <c r="BP947">
        <v>0</v>
      </c>
      <c r="BW947" t="str">
        <f>"19:19:59.884"</f>
        <v>19:19:59.884</v>
      </c>
      <c r="BX947" t="s">
        <v>119</v>
      </c>
      <c r="BY947" t="s">
        <v>120</v>
      </c>
      <c r="CJ947">
        <v>0</v>
      </c>
      <c r="CK947">
        <v>0</v>
      </c>
      <c r="CL947">
        <v>0</v>
      </c>
      <c r="CM947">
        <v>2</v>
      </c>
      <c r="CN947">
        <v>0</v>
      </c>
      <c r="CO947">
        <v>7</v>
      </c>
      <c r="CP947" t="s">
        <v>121</v>
      </c>
      <c r="CQ947">
        <v>582</v>
      </c>
      <c r="CR947">
        <v>0</v>
      </c>
      <c r="CW947">
        <v>6784011</v>
      </c>
      <c r="CY947">
        <v>0</v>
      </c>
      <c r="CZ947">
        <v>0</v>
      </c>
      <c r="DA947">
        <v>0</v>
      </c>
      <c r="DB947">
        <v>1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</row>
    <row r="948" spans="1:113" x14ac:dyDescent="0.3">
      <c r="A948" t="str">
        <f>"06/16/2022 19:20:01.066"</f>
        <v>06/16/2022 19:20:01.066</v>
      </c>
      <c r="C948" t="str">
        <f t="shared" si="45"/>
        <v>FFBF5BC0</v>
      </c>
      <c r="D948" t="s">
        <v>113</v>
      </c>
      <c r="E948">
        <v>8</v>
      </c>
      <c r="H948">
        <v>206</v>
      </c>
      <c r="I948" t="s">
        <v>114</v>
      </c>
      <c r="J948" t="s">
        <v>115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>"19:20:00.813"</f>
        <v>19:20:00.813</v>
      </c>
      <c r="T948" t="str">
        <f>"19:20:00.813"</f>
        <v>19:20:00.813</v>
      </c>
      <c r="U948" t="str">
        <f t="shared" si="43"/>
        <v>AB63B2</v>
      </c>
      <c r="V948">
        <v>0</v>
      </c>
      <c r="W948">
        <v>0</v>
      </c>
      <c r="X948">
        <v>6</v>
      </c>
      <c r="Z948">
        <v>0</v>
      </c>
      <c r="AA948">
        <v>9</v>
      </c>
      <c r="AB948">
        <v>3</v>
      </c>
      <c r="AC948">
        <v>0</v>
      </c>
      <c r="AD948">
        <v>10</v>
      </c>
      <c r="AE948">
        <v>0</v>
      </c>
      <c r="AF948">
        <v>0</v>
      </c>
      <c r="AG948">
        <v>2</v>
      </c>
      <c r="AH948">
        <v>0</v>
      </c>
      <c r="AI948" t="s">
        <v>249</v>
      </c>
      <c r="AJ948">
        <v>41.983136999999999</v>
      </c>
      <c r="AK948" t="s">
        <v>879</v>
      </c>
      <c r="AL948">
        <v>-87.890345999999994</v>
      </c>
      <c r="AS948">
        <v>1</v>
      </c>
      <c r="AT948" t="s">
        <v>118</v>
      </c>
      <c r="AU948" t="b">
        <v>1</v>
      </c>
      <c r="AV948">
        <v>0</v>
      </c>
      <c r="AW948">
        <v>17.125</v>
      </c>
      <c r="AX948">
        <v>1</v>
      </c>
      <c r="AZ948">
        <v>7205</v>
      </c>
      <c r="BA948">
        <v>1</v>
      </c>
      <c r="BB948" t="str">
        <f t="shared" si="44"/>
        <v xml:space="preserve">KAP400  </v>
      </c>
      <c r="BC948">
        <v>1</v>
      </c>
      <c r="BE948">
        <v>0</v>
      </c>
      <c r="BF948">
        <v>0</v>
      </c>
      <c r="BG948">
        <v>0</v>
      </c>
      <c r="BI948">
        <v>1</v>
      </c>
      <c r="BJ948">
        <v>1</v>
      </c>
      <c r="BK948">
        <v>1</v>
      </c>
      <c r="BL948">
        <v>0</v>
      </c>
      <c r="BO948">
        <v>0</v>
      </c>
      <c r="BP948">
        <v>0</v>
      </c>
      <c r="BW948" t="str">
        <f>"19:20:00.817"</f>
        <v>19:20:00.817</v>
      </c>
      <c r="BX948" t="s">
        <v>119</v>
      </c>
      <c r="BY948" t="s">
        <v>120</v>
      </c>
      <c r="CJ948">
        <v>0</v>
      </c>
      <c r="CK948">
        <v>0</v>
      </c>
      <c r="CL948">
        <v>0</v>
      </c>
      <c r="CM948">
        <v>2</v>
      </c>
      <c r="CN948">
        <v>0</v>
      </c>
      <c r="CO948">
        <v>7</v>
      </c>
      <c r="CP948" t="s">
        <v>121</v>
      </c>
      <c r="CQ948">
        <v>581</v>
      </c>
      <c r="CR948">
        <v>0</v>
      </c>
      <c r="CW948">
        <v>15896324</v>
      </c>
      <c r="CY948">
        <v>0</v>
      </c>
      <c r="CZ948">
        <v>0</v>
      </c>
      <c r="DA948">
        <v>0</v>
      </c>
      <c r="DB948">
        <v>1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</row>
    <row r="949" spans="1:113" x14ac:dyDescent="0.3">
      <c r="A949" t="str">
        <f>"06/16/2022 19:20:01.879"</f>
        <v>06/16/2022 19:20:01.879</v>
      </c>
      <c r="C949" t="str">
        <f t="shared" si="45"/>
        <v>FFBF5BC0</v>
      </c>
      <c r="D949" t="s">
        <v>113</v>
      </c>
      <c r="E949">
        <v>8</v>
      </c>
      <c r="H949">
        <v>206</v>
      </c>
      <c r="I949" t="s">
        <v>114</v>
      </c>
      <c r="J949" t="s">
        <v>115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>"19:20:01.695"</f>
        <v>19:20:01.695</v>
      </c>
      <c r="T949" t="str">
        <f>"19:20:01.695"</f>
        <v>19:20:01.695</v>
      </c>
      <c r="U949" t="str">
        <f t="shared" si="43"/>
        <v>AB63B2</v>
      </c>
      <c r="V949">
        <v>0</v>
      </c>
      <c r="W949">
        <v>0</v>
      </c>
      <c r="X949">
        <v>6</v>
      </c>
      <c r="Z949">
        <v>0</v>
      </c>
      <c r="AA949">
        <v>9</v>
      </c>
      <c r="AB949">
        <v>3</v>
      </c>
      <c r="AC949">
        <v>0</v>
      </c>
      <c r="AD949">
        <v>10</v>
      </c>
      <c r="AE949">
        <v>0</v>
      </c>
      <c r="AF949">
        <v>0</v>
      </c>
      <c r="AG949">
        <v>2</v>
      </c>
      <c r="AH949">
        <v>0</v>
      </c>
      <c r="AI949" t="s">
        <v>892</v>
      </c>
      <c r="AJ949">
        <v>41.983201999999999</v>
      </c>
      <c r="AK949" t="s">
        <v>879</v>
      </c>
      <c r="AL949">
        <v>-87.890345999999994</v>
      </c>
      <c r="AS949">
        <v>1</v>
      </c>
      <c r="AT949" t="s">
        <v>118</v>
      </c>
      <c r="AU949" t="b">
        <v>1</v>
      </c>
      <c r="AV949">
        <v>0</v>
      </c>
      <c r="AW949">
        <v>17.125</v>
      </c>
      <c r="AX949">
        <v>1</v>
      </c>
      <c r="AZ949">
        <v>7205</v>
      </c>
      <c r="BA949">
        <v>1</v>
      </c>
      <c r="BB949" t="str">
        <f t="shared" si="44"/>
        <v xml:space="preserve">KAP400  </v>
      </c>
      <c r="BC949">
        <v>1</v>
      </c>
      <c r="BE949">
        <v>0</v>
      </c>
      <c r="BF949">
        <v>0</v>
      </c>
      <c r="BG949">
        <v>0</v>
      </c>
      <c r="BI949">
        <v>1</v>
      </c>
      <c r="BJ949">
        <v>1</v>
      </c>
      <c r="BK949">
        <v>1</v>
      </c>
      <c r="BL949">
        <v>0</v>
      </c>
      <c r="BO949">
        <v>0</v>
      </c>
      <c r="BP949">
        <v>0</v>
      </c>
      <c r="BW949" t="str">
        <f>"19:20:01.700"</f>
        <v>19:20:01.700</v>
      </c>
      <c r="BX949" t="s">
        <v>119</v>
      </c>
      <c r="BY949" t="s">
        <v>120</v>
      </c>
      <c r="CJ949">
        <v>0</v>
      </c>
      <c r="CK949">
        <v>0</v>
      </c>
      <c r="CL949">
        <v>0</v>
      </c>
      <c r="CM949">
        <v>2</v>
      </c>
      <c r="CN949">
        <v>0</v>
      </c>
      <c r="CO949">
        <v>7</v>
      </c>
      <c r="CP949" t="s">
        <v>121</v>
      </c>
      <c r="CQ949">
        <v>581</v>
      </c>
      <c r="CR949">
        <v>0</v>
      </c>
      <c r="CW949">
        <v>15897493</v>
      </c>
      <c r="CY949">
        <v>0</v>
      </c>
      <c r="CZ949">
        <v>0</v>
      </c>
      <c r="DA949">
        <v>0</v>
      </c>
      <c r="DB949">
        <v>1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</row>
    <row r="950" spans="1:113" x14ac:dyDescent="0.3">
      <c r="A950" t="str">
        <f>"06/16/2022 19:20:02.957"</f>
        <v>06/16/2022 19:20:02.957</v>
      </c>
      <c r="C950" t="str">
        <f t="shared" si="45"/>
        <v>FFBF5BC0</v>
      </c>
      <c r="D950" t="s">
        <v>113</v>
      </c>
      <c r="E950">
        <v>8</v>
      </c>
      <c r="H950">
        <v>206</v>
      </c>
      <c r="I950" t="s">
        <v>114</v>
      </c>
      <c r="J950" t="s">
        <v>115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>"19:20:02.734"</f>
        <v>19:20:02.734</v>
      </c>
      <c r="T950" t="str">
        <f>"19:20:02.734"</f>
        <v>19:20:02.734</v>
      </c>
      <c r="U950" t="str">
        <f t="shared" si="43"/>
        <v>AB63B2</v>
      </c>
      <c r="V950">
        <v>0</v>
      </c>
      <c r="W950">
        <v>0</v>
      </c>
      <c r="X950">
        <v>6</v>
      </c>
      <c r="Z950">
        <v>0</v>
      </c>
      <c r="AA950">
        <v>9</v>
      </c>
      <c r="AB950">
        <v>3</v>
      </c>
      <c r="AC950">
        <v>0</v>
      </c>
      <c r="AD950">
        <v>10</v>
      </c>
      <c r="AE950">
        <v>0</v>
      </c>
      <c r="AF950">
        <v>0</v>
      </c>
      <c r="AG950">
        <v>2</v>
      </c>
      <c r="AH950">
        <v>0</v>
      </c>
      <c r="AI950" t="s">
        <v>247</v>
      </c>
      <c r="AJ950">
        <v>41.983286999999997</v>
      </c>
      <c r="AK950" t="s">
        <v>879</v>
      </c>
      <c r="AL950">
        <v>-87.890345999999994</v>
      </c>
      <c r="AS950">
        <v>1</v>
      </c>
      <c r="AT950" t="s">
        <v>118</v>
      </c>
      <c r="AU950" t="b">
        <v>1</v>
      </c>
      <c r="AV950">
        <v>0</v>
      </c>
      <c r="AW950">
        <v>17.125</v>
      </c>
      <c r="AX950">
        <v>1</v>
      </c>
      <c r="AZ950">
        <v>7205</v>
      </c>
      <c r="BA950">
        <v>1</v>
      </c>
      <c r="BB950" t="str">
        <f t="shared" si="44"/>
        <v xml:space="preserve">KAP400  </v>
      </c>
      <c r="BC950">
        <v>1</v>
      </c>
      <c r="BE950">
        <v>0</v>
      </c>
      <c r="BF950">
        <v>0</v>
      </c>
      <c r="BG950">
        <v>0</v>
      </c>
      <c r="BI950">
        <v>1</v>
      </c>
      <c r="BJ950">
        <v>1</v>
      </c>
      <c r="BK950">
        <v>1</v>
      </c>
      <c r="BL950">
        <v>0</v>
      </c>
      <c r="BO950">
        <v>0</v>
      </c>
      <c r="BP950">
        <v>0</v>
      </c>
      <c r="BW950" t="str">
        <f>"19:20:02.742"</f>
        <v>19:20:02.742</v>
      </c>
      <c r="BX950" t="s">
        <v>119</v>
      </c>
      <c r="BY950" t="s">
        <v>120</v>
      </c>
      <c r="CJ950">
        <v>0</v>
      </c>
      <c r="CK950">
        <v>0</v>
      </c>
      <c r="CL950">
        <v>0</v>
      </c>
      <c r="CM950">
        <v>2</v>
      </c>
      <c r="CN950">
        <v>0</v>
      </c>
      <c r="CO950">
        <v>7</v>
      </c>
      <c r="CP950" t="s">
        <v>121</v>
      </c>
      <c r="CQ950">
        <v>582</v>
      </c>
      <c r="CR950">
        <v>0</v>
      </c>
      <c r="CW950">
        <v>6787552</v>
      </c>
      <c r="CY950">
        <v>0</v>
      </c>
      <c r="CZ950">
        <v>0</v>
      </c>
      <c r="DA950">
        <v>0</v>
      </c>
      <c r="DB950">
        <v>1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</row>
    <row r="951" spans="1:113" x14ac:dyDescent="0.3">
      <c r="A951" t="str">
        <f>"06/16/2022 19:20:03.847"</f>
        <v>06/16/2022 19:20:03.847</v>
      </c>
      <c r="C951" t="str">
        <f t="shared" si="45"/>
        <v>FFBF5BC0</v>
      </c>
      <c r="D951" t="s">
        <v>113</v>
      </c>
      <c r="E951">
        <v>8</v>
      </c>
      <c r="H951">
        <v>206</v>
      </c>
      <c r="I951" t="s">
        <v>114</v>
      </c>
      <c r="J951" t="s">
        <v>115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>"19:20:03.617"</f>
        <v>19:20:03.617</v>
      </c>
      <c r="T951" t="str">
        <f>"19:20:03.617"</f>
        <v>19:20:03.617</v>
      </c>
      <c r="U951" t="str">
        <f t="shared" si="43"/>
        <v>AB63B2</v>
      </c>
      <c r="V951">
        <v>0</v>
      </c>
      <c r="W951">
        <v>0</v>
      </c>
      <c r="X951">
        <v>6</v>
      </c>
      <c r="Z951">
        <v>0</v>
      </c>
      <c r="AA951">
        <v>9</v>
      </c>
      <c r="AB951">
        <v>3</v>
      </c>
      <c r="AC951">
        <v>0</v>
      </c>
      <c r="AD951">
        <v>10</v>
      </c>
      <c r="AE951">
        <v>0</v>
      </c>
      <c r="AF951">
        <v>0</v>
      </c>
      <c r="AG951">
        <v>2</v>
      </c>
      <c r="AH951">
        <v>0</v>
      </c>
      <c r="AI951" t="s">
        <v>893</v>
      </c>
      <c r="AJ951">
        <v>41.983351999999996</v>
      </c>
      <c r="AK951" t="s">
        <v>879</v>
      </c>
      <c r="AL951">
        <v>-87.890345999999994</v>
      </c>
      <c r="AS951">
        <v>1</v>
      </c>
      <c r="AT951" t="s">
        <v>118</v>
      </c>
      <c r="AU951" t="b">
        <v>1</v>
      </c>
      <c r="AV951">
        <v>0</v>
      </c>
      <c r="AW951">
        <v>17.125</v>
      </c>
      <c r="AX951">
        <v>1</v>
      </c>
      <c r="AZ951">
        <v>7205</v>
      </c>
      <c r="BA951">
        <v>1</v>
      </c>
      <c r="BB951" t="str">
        <f t="shared" si="44"/>
        <v xml:space="preserve">KAP400  </v>
      </c>
      <c r="BC951">
        <v>1</v>
      </c>
      <c r="BE951">
        <v>0</v>
      </c>
      <c r="BF951">
        <v>0</v>
      </c>
      <c r="BG951">
        <v>0</v>
      </c>
      <c r="BI951">
        <v>1</v>
      </c>
      <c r="BJ951">
        <v>1</v>
      </c>
      <c r="BK951">
        <v>1</v>
      </c>
      <c r="BL951">
        <v>0</v>
      </c>
      <c r="BO951">
        <v>0</v>
      </c>
      <c r="BP951">
        <v>0</v>
      </c>
      <c r="BW951" t="str">
        <f>"19:20:03.618"</f>
        <v>19:20:03.618</v>
      </c>
      <c r="BX951" t="s">
        <v>119</v>
      </c>
      <c r="BY951" t="s">
        <v>120</v>
      </c>
      <c r="CJ951">
        <v>0</v>
      </c>
      <c r="CK951">
        <v>0</v>
      </c>
      <c r="CL951">
        <v>0</v>
      </c>
      <c r="CM951">
        <v>2</v>
      </c>
      <c r="CN951">
        <v>0</v>
      </c>
      <c r="CO951">
        <v>7</v>
      </c>
      <c r="CP951" t="s">
        <v>121</v>
      </c>
      <c r="CQ951">
        <v>581</v>
      </c>
      <c r="CR951">
        <v>0</v>
      </c>
      <c r="CW951">
        <v>15900051</v>
      </c>
      <c r="CY951">
        <v>0</v>
      </c>
      <c r="CZ951">
        <v>0</v>
      </c>
      <c r="DA951">
        <v>0</v>
      </c>
      <c r="DB951">
        <v>1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</row>
    <row r="952" spans="1:113" x14ac:dyDescent="0.3">
      <c r="A952" t="str">
        <f>"06/16/2022 19:20:04.769"</f>
        <v>06/16/2022 19:20:04.769</v>
      </c>
      <c r="C952" t="str">
        <f t="shared" si="45"/>
        <v>FFBF5BC0</v>
      </c>
      <c r="D952" t="s">
        <v>113</v>
      </c>
      <c r="E952">
        <v>8</v>
      </c>
      <c r="H952">
        <v>206</v>
      </c>
      <c r="I952" t="s">
        <v>114</v>
      </c>
      <c r="J952" t="s">
        <v>115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>"19:20:04.563"</f>
        <v>19:20:04.563</v>
      </c>
      <c r="T952" t="str">
        <f>"19:20:04.563"</f>
        <v>19:20:04.563</v>
      </c>
      <c r="U952" t="str">
        <f t="shared" si="43"/>
        <v>AB63B2</v>
      </c>
      <c r="V952">
        <v>0</v>
      </c>
      <c r="W952">
        <v>0</v>
      </c>
      <c r="X952">
        <v>6</v>
      </c>
      <c r="Z952">
        <v>0</v>
      </c>
      <c r="AA952">
        <v>9</v>
      </c>
      <c r="AB952">
        <v>3</v>
      </c>
      <c r="AC952">
        <v>0</v>
      </c>
      <c r="AD952">
        <v>10</v>
      </c>
      <c r="AE952">
        <v>0</v>
      </c>
      <c r="AF952">
        <v>0</v>
      </c>
      <c r="AG952">
        <v>2</v>
      </c>
      <c r="AH952">
        <v>0</v>
      </c>
      <c r="AI952" t="s">
        <v>894</v>
      </c>
      <c r="AJ952">
        <v>41.983415999999998</v>
      </c>
      <c r="AK952" t="s">
        <v>879</v>
      </c>
      <c r="AL952">
        <v>-87.890345999999994</v>
      </c>
      <c r="AS952">
        <v>1</v>
      </c>
      <c r="AT952" t="s">
        <v>118</v>
      </c>
      <c r="AU952" t="b">
        <v>1</v>
      </c>
      <c r="AV952">
        <v>0</v>
      </c>
      <c r="AW952">
        <v>17.125</v>
      </c>
      <c r="AX952">
        <v>1</v>
      </c>
      <c r="AZ952">
        <v>7205</v>
      </c>
      <c r="BA952">
        <v>1</v>
      </c>
      <c r="BB952" t="str">
        <f t="shared" si="44"/>
        <v xml:space="preserve">KAP400  </v>
      </c>
      <c r="BC952">
        <v>1</v>
      </c>
      <c r="BE952">
        <v>0</v>
      </c>
      <c r="BF952">
        <v>0</v>
      </c>
      <c r="BG952">
        <v>0</v>
      </c>
      <c r="BI952">
        <v>1</v>
      </c>
      <c r="BJ952">
        <v>1</v>
      </c>
      <c r="BK952">
        <v>1</v>
      </c>
      <c r="BL952">
        <v>0</v>
      </c>
      <c r="BO952">
        <v>0</v>
      </c>
      <c r="BP952">
        <v>0</v>
      </c>
      <c r="BW952" t="str">
        <f>"19:20:04.569"</f>
        <v>19:20:04.569</v>
      </c>
      <c r="BX952" t="s">
        <v>119</v>
      </c>
      <c r="BY952" t="s">
        <v>120</v>
      </c>
      <c r="CJ952">
        <v>0</v>
      </c>
      <c r="CK952">
        <v>0</v>
      </c>
      <c r="CL952">
        <v>0</v>
      </c>
      <c r="CM952">
        <v>2</v>
      </c>
      <c r="CN952">
        <v>0</v>
      </c>
      <c r="CO952">
        <v>7</v>
      </c>
      <c r="CP952" t="s">
        <v>121</v>
      </c>
      <c r="CQ952">
        <v>581</v>
      </c>
      <c r="CR952">
        <v>0</v>
      </c>
      <c r="CW952">
        <v>15901375</v>
      </c>
      <c r="CY952">
        <v>0</v>
      </c>
      <c r="CZ952">
        <v>0</v>
      </c>
      <c r="DA952">
        <v>0</v>
      </c>
      <c r="DB952">
        <v>1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</row>
    <row r="953" spans="1:113" x14ac:dyDescent="0.3">
      <c r="A953" t="str">
        <f>"06/16/2022 19:20:05.645"</f>
        <v>06/16/2022 19:20:05.645</v>
      </c>
      <c r="C953" t="str">
        <f t="shared" si="45"/>
        <v>FFBF5BC0</v>
      </c>
      <c r="D953" t="s">
        <v>113</v>
      </c>
      <c r="E953">
        <v>8</v>
      </c>
      <c r="H953">
        <v>206</v>
      </c>
      <c r="I953" t="s">
        <v>114</v>
      </c>
      <c r="J953" t="s">
        <v>115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>"19:20:05.445"</f>
        <v>19:20:05.445</v>
      </c>
      <c r="T953" t="str">
        <f>"19:20:05.445"</f>
        <v>19:20:05.445</v>
      </c>
      <c r="U953" t="str">
        <f t="shared" si="43"/>
        <v>AB63B2</v>
      </c>
      <c r="V953">
        <v>0</v>
      </c>
      <c r="W953">
        <v>0</v>
      </c>
      <c r="X953">
        <v>6</v>
      </c>
      <c r="Z953">
        <v>0</v>
      </c>
      <c r="AA953">
        <v>9</v>
      </c>
      <c r="AB953">
        <v>3</v>
      </c>
      <c r="AC953">
        <v>0</v>
      </c>
      <c r="AD953">
        <v>10</v>
      </c>
      <c r="AE953">
        <v>0</v>
      </c>
      <c r="AF953">
        <v>0</v>
      </c>
      <c r="AG953">
        <v>2</v>
      </c>
      <c r="AH953">
        <v>0</v>
      </c>
      <c r="AI953" t="s">
        <v>895</v>
      </c>
      <c r="AJ953">
        <v>41.98348</v>
      </c>
      <c r="AK953" t="s">
        <v>879</v>
      </c>
      <c r="AL953">
        <v>-87.890345999999994</v>
      </c>
      <c r="AS953">
        <v>1</v>
      </c>
      <c r="AT953" t="s">
        <v>118</v>
      </c>
      <c r="AU953" t="b">
        <v>1</v>
      </c>
      <c r="AV953">
        <v>0</v>
      </c>
      <c r="AW953">
        <v>17.125</v>
      </c>
      <c r="AX953">
        <v>1</v>
      </c>
      <c r="AZ953">
        <v>7205</v>
      </c>
      <c r="BA953">
        <v>1</v>
      </c>
      <c r="BB953" t="str">
        <f t="shared" si="44"/>
        <v xml:space="preserve">KAP400  </v>
      </c>
      <c r="BC953">
        <v>1</v>
      </c>
      <c r="BE953">
        <v>0</v>
      </c>
      <c r="BF953">
        <v>0</v>
      </c>
      <c r="BG953">
        <v>0</v>
      </c>
      <c r="BI953">
        <v>1</v>
      </c>
      <c r="BJ953">
        <v>1</v>
      </c>
      <c r="BK953">
        <v>1</v>
      </c>
      <c r="BL953">
        <v>0</v>
      </c>
      <c r="BO953">
        <v>0</v>
      </c>
      <c r="BP953">
        <v>0</v>
      </c>
      <c r="BW953" t="str">
        <f>"19:20:05.448"</f>
        <v>19:20:05.448</v>
      </c>
      <c r="BX953" t="s">
        <v>119</v>
      </c>
      <c r="BY953" t="s">
        <v>120</v>
      </c>
      <c r="CJ953">
        <v>0</v>
      </c>
      <c r="CK953">
        <v>0</v>
      </c>
      <c r="CL953">
        <v>0</v>
      </c>
      <c r="CM953">
        <v>2</v>
      </c>
      <c r="CN953">
        <v>0</v>
      </c>
      <c r="CO953">
        <v>7</v>
      </c>
      <c r="CP953" t="s">
        <v>121</v>
      </c>
      <c r="CQ953">
        <v>582</v>
      </c>
      <c r="CR953">
        <v>0</v>
      </c>
      <c r="CW953">
        <v>6790912</v>
      </c>
      <c r="CY953">
        <v>0</v>
      </c>
      <c r="CZ953">
        <v>0</v>
      </c>
      <c r="DA953">
        <v>0</v>
      </c>
      <c r="DB953">
        <v>1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</row>
    <row r="954" spans="1:113" x14ac:dyDescent="0.3">
      <c r="A954" t="str">
        <f>"06/16/2022 19:20:07.285"</f>
        <v>06/16/2022 19:20:07.285</v>
      </c>
      <c r="C954" t="str">
        <f t="shared" si="45"/>
        <v>FFBF5BC0</v>
      </c>
      <c r="D954" t="s">
        <v>113</v>
      </c>
      <c r="E954">
        <v>8</v>
      </c>
      <c r="H954">
        <v>206</v>
      </c>
      <c r="I954" t="s">
        <v>114</v>
      </c>
      <c r="J954" t="s">
        <v>115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>"19:20:07.070"</f>
        <v>19:20:07.070</v>
      </c>
      <c r="T954" t="str">
        <f>"19:20:07.070"</f>
        <v>19:20:07.070</v>
      </c>
      <c r="U954" t="str">
        <f t="shared" si="43"/>
        <v>AB63B2</v>
      </c>
      <c r="V954">
        <v>0</v>
      </c>
      <c r="W954">
        <v>0</v>
      </c>
      <c r="X954">
        <v>6</v>
      </c>
      <c r="Z954">
        <v>0</v>
      </c>
      <c r="AA954">
        <v>9</v>
      </c>
      <c r="AB954">
        <v>3</v>
      </c>
      <c r="AC954">
        <v>0</v>
      </c>
      <c r="AD954">
        <v>10</v>
      </c>
      <c r="AE954">
        <v>0</v>
      </c>
      <c r="AF954">
        <v>0</v>
      </c>
      <c r="AG954">
        <v>2</v>
      </c>
      <c r="AH954">
        <v>0</v>
      </c>
      <c r="AI954" t="s">
        <v>243</v>
      </c>
      <c r="AJ954">
        <v>41.983609000000001</v>
      </c>
      <c r="AK954" t="s">
        <v>879</v>
      </c>
      <c r="AL954">
        <v>-87.890345999999994</v>
      </c>
      <c r="AS954">
        <v>1</v>
      </c>
      <c r="AT954" t="s">
        <v>118</v>
      </c>
      <c r="AU954" t="b">
        <v>1</v>
      </c>
      <c r="AV954">
        <v>0</v>
      </c>
      <c r="AW954">
        <v>16.125</v>
      </c>
      <c r="AX954">
        <v>1</v>
      </c>
      <c r="AZ954">
        <v>7205</v>
      </c>
      <c r="BA954">
        <v>1</v>
      </c>
      <c r="BB954" t="str">
        <f t="shared" si="44"/>
        <v xml:space="preserve">KAP400  </v>
      </c>
      <c r="BC954">
        <v>1</v>
      </c>
      <c r="BE954">
        <v>0</v>
      </c>
      <c r="BF954">
        <v>0</v>
      </c>
      <c r="BG954">
        <v>0</v>
      </c>
      <c r="BI954">
        <v>1</v>
      </c>
      <c r="BJ954">
        <v>1</v>
      </c>
      <c r="BK954">
        <v>1</v>
      </c>
      <c r="BL954">
        <v>0</v>
      </c>
      <c r="BO954">
        <v>0</v>
      </c>
      <c r="BP954">
        <v>0</v>
      </c>
      <c r="BW954" t="str">
        <f>"19:20:07.070"</f>
        <v>19:20:07.070</v>
      </c>
      <c r="BX954" t="s">
        <v>119</v>
      </c>
      <c r="BY954" t="s">
        <v>120</v>
      </c>
      <c r="CJ954">
        <v>0</v>
      </c>
      <c r="CK954">
        <v>0</v>
      </c>
      <c r="CL954">
        <v>0</v>
      </c>
      <c r="CM954">
        <v>2</v>
      </c>
      <c r="CN954">
        <v>0</v>
      </c>
      <c r="CO954">
        <v>7</v>
      </c>
      <c r="CP954" t="s">
        <v>121</v>
      </c>
      <c r="CQ954">
        <v>581</v>
      </c>
      <c r="CR954">
        <v>0</v>
      </c>
      <c r="CW954">
        <v>15904522</v>
      </c>
      <c r="CY954">
        <v>0</v>
      </c>
      <c r="CZ954">
        <v>0</v>
      </c>
      <c r="DA954">
        <v>0</v>
      </c>
      <c r="DB954">
        <v>1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</row>
    <row r="955" spans="1:113" x14ac:dyDescent="0.3">
      <c r="A955" t="str">
        <f>"06/16/2022 19:20:08.238"</f>
        <v>06/16/2022 19:20:08.238</v>
      </c>
      <c r="C955" t="str">
        <f t="shared" si="45"/>
        <v>FFBF5BC0</v>
      </c>
      <c r="D955" t="s">
        <v>113</v>
      </c>
      <c r="E955">
        <v>8</v>
      </c>
      <c r="H955">
        <v>206</v>
      </c>
      <c r="I955" t="s">
        <v>114</v>
      </c>
      <c r="J955" t="s">
        <v>115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>"19:20:08.047"</f>
        <v>19:20:08.047</v>
      </c>
      <c r="T955" t="str">
        <f>"19:20:08.047"</f>
        <v>19:20:08.047</v>
      </c>
      <c r="U955" t="str">
        <f t="shared" si="43"/>
        <v>AB63B2</v>
      </c>
      <c r="V955">
        <v>0</v>
      </c>
      <c r="W955">
        <v>0</v>
      </c>
      <c r="X955">
        <v>6</v>
      </c>
      <c r="Z955">
        <v>0</v>
      </c>
      <c r="AA955">
        <v>9</v>
      </c>
      <c r="AB955">
        <v>3</v>
      </c>
      <c r="AC955">
        <v>0</v>
      </c>
      <c r="AD955">
        <v>10</v>
      </c>
      <c r="AE955">
        <v>0</v>
      </c>
      <c r="AF955">
        <v>0</v>
      </c>
      <c r="AG955">
        <v>2</v>
      </c>
      <c r="AH955">
        <v>0</v>
      </c>
      <c r="AI955" t="s">
        <v>896</v>
      </c>
      <c r="AJ955">
        <v>41.983674000000001</v>
      </c>
      <c r="AK955" t="s">
        <v>879</v>
      </c>
      <c r="AL955">
        <v>-87.890345999999994</v>
      </c>
      <c r="AS955">
        <v>1</v>
      </c>
      <c r="AT955" t="s">
        <v>118</v>
      </c>
      <c r="AU955" t="b">
        <v>1</v>
      </c>
      <c r="AV955">
        <v>0</v>
      </c>
      <c r="AW955">
        <v>16.125</v>
      </c>
      <c r="AX955">
        <v>1</v>
      </c>
      <c r="AZ955">
        <v>7205</v>
      </c>
      <c r="BA955">
        <v>1</v>
      </c>
      <c r="BB955" t="str">
        <f t="shared" si="44"/>
        <v xml:space="preserve">KAP400  </v>
      </c>
      <c r="BC955">
        <v>1</v>
      </c>
      <c r="BE955">
        <v>0</v>
      </c>
      <c r="BF955">
        <v>0</v>
      </c>
      <c r="BG955">
        <v>0</v>
      </c>
      <c r="BI955">
        <v>1</v>
      </c>
      <c r="BJ955">
        <v>1</v>
      </c>
      <c r="BK955">
        <v>1</v>
      </c>
      <c r="BL955">
        <v>0</v>
      </c>
      <c r="BO955">
        <v>0</v>
      </c>
      <c r="BP955">
        <v>0</v>
      </c>
      <c r="BW955" t="str">
        <f>"19:20:08.052"</f>
        <v>19:20:08.052</v>
      </c>
      <c r="BX955" t="s">
        <v>119</v>
      </c>
      <c r="BY955" t="s">
        <v>120</v>
      </c>
      <c r="CJ955">
        <v>0</v>
      </c>
      <c r="CK955">
        <v>0</v>
      </c>
      <c r="CL955">
        <v>0</v>
      </c>
      <c r="CM955">
        <v>2</v>
      </c>
      <c r="CN955">
        <v>0</v>
      </c>
      <c r="CO955">
        <v>7</v>
      </c>
      <c r="CP955" t="s">
        <v>121</v>
      </c>
      <c r="CQ955">
        <v>581</v>
      </c>
      <c r="CR955">
        <v>0</v>
      </c>
      <c r="CW955">
        <v>15905810</v>
      </c>
      <c r="CY955">
        <v>0</v>
      </c>
      <c r="CZ955">
        <v>0</v>
      </c>
      <c r="DA955">
        <v>0</v>
      </c>
      <c r="DB955">
        <v>1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</row>
    <row r="956" spans="1:113" x14ac:dyDescent="0.3">
      <c r="A956" t="str">
        <f>"06/16/2022 19:20:09.442"</f>
        <v>06/16/2022 19:20:09.442</v>
      </c>
      <c r="C956" t="str">
        <f t="shared" si="45"/>
        <v>FFBF5BC0</v>
      </c>
      <c r="D956" t="s">
        <v>113</v>
      </c>
      <c r="E956">
        <v>8</v>
      </c>
      <c r="H956">
        <v>206</v>
      </c>
      <c r="I956" t="s">
        <v>114</v>
      </c>
      <c r="J956" t="s">
        <v>115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>"19:20:09.180"</f>
        <v>19:20:09.180</v>
      </c>
      <c r="T956" t="str">
        <f>"19:20:09.180"</f>
        <v>19:20:09.180</v>
      </c>
      <c r="U956" t="str">
        <f t="shared" si="43"/>
        <v>AB63B2</v>
      </c>
      <c r="V956">
        <v>0</v>
      </c>
      <c r="W956">
        <v>0</v>
      </c>
      <c r="X956">
        <v>6</v>
      </c>
      <c r="Z956">
        <v>0</v>
      </c>
      <c r="AA956">
        <v>9</v>
      </c>
      <c r="AB956">
        <v>3</v>
      </c>
      <c r="AC956">
        <v>0</v>
      </c>
      <c r="AD956">
        <v>10</v>
      </c>
      <c r="AE956">
        <v>0</v>
      </c>
      <c r="AF956">
        <v>0</v>
      </c>
      <c r="AG956">
        <v>2</v>
      </c>
      <c r="AH956">
        <v>0</v>
      </c>
      <c r="AI956" t="s">
        <v>897</v>
      </c>
      <c r="AJ956">
        <v>41.983758999999999</v>
      </c>
      <c r="AK956" t="s">
        <v>879</v>
      </c>
      <c r="AL956">
        <v>-87.890345999999994</v>
      </c>
      <c r="AS956">
        <v>1</v>
      </c>
      <c r="AT956" t="s">
        <v>118</v>
      </c>
      <c r="AU956" t="b">
        <v>1</v>
      </c>
      <c r="AV956">
        <v>0</v>
      </c>
      <c r="AW956">
        <v>16.125</v>
      </c>
      <c r="AX956">
        <v>1</v>
      </c>
      <c r="AZ956">
        <v>7205</v>
      </c>
      <c r="BA956">
        <v>1</v>
      </c>
      <c r="BB956" t="str">
        <f t="shared" si="44"/>
        <v xml:space="preserve">KAP400  </v>
      </c>
      <c r="BC956">
        <v>1</v>
      </c>
      <c r="BE956">
        <v>0</v>
      </c>
      <c r="BF956">
        <v>0</v>
      </c>
      <c r="BG956">
        <v>0</v>
      </c>
      <c r="BI956">
        <v>1</v>
      </c>
      <c r="BJ956">
        <v>1</v>
      </c>
      <c r="BK956">
        <v>1</v>
      </c>
      <c r="BL956">
        <v>0</v>
      </c>
      <c r="BO956">
        <v>0</v>
      </c>
      <c r="BP956">
        <v>0</v>
      </c>
      <c r="BW956" t="str">
        <f>"19:20:09.187"</f>
        <v>19:20:09.187</v>
      </c>
      <c r="BX956" t="s">
        <v>119</v>
      </c>
      <c r="BY956" t="s">
        <v>120</v>
      </c>
      <c r="CJ956">
        <v>0</v>
      </c>
      <c r="CK956">
        <v>0</v>
      </c>
      <c r="CL956">
        <v>0</v>
      </c>
      <c r="CM956">
        <v>2</v>
      </c>
      <c r="CN956">
        <v>0</v>
      </c>
      <c r="CO956">
        <v>7</v>
      </c>
      <c r="CP956" t="s">
        <v>121</v>
      </c>
      <c r="CQ956">
        <v>581</v>
      </c>
      <c r="CR956">
        <v>0</v>
      </c>
      <c r="CW956">
        <v>15907319</v>
      </c>
      <c r="CY956">
        <v>0</v>
      </c>
      <c r="CZ956">
        <v>0</v>
      </c>
      <c r="DA956">
        <v>0</v>
      </c>
      <c r="DB956">
        <v>1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</row>
    <row r="957" spans="1:113" x14ac:dyDescent="0.3">
      <c r="A957" t="str">
        <f>"06/16/2022 19:20:10.582"</f>
        <v>06/16/2022 19:20:10.582</v>
      </c>
      <c r="C957" t="str">
        <f t="shared" si="45"/>
        <v>FFBF5BC0</v>
      </c>
      <c r="D957" t="s">
        <v>113</v>
      </c>
      <c r="E957">
        <v>8</v>
      </c>
      <c r="H957">
        <v>206</v>
      </c>
      <c r="I957" t="s">
        <v>114</v>
      </c>
      <c r="J957" t="s">
        <v>115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>"19:20:10.273"</f>
        <v>19:20:10.273</v>
      </c>
      <c r="T957" t="str">
        <f>"19:20:10.273"</f>
        <v>19:20:10.273</v>
      </c>
      <c r="U957" t="str">
        <f t="shared" si="43"/>
        <v>AB63B2</v>
      </c>
      <c r="V957">
        <v>0</v>
      </c>
      <c r="W957">
        <v>0</v>
      </c>
      <c r="X957">
        <v>6</v>
      </c>
      <c r="Z957">
        <v>0</v>
      </c>
      <c r="AA957">
        <v>9</v>
      </c>
      <c r="AB957">
        <v>3</v>
      </c>
      <c r="AC957">
        <v>0</v>
      </c>
      <c r="AD957">
        <v>10</v>
      </c>
      <c r="AE957">
        <v>0</v>
      </c>
      <c r="AF957">
        <v>0</v>
      </c>
      <c r="AG957">
        <v>2</v>
      </c>
      <c r="AH957">
        <v>0</v>
      </c>
      <c r="AI957" t="s">
        <v>898</v>
      </c>
      <c r="AJ957">
        <v>41.983845000000002</v>
      </c>
      <c r="AK957" t="s">
        <v>899</v>
      </c>
      <c r="AL957">
        <v>-87.890325000000004</v>
      </c>
      <c r="AS957">
        <v>1</v>
      </c>
      <c r="AT957" t="s">
        <v>118</v>
      </c>
      <c r="AU957" t="b">
        <v>1</v>
      </c>
      <c r="AV957">
        <v>0</v>
      </c>
      <c r="AW957">
        <v>16.125</v>
      </c>
      <c r="AX957">
        <v>1</v>
      </c>
      <c r="AZ957">
        <v>7205</v>
      </c>
      <c r="BA957">
        <v>1</v>
      </c>
      <c r="BB957" t="str">
        <f t="shared" si="44"/>
        <v xml:space="preserve">KAP400  </v>
      </c>
      <c r="BC957">
        <v>1</v>
      </c>
      <c r="BE957">
        <v>0</v>
      </c>
      <c r="BF957">
        <v>0</v>
      </c>
      <c r="BG957">
        <v>0</v>
      </c>
      <c r="BI957">
        <v>1</v>
      </c>
      <c r="BJ957">
        <v>1</v>
      </c>
      <c r="BK957">
        <v>1</v>
      </c>
      <c r="BL957">
        <v>0</v>
      </c>
      <c r="BO957">
        <v>0</v>
      </c>
      <c r="BP957">
        <v>0</v>
      </c>
      <c r="BW957" t="str">
        <f>"19:20:10.277"</f>
        <v>19:20:10.277</v>
      </c>
      <c r="BX957" t="s">
        <v>119</v>
      </c>
      <c r="BY957" t="s">
        <v>120</v>
      </c>
      <c r="CJ957">
        <v>0</v>
      </c>
      <c r="CK957">
        <v>0</v>
      </c>
      <c r="CL957">
        <v>0</v>
      </c>
      <c r="CM957">
        <v>2</v>
      </c>
      <c r="CN957">
        <v>0</v>
      </c>
      <c r="CO957">
        <v>7</v>
      </c>
      <c r="CP957" t="s">
        <v>121</v>
      </c>
      <c r="CQ957">
        <v>582</v>
      </c>
      <c r="CR957">
        <v>0</v>
      </c>
      <c r="CW957">
        <v>6796675</v>
      </c>
      <c r="CY957">
        <v>0</v>
      </c>
      <c r="CZ957">
        <v>0</v>
      </c>
      <c r="DA957">
        <v>0</v>
      </c>
      <c r="DB957">
        <v>1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</row>
    <row r="958" spans="1:113" x14ac:dyDescent="0.3">
      <c r="A958" t="str">
        <f>"06/16/2022 19:20:11.504"</f>
        <v>06/16/2022 19:20:11.504</v>
      </c>
      <c r="C958" t="str">
        <f t="shared" si="45"/>
        <v>FFBF5BC0</v>
      </c>
      <c r="D958" t="s">
        <v>113</v>
      </c>
      <c r="E958">
        <v>8</v>
      </c>
      <c r="H958">
        <v>206</v>
      </c>
      <c r="I958" t="s">
        <v>114</v>
      </c>
      <c r="J958" t="s">
        <v>115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>"19:20:11.281"</f>
        <v>19:20:11.281</v>
      </c>
      <c r="T958" t="str">
        <f>"19:20:11.281"</f>
        <v>19:20:11.281</v>
      </c>
      <c r="U958" t="str">
        <f t="shared" si="43"/>
        <v>AB63B2</v>
      </c>
      <c r="V958">
        <v>0</v>
      </c>
      <c r="W958">
        <v>0</v>
      </c>
      <c r="X958">
        <v>6</v>
      </c>
      <c r="Z958">
        <v>0</v>
      </c>
      <c r="AA958">
        <v>9</v>
      </c>
      <c r="AB958">
        <v>3</v>
      </c>
      <c r="AC958">
        <v>0</v>
      </c>
      <c r="AD958">
        <v>10</v>
      </c>
      <c r="AE958">
        <v>0</v>
      </c>
      <c r="AF958">
        <v>0</v>
      </c>
      <c r="AG958">
        <v>2</v>
      </c>
      <c r="AH958">
        <v>0</v>
      </c>
      <c r="AI958" t="s">
        <v>900</v>
      </c>
      <c r="AJ958">
        <v>41.983930999999998</v>
      </c>
      <c r="AK958" t="s">
        <v>899</v>
      </c>
      <c r="AL958">
        <v>-87.890325000000004</v>
      </c>
      <c r="AS958">
        <v>1</v>
      </c>
      <c r="AT958" t="s">
        <v>118</v>
      </c>
      <c r="AU958" t="b">
        <v>1</v>
      </c>
      <c r="AV958">
        <v>0</v>
      </c>
      <c r="AW958">
        <v>16.125</v>
      </c>
      <c r="AX958">
        <v>1</v>
      </c>
      <c r="AZ958">
        <v>7205</v>
      </c>
      <c r="BA958">
        <v>1</v>
      </c>
      <c r="BB958" t="str">
        <f t="shared" si="44"/>
        <v xml:space="preserve">KAP400  </v>
      </c>
      <c r="BC958">
        <v>1</v>
      </c>
      <c r="BE958">
        <v>0</v>
      </c>
      <c r="BF958">
        <v>0</v>
      </c>
      <c r="BG958">
        <v>0</v>
      </c>
      <c r="BI958">
        <v>1</v>
      </c>
      <c r="BJ958">
        <v>1</v>
      </c>
      <c r="BK958">
        <v>1</v>
      </c>
      <c r="BL958">
        <v>0</v>
      </c>
      <c r="BO958">
        <v>0</v>
      </c>
      <c r="BP958">
        <v>0</v>
      </c>
      <c r="BW958" t="str">
        <f>"19:20:11.283"</f>
        <v>19:20:11.283</v>
      </c>
      <c r="BX958" t="s">
        <v>119</v>
      </c>
      <c r="BY958" t="s">
        <v>120</v>
      </c>
      <c r="CJ958">
        <v>0</v>
      </c>
      <c r="CK958">
        <v>0</v>
      </c>
      <c r="CL958">
        <v>0</v>
      </c>
      <c r="CM958">
        <v>2</v>
      </c>
      <c r="CN958">
        <v>0</v>
      </c>
      <c r="CO958">
        <v>7</v>
      </c>
      <c r="CP958" t="s">
        <v>121</v>
      </c>
      <c r="CQ958">
        <v>582</v>
      </c>
      <c r="CR958">
        <v>0</v>
      </c>
      <c r="CW958">
        <v>6797797</v>
      </c>
      <c r="CY958">
        <v>0</v>
      </c>
      <c r="CZ958">
        <v>0</v>
      </c>
      <c r="DA958">
        <v>0</v>
      </c>
      <c r="DB958">
        <v>1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</row>
    <row r="959" spans="1:113" x14ac:dyDescent="0.3">
      <c r="A959" t="str">
        <f>"06/16/2022 19:20:12.613"</f>
        <v>06/16/2022 19:20:12.613</v>
      </c>
      <c r="C959" t="str">
        <f t="shared" si="45"/>
        <v>FFBF5BC0</v>
      </c>
      <c r="D959" t="s">
        <v>113</v>
      </c>
      <c r="E959">
        <v>8</v>
      </c>
      <c r="H959">
        <v>206</v>
      </c>
      <c r="I959" t="s">
        <v>114</v>
      </c>
      <c r="J959" t="s">
        <v>115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>"19:20:12.305"</f>
        <v>19:20:12.305</v>
      </c>
      <c r="T959" t="str">
        <f>"19:20:12.305"</f>
        <v>19:20:12.305</v>
      </c>
      <c r="U959" t="str">
        <f t="shared" si="43"/>
        <v>AB63B2</v>
      </c>
      <c r="V959">
        <v>0</v>
      </c>
      <c r="W959">
        <v>0</v>
      </c>
      <c r="X959">
        <v>6</v>
      </c>
      <c r="Z959">
        <v>0</v>
      </c>
      <c r="AA959">
        <v>9</v>
      </c>
      <c r="AB959">
        <v>3</v>
      </c>
      <c r="AC959">
        <v>0</v>
      </c>
      <c r="AD959">
        <v>10</v>
      </c>
      <c r="AE959">
        <v>0</v>
      </c>
      <c r="AF959">
        <v>0</v>
      </c>
      <c r="AG959">
        <v>2</v>
      </c>
      <c r="AH959">
        <v>0</v>
      </c>
      <c r="AI959" t="s">
        <v>901</v>
      </c>
      <c r="AJ959">
        <v>41.983995</v>
      </c>
      <c r="AK959" t="s">
        <v>879</v>
      </c>
      <c r="AL959">
        <v>-87.890345999999994</v>
      </c>
      <c r="AS959">
        <v>1</v>
      </c>
      <c r="AT959" t="s">
        <v>118</v>
      </c>
      <c r="AU959" t="b">
        <v>1</v>
      </c>
      <c r="AV959">
        <v>0</v>
      </c>
      <c r="AW959">
        <v>16.125</v>
      </c>
      <c r="AX959">
        <v>1</v>
      </c>
      <c r="AZ959">
        <v>7205</v>
      </c>
      <c r="BA959">
        <v>1</v>
      </c>
      <c r="BB959" t="str">
        <f t="shared" si="44"/>
        <v xml:space="preserve">KAP400  </v>
      </c>
      <c r="BC959">
        <v>1</v>
      </c>
      <c r="BE959">
        <v>0</v>
      </c>
      <c r="BF959">
        <v>0</v>
      </c>
      <c r="BG959">
        <v>0</v>
      </c>
      <c r="BI959">
        <v>1</v>
      </c>
      <c r="BJ959">
        <v>1</v>
      </c>
      <c r="BK959">
        <v>1</v>
      </c>
      <c r="BL959">
        <v>0</v>
      </c>
      <c r="BO959">
        <v>0</v>
      </c>
      <c r="BP959">
        <v>0</v>
      </c>
      <c r="BW959" t="str">
        <f>"19:20:12.308"</f>
        <v>19:20:12.308</v>
      </c>
      <c r="BX959" t="s">
        <v>119</v>
      </c>
      <c r="BY959" t="s">
        <v>120</v>
      </c>
      <c r="CJ959">
        <v>0</v>
      </c>
      <c r="CK959">
        <v>0</v>
      </c>
      <c r="CL959">
        <v>0</v>
      </c>
      <c r="CM959">
        <v>2</v>
      </c>
      <c r="CN959">
        <v>0</v>
      </c>
      <c r="CO959">
        <v>7</v>
      </c>
      <c r="CP959" t="s">
        <v>121</v>
      </c>
      <c r="CQ959">
        <v>581</v>
      </c>
      <c r="CR959">
        <v>0</v>
      </c>
      <c r="CW959">
        <v>15911488</v>
      </c>
      <c r="CY959">
        <v>0</v>
      </c>
      <c r="CZ959">
        <v>0</v>
      </c>
      <c r="DA959">
        <v>0</v>
      </c>
      <c r="DB959">
        <v>1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</row>
    <row r="960" spans="1:113" x14ac:dyDescent="0.3">
      <c r="A960" t="str">
        <f>"06/16/2022 19:20:13.332"</f>
        <v>06/16/2022 19:20:13.332</v>
      </c>
      <c r="C960" t="str">
        <f t="shared" si="45"/>
        <v>FFBF5BC0</v>
      </c>
      <c r="D960" t="s">
        <v>113</v>
      </c>
      <c r="E960">
        <v>8</v>
      </c>
      <c r="H960">
        <v>206</v>
      </c>
      <c r="I960" t="s">
        <v>114</v>
      </c>
      <c r="J960" t="s">
        <v>115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>"19:20:13.117"</f>
        <v>19:20:13.117</v>
      </c>
      <c r="T960" t="str">
        <f>"19:20:13.117"</f>
        <v>19:20:13.117</v>
      </c>
      <c r="U960" t="str">
        <f t="shared" si="43"/>
        <v>AB63B2</v>
      </c>
      <c r="V960">
        <v>0</v>
      </c>
      <c r="W960">
        <v>0</v>
      </c>
      <c r="X960">
        <v>6</v>
      </c>
      <c r="Z960">
        <v>0</v>
      </c>
      <c r="AA960">
        <v>9</v>
      </c>
      <c r="AB960">
        <v>3</v>
      </c>
      <c r="AC960">
        <v>0</v>
      </c>
      <c r="AD960">
        <v>10</v>
      </c>
      <c r="AE960">
        <v>0</v>
      </c>
      <c r="AF960">
        <v>0</v>
      </c>
      <c r="AG960">
        <v>2</v>
      </c>
      <c r="AH960">
        <v>0</v>
      </c>
      <c r="AI960" t="s">
        <v>902</v>
      </c>
      <c r="AJ960">
        <v>41.984037999999998</v>
      </c>
      <c r="AK960" t="s">
        <v>899</v>
      </c>
      <c r="AL960">
        <v>-87.890325000000004</v>
      </c>
      <c r="AS960">
        <v>1</v>
      </c>
      <c r="AT960" t="s">
        <v>118</v>
      </c>
      <c r="AU960" t="b">
        <v>1</v>
      </c>
      <c r="AV960">
        <v>0</v>
      </c>
      <c r="AW960">
        <v>17.125</v>
      </c>
      <c r="AX960">
        <v>1</v>
      </c>
      <c r="AZ960">
        <v>7205</v>
      </c>
      <c r="BA960">
        <v>1</v>
      </c>
      <c r="BB960" t="str">
        <f t="shared" si="44"/>
        <v xml:space="preserve">KAP400  </v>
      </c>
      <c r="BC960">
        <v>1</v>
      </c>
      <c r="BE960">
        <v>0</v>
      </c>
      <c r="BF960">
        <v>0</v>
      </c>
      <c r="BG960">
        <v>0</v>
      </c>
      <c r="BI960">
        <v>1</v>
      </c>
      <c r="BJ960">
        <v>1</v>
      </c>
      <c r="BK960">
        <v>1</v>
      </c>
      <c r="BL960">
        <v>0</v>
      </c>
      <c r="BO960">
        <v>0</v>
      </c>
      <c r="BP960">
        <v>0</v>
      </c>
      <c r="BW960" t="str">
        <f>"19:20:13.119"</f>
        <v>19:20:13.119</v>
      </c>
      <c r="BX960" t="s">
        <v>119</v>
      </c>
      <c r="BY960" t="s">
        <v>120</v>
      </c>
      <c r="CJ960">
        <v>0</v>
      </c>
      <c r="CK960">
        <v>0</v>
      </c>
      <c r="CL960">
        <v>0</v>
      </c>
      <c r="CM960">
        <v>2</v>
      </c>
      <c r="CN960">
        <v>0</v>
      </c>
      <c r="CO960">
        <v>7</v>
      </c>
      <c r="CP960" t="s">
        <v>121</v>
      </c>
      <c r="CQ960">
        <v>581</v>
      </c>
      <c r="CR960">
        <v>0</v>
      </c>
      <c r="CW960">
        <v>15912613</v>
      </c>
      <c r="CY960">
        <v>0</v>
      </c>
      <c r="CZ960">
        <v>0</v>
      </c>
      <c r="DA960">
        <v>0</v>
      </c>
      <c r="DB960">
        <v>1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</row>
    <row r="961" spans="1:113" x14ac:dyDescent="0.3">
      <c r="A961" t="str">
        <f>"06/16/2022 19:20:14.254"</f>
        <v>06/16/2022 19:20:14.254</v>
      </c>
      <c r="C961" t="str">
        <f t="shared" si="45"/>
        <v>FFBF5BC0</v>
      </c>
      <c r="D961" t="s">
        <v>113</v>
      </c>
      <c r="E961">
        <v>8</v>
      </c>
      <c r="H961">
        <v>206</v>
      </c>
      <c r="I961" t="s">
        <v>114</v>
      </c>
      <c r="J961" t="s">
        <v>115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>"19:20:14.078"</f>
        <v>19:20:14.078</v>
      </c>
      <c r="T961" t="str">
        <f>"19:20:14.078"</f>
        <v>19:20:14.078</v>
      </c>
      <c r="U961" t="str">
        <f t="shared" si="43"/>
        <v>AB63B2</v>
      </c>
      <c r="V961">
        <v>0</v>
      </c>
      <c r="W961">
        <v>0</v>
      </c>
      <c r="X961">
        <v>6</v>
      </c>
      <c r="Z961">
        <v>0</v>
      </c>
      <c r="AA961">
        <v>9</v>
      </c>
      <c r="AB961">
        <v>3</v>
      </c>
      <c r="AC961">
        <v>0</v>
      </c>
      <c r="AD961">
        <v>10</v>
      </c>
      <c r="AE961">
        <v>0</v>
      </c>
      <c r="AF961">
        <v>0</v>
      </c>
      <c r="AG961">
        <v>2</v>
      </c>
      <c r="AH961">
        <v>0</v>
      </c>
      <c r="AI961" t="s">
        <v>903</v>
      </c>
      <c r="AJ961">
        <v>41.984124000000001</v>
      </c>
      <c r="AK961" t="s">
        <v>899</v>
      </c>
      <c r="AL961">
        <v>-87.890325000000004</v>
      </c>
      <c r="AS961">
        <v>1</v>
      </c>
      <c r="AT961" t="s">
        <v>118</v>
      </c>
      <c r="AU961" t="b">
        <v>1</v>
      </c>
      <c r="AV961">
        <v>357.19</v>
      </c>
      <c r="AW961">
        <v>17.125</v>
      </c>
      <c r="AX961">
        <v>1</v>
      </c>
      <c r="AZ961">
        <v>7205</v>
      </c>
      <c r="BA961">
        <v>1</v>
      </c>
      <c r="BB961" t="str">
        <f t="shared" si="44"/>
        <v xml:space="preserve">KAP400  </v>
      </c>
      <c r="BC961">
        <v>1</v>
      </c>
      <c r="BE961">
        <v>0</v>
      </c>
      <c r="BF961">
        <v>0</v>
      </c>
      <c r="BG961">
        <v>0</v>
      </c>
      <c r="BI961">
        <v>1</v>
      </c>
      <c r="BJ961">
        <v>1</v>
      </c>
      <c r="BK961">
        <v>1</v>
      </c>
      <c r="BL961">
        <v>0</v>
      </c>
      <c r="BO961">
        <v>0</v>
      </c>
      <c r="BP961">
        <v>0</v>
      </c>
      <c r="BW961" t="str">
        <f>"19:20:14.083"</f>
        <v>19:20:14.083</v>
      </c>
      <c r="BX961" t="s">
        <v>119</v>
      </c>
      <c r="BY961" t="s">
        <v>120</v>
      </c>
      <c r="CJ961">
        <v>0</v>
      </c>
      <c r="CK961">
        <v>0</v>
      </c>
      <c r="CL961">
        <v>0</v>
      </c>
      <c r="CM961">
        <v>2</v>
      </c>
      <c r="CN961">
        <v>0</v>
      </c>
      <c r="CO961">
        <v>7</v>
      </c>
      <c r="CP961" t="s">
        <v>121</v>
      </c>
      <c r="CQ961">
        <v>581</v>
      </c>
      <c r="CR961">
        <v>0</v>
      </c>
      <c r="CW961">
        <v>15913970</v>
      </c>
      <c r="CY961">
        <v>0</v>
      </c>
      <c r="CZ961">
        <v>0</v>
      </c>
      <c r="DA961">
        <v>0</v>
      </c>
      <c r="DB961">
        <v>1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</row>
    <row r="962" spans="1:113" x14ac:dyDescent="0.3">
      <c r="A962" t="str">
        <f>"06/16/2022 19:20:15.457"</f>
        <v>06/16/2022 19:20:15.457</v>
      </c>
      <c r="C962" t="str">
        <f t="shared" si="45"/>
        <v>FFBF5BC0</v>
      </c>
      <c r="D962" t="s">
        <v>113</v>
      </c>
      <c r="E962">
        <v>8</v>
      </c>
      <c r="H962">
        <v>206</v>
      </c>
      <c r="I962" t="s">
        <v>114</v>
      </c>
      <c r="J962" t="s">
        <v>115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>"19:20:15.180"</f>
        <v>19:20:15.180</v>
      </c>
      <c r="T962" t="str">
        <f>"19:20:15.180"</f>
        <v>19:20:15.180</v>
      </c>
      <c r="U962" t="str">
        <f t="shared" ref="U962:U1025" si="46">"AB63B2"</f>
        <v>AB63B2</v>
      </c>
      <c r="V962">
        <v>0</v>
      </c>
      <c r="W962">
        <v>0</v>
      </c>
      <c r="X962">
        <v>6</v>
      </c>
      <c r="Z962">
        <v>0</v>
      </c>
      <c r="AA962">
        <v>9</v>
      </c>
      <c r="AB962">
        <v>3</v>
      </c>
      <c r="AC962">
        <v>0</v>
      </c>
      <c r="AD962">
        <v>10</v>
      </c>
      <c r="AE962">
        <v>0</v>
      </c>
      <c r="AF962">
        <v>0</v>
      </c>
      <c r="AG962">
        <v>2</v>
      </c>
      <c r="AH962">
        <v>0</v>
      </c>
      <c r="AI962" t="s">
        <v>236</v>
      </c>
      <c r="AJ962">
        <v>41.984209999999997</v>
      </c>
      <c r="AK962" t="s">
        <v>879</v>
      </c>
      <c r="AL962">
        <v>-87.890345999999994</v>
      </c>
      <c r="AS962">
        <v>1</v>
      </c>
      <c r="AT962" t="s">
        <v>118</v>
      </c>
      <c r="AU962" t="b">
        <v>1</v>
      </c>
      <c r="AV962">
        <v>357.19</v>
      </c>
      <c r="AW962">
        <v>18.125</v>
      </c>
      <c r="AX962">
        <v>1</v>
      </c>
      <c r="AZ962">
        <v>7205</v>
      </c>
      <c r="BA962">
        <v>1</v>
      </c>
      <c r="BB962" t="str">
        <f t="shared" ref="BB962:BB1025" si="47">"KAP400  "</f>
        <v xml:space="preserve">KAP400  </v>
      </c>
      <c r="BC962">
        <v>1</v>
      </c>
      <c r="BE962">
        <v>0</v>
      </c>
      <c r="BF962">
        <v>0</v>
      </c>
      <c r="BG962">
        <v>0</v>
      </c>
      <c r="BI962">
        <v>1</v>
      </c>
      <c r="BJ962">
        <v>1</v>
      </c>
      <c r="BK962">
        <v>1</v>
      </c>
      <c r="BL962">
        <v>0</v>
      </c>
      <c r="BO962">
        <v>0</v>
      </c>
      <c r="BP962">
        <v>0</v>
      </c>
      <c r="BW962" t="str">
        <f>"19:20:15.186"</f>
        <v>19:20:15.186</v>
      </c>
      <c r="BX962" t="s">
        <v>119</v>
      </c>
      <c r="BY962" t="s">
        <v>120</v>
      </c>
      <c r="CJ962">
        <v>0</v>
      </c>
      <c r="CK962">
        <v>0</v>
      </c>
      <c r="CL962">
        <v>0</v>
      </c>
      <c r="CM962">
        <v>2</v>
      </c>
      <c r="CN962">
        <v>0</v>
      </c>
      <c r="CO962">
        <v>7</v>
      </c>
      <c r="CP962" t="s">
        <v>121</v>
      </c>
      <c r="CQ962">
        <v>581</v>
      </c>
      <c r="CR962">
        <v>0</v>
      </c>
      <c r="CW962">
        <v>15915362</v>
      </c>
      <c r="CY962">
        <v>0</v>
      </c>
      <c r="CZ962">
        <v>0</v>
      </c>
      <c r="DA962">
        <v>0</v>
      </c>
      <c r="DB962">
        <v>1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</row>
    <row r="963" spans="1:113" x14ac:dyDescent="0.3">
      <c r="A963" t="str">
        <f>"06/16/2022 19:20:16.254"</f>
        <v>06/16/2022 19:20:16.254</v>
      </c>
      <c r="C963" t="str">
        <f t="shared" si="45"/>
        <v>FFBF5BC0</v>
      </c>
      <c r="D963" t="s">
        <v>113</v>
      </c>
      <c r="E963">
        <v>8</v>
      </c>
      <c r="H963">
        <v>206</v>
      </c>
      <c r="I963" t="s">
        <v>114</v>
      </c>
      <c r="J963" t="s">
        <v>115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>"19:20:16.063"</f>
        <v>19:20:16.063</v>
      </c>
      <c r="T963" t="str">
        <f>"19:20:16.063"</f>
        <v>19:20:16.063</v>
      </c>
      <c r="U963" t="str">
        <f t="shared" si="46"/>
        <v>AB63B2</v>
      </c>
      <c r="V963">
        <v>0</v>
      </c>
      <c r="W963">
        <v>0</v>
      </c>
      <c r="X963">
        <v>6</v>
      </c>
      <c r="Z963">
        <v>0</v>
      </c>
      <c r="AA963">
        <v>9</v>
      </c>
      <c r="AB963">
        <v>3</v>
      </c>
      <c r="AC963">
        <v>0</v>
      </c>
      <c r="AD963">
        <v>10</v>
      </c>
      <c r="AE963">
        <v>0</v>
      </c>
      <c r="AF963">
        <v>0</v>
      </c>
      <c r="AG963">
        <v>2</v>
      </c>
      <c r="AH963">
        <v>0</v>
      </c>
      <c r="AI963" t="s">
        <v>904</v>
      </c>
      <c r="AJ963">
        <v>41.984273999999999</v>
      </c>
      <c r="AK963" t="s">
        <v>879</v>
      </c>
      <c r="AL963">
        <v>-87.890345999999994</v>
      </c>
      <c r="AS963">
        <v>1</v>
      </c>
      <c r="AT963" t="s">
        <v>118</v>
      </c>
      <c r="AU963" t="b">
        <v>1</v>
      </c>
      <c r="AV963">
        <v>357.19</v>
      </c>
      <c r="AW963">
        <v>18.125</v>
      </c>
      <c r="AX963">
        <v>1</v>
      </c>
      <c r="AZ963">
        <v>7205</v>
      </c>
      <c r="BA963">
        <v>1</v>
      </c>
      <c r="BB963" t="str">
        <f t="shared" si="47"/>
        <v xml:space="preserve">KAP400  </v>
      </c>
      <c r="BC963">
        <v>1</v>
      </c>
      <c r="BE963">
        <v>0</v>
      </c>
      <c r="BF963">
        <v>0</v>
      </c>
      <c r="BG963">
        <v>0</v>
      </c>
      <c r="BI963">
        <v>1</v>
      </c>
      <c r="BJ963">
        <v>1</v>
      </c>
      <c r="BK963">
        <v>1</v>
      </c>
      <c r="BL963">
        <v>0</v>
      </c>
      <c r="BO963">
        <v>0</v>
      </c>
      <c r="BP963">
        <v>0</v>
      </c>
      <c r="BW963" t="str">
        <f>"19:20:16.067"</f>
        <v>19:20:16.067</v>
      </c>
      <c r="BX963" t="s">
        <v>119</v>
      </c>
      <c r="BY963" t="s">
        <v>120</v>
      </c>
      <c r="CJ963">
        <v>0</v>
      </c>
      <c r="CK963">
        <v>0</v>
      </c>
      <c r="CL963">
        <v>0</v>
      </c>
      <c r="CM963">
        <v>2</v>
      </c>
      <c r="CN963">
        <v>0</v>
      </c>
      <c r="CO963">
        <v>7</v>
      </c>
      <c r="CP963" t="s">
        <v>121</v>
      </c>
      <c r="CQ963">
        <v>582</v>
      </c>
      <c r="CR963">
        <v>0</v>
      </c>
      <c r="CW963">
        <v>6803591</v>
      </c>
      <c r="CY963">
        <v>0</v>
      </c>
      <c r="CZ963">
        <v>0</v>
      </c>
      <c r="DA963">
        <v>0</v>
      </c>
      <c r="DB963">
        <v>1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</row>
    <row r="964" spans="1:113" x14ac:dyDescent="0.3">
      <c r="A964" t="str">
        <f>"06/16/2022 19:20:17.207"</f>
        <v>06/16/2022 19:20:17.207</v>
      </c>
      <c r="C964" t="str">
        <f t="shared" si="45"/>
        <v>FFBF5BC0</v>
      </c>
      <c r="D964" t="s">
        <v>113</v>
      </c>
      <c r="E964">
        <v>8</v>
      </c>
      <c r="H964">
        <v>206</v>
      </c>
      <c r="I964" t="s">
        <v>114</v>
      </c>
      <c r="J964" t="s">
        <v>115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>"19:20:16.969"</f>
        <v>19:20:16.969</v>
      </c>
      <c r="T964" t="str">
        <f>"19:20:16.969"</f>
        <v>19:20:16.969</v>
      </c>
      <c r="U964" t="str">
        <f t="shared" si="46"/>
        <v>AB63B2</v>
      </c>
      <c r="V964">
        <v>0</v>
      </c>
      <c r="W964">
        <v>0</v>
      </c>
      <c r="X964">
        <v>6</v>
      </c>
      <c r="Z964">
        <v>0</v>
      </c>
      <c r="AA964">
        <v>9</v>
      </c>
      <c r="AB964">
        <v>3</v>
      </c>
      <c r="AC964">
        <v>0</v>
      </c>
      <c r="AD964">
        <v>10</v>
      </c>
      <c r="AE964">
        <v>0</v>
      </c>
      <c r="AF964">
        <v>0</v>
      </c>
      <c r="AG964">
        <v>2</v>
      </c>
      <c r="AH964">
        <v>0</v>
      </c>
      <c r="AI964" t="s">
        <v>234</v>
      </c>
      <c r="AJ964">
        <v>41.984360000000002</v>
      </c>
      <c r="AK964" t="s">
        <v>879</v>
      </c>
      <c r="AL964">
        <v>-87.890345999999994</v>
      </c>
      <c r="AS964">
        <v>1</v>
      </c>
      <c r="AT964" t="s">
        <v>118</v>
      </c>
      <c r="AU964" t="b">
        <v>1</v>
      </c>
      <c r="AV964">
        <v>357.19</v>
      </c>
      <c r="AW964">
        <v>18.125</v>
      </c>
      <c r="AX964">
        <v>1</v>
      </c>
      <c r="AZ964">
        <v>7205</v>
      </c>
      <c r="BA964">
        <v>1</v>
      </c>
      <c r="BB964" t="str">
        <f t="shared" si="47"/>
        <v xml:space="preserve">KAP400  </v>
      </c>
      <c r="BC964">
        <v>1</v>
      </c>
      <c r="BE964">
        <v>0</v>
      </c>
      <c r="BF964">
        <v>0</v>
      </c>
      <c r="BG964">
        <v>0</v>
      </c>
      <c r="BI964">
        <v>1</v>
      </c>
      <c r="BJ964">
        <v>1</v>
      </c>
      <c r="BK964">
        <v>1</v>
      </c>
      <c r="BL964">
        <v>0</v>
      </c>
      <c r="BO964">
        <v>0</v>
      </c>
      <c r="BP964">
        <v>0</v>
      </c>
      <c r="BW964" t="str">
        <f>"19:20:16.975"</f>
        <v>19:20:16.975</v>
      </c>
      <c r="BX964" t="s">
        <v>119</v>
      </c>
      <c r="BY964" t="s">
        <v>120</v>
      </c>
      <c r="CJ964">
        <v>0</v>
      </c>
      <c r="CK964">
        <v>0</v>
      </c>
      <c r="CL964">
        <v>0</v>
      </c>
      <c r="CM964">
        <v>2</v>
      </c>
      <c r="CN964">
        <v>0</v>
      </c>
      <c r="CO964">
        <v>7</v>
      </c>
      <c r="CP964" t="s">
        <v>121</v>
      </c>
      <c r="CQ964">
        <v>581</v>
      </c>
      <c r="CR964">
        <v>0</v>
      </c>
      <c r="CW964">
        <v>15917717</v>
      </c>
      <c r="CY964">
        <v>0</v>
      </c>
      <c r="CZ964">
        <v>0</v>
      </c>
      <c r="DA964">
        <v>0</v>
      </c>
      <c r="DB964">
        <v>1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</row>
    <row r="965" spans="1:113" x14ac:dyDescent="0.3">
      <c r="A965" t="str">
        <f>"06/16/2022 19:20:18.129"</f>
        <v>06/16/2022 19:20:18.129</v>
      </c>
      <c r="C965" t="str">
        <f t="shared" si="45"/>
        <v>FFBF5BC0</v>
      </c>
      <c r="D965" t="s">
        <v>113</v>
      </c>
      <c r="E965">
        <v>8</v>
      </c>
      <c r="H965">
        <v>206</v>
      </c>
      <c r="I965" t="s">
        <v>114</v>
      </c>
      <c r="J965" t="s">
        <v>115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>"19:20:17.883"</f>
        <v>19:20:17.883</v>
      </c>
      <c r="T965" t="str">
        <f>"19:20:17.883"</f>
        <v>19:20:17.883</v>
      </c>
      <c r="U965" t="str">
        <f t="shared" si="46"/>
        <v>AB63B2</v>
      </c>
      <c r="V965">
        <v>0</v>
      </c>
      <c r="W965">
        <v>0</v>
      </c>
      <c r="X965">
        <v>6</v>
      </c>
      <c r="Z965">
        <v>0</v>
      </c>
      <c r="AA965">
        <v>9</v>
      </c>
      <c r="AB965">
        <v>3</v>
      </c>
      <c r="AC965">
        <v>0</v>
      </c>
      <c r="AD965">
        <v>10</v>
      </c>
      <c r="AE965">
        <v>0</v>
      </c>
      <c r="AF965">
        <v>0</v>
      </c>
      <c r="AG965">
        <v>2</v>
      </c>
      <c r="AH965">
        <v>0</v>
      </c>
      <c r="AI965" t="s">
        <v>905</v>
      </c>
      <c r="AJ965">
        <v>41.984445999999998</v>
      </c>
      <c r="AK965" t="s">
        <v>879</v>
      </c>
      <c r="AL965">
        <v>-87.890345999999994</v>
      </c>
      <c r="AS965">
        <v>1</v>
      </c>
      <c r="AT965" t="s">
        <v>118</v>
      </c>
      <c r="AU965" t="b">
        <v>1</v>
      </c>
      <c r="AV965">
        <v>0</v>
      </c>
      <c r="AW965">
        <v>18.125</v>
      </c>
      <c r="AX965">
        <v>1</v>
      </c>
      <c r="AZ965">
        <v>7205</v>
      </c>
      <c r="BA965">
        <v>1</v>
      </c>
      <c r="BB965" t="str">
        <f t="shared" si="47"/>
        <v xml:space="preserve">KAP400  </v>
      </c>
      <c r="BC965">
        <v>1</v>
      </c>
      <c r="BE965">
        <v>0</v>
      </c>
      <c r="BF965">
        <v>0</v>
      </c>
      <c r="BG965">
        <v>0</v>
      </c>
      <c r="BI965">
        <v>1</v>
      </c>
      <c r="BJ965">
        <v>1</v>
      </c>
      <c r="BK965">
        <v>1</v>
      </c>
      <c r="BL965">
        <v>0</v>
      </c>
      <c r="BO965">
        <v>0</v>
      </c>
      <c r="BP965">
        <v>0</v>
      </c>
      <c r="BW965" t="str">
        <f>"19:20:17.886"</f>
        <v>19:20:17.886</v>
      </c>
      <c r="BX965" t="s">
        <v>119</v>
      </c>
      <c r="BY965" t="s">
        <v>120</v>
      </c>
      <c r="CJ965">
        <v>0</v>
      </c>
      <c r="CK965">
        <v>0</v>
      </c>
      <c r="CL965">
        <v>0</v>
      </c>
      <c r="CM965">
        <v>2</v>
      </c>
      <c r="CN965">
        <v>0</v>
      </c>
      <c r="CO965">
        <v>7</v>
      </c>
      <c r="CP965" t="s">
        <v>121</v>
      </c>
      <c r="CQ965">
        <v>581</v>
      </c>
      <c r="CR965">
        <v>0</v>
      </c>
      <c r="CW965">
        <v>15918991</v>
      </c>
      <c r="CY965">
        <v>0</v>
      </c>
      <c r="CZ965">
        <v>0</v>
      </c>
      <c r="DA965">
        <v>0</v>
      </c>
      <c r="DB965">
        <v>1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</row>
    <row r="966" spans="1:113" x14ac:dyDescent="0.3">
      <c r="A966" t="str">
        <f>"06/16/2022 19:20:19.191"</f>
        <v>06/16/2022 19:20:19.191</v>
      </c>
      <c r="C966" t="str">
        <f t="shared" si="45"/>
        <v>FFBF5BC0</v>
      </c>
      <c r="D966" t="s">
        <v>113</v>
      </c>
      <c r="E966">
        <v>8</v>
      </c>
      <c r="H966">
        <v>206</v>
      </c>
      <c r="I966" t="s">
        <v>114</v>
      </c>
      <c r="J966" t="s">
        <v>115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>"19:20:18.961"</f>
        <v>19:20:18.961</v>
      </c>
      <c r="T966" t="str">
        <f>"19:20:18.961"</f>
        <v>19:20:18.961</v>
      </c>
      <c r="U966" t="str">
        <f t="shared" si="46"/>
        <v>AB63B2</v>
      </c>
      <c r="V966">
        <v>0</v>
      </c>
      <c r="W966">
        <v>0</v>
      </c>
      <c r="X966">
        <v>6</v>
      </c>
      <c r="Z966">
        <v>0</v>
      </c>
      <c r="AA966">
        <v>9</v>
      </c>
      <c r="AB966">
        <v>3</v>
      </c>
      <c r="AC966">
        <v>0</v>
      </c>
      <c r="AD966">
        <v>10</v>
      </c>
      <c r="AE966">
        <v>0</v>
      </c>
      <c r="AF966">
        <v>0</v>
      </c>
      <c r="AG966">
        <v>2</v>
      </c>
      <c r="AH966">
        <v>0</v>
      </c>
      <c r="AI966" t="s">
        <v>906</v>
      </c>
      <c r="AJ966">
        <v>41.98451</v>
      </c>
      <c r="AK966" t="s">
        <v>879</v>
      </c>
      <c r="AL966">
        <v>-87.890345999999994</v>
      </c>
      <c r="AS966">
        <v>1</v>
      </c>
      <c r="AT966" t="s">
        <v>118</v>
      </c>
      <c r="AU966" t="b">
        <v>1</v>
      </c>
      <c r="AV966">
        <v>0</v>
      </c>
      <c r="AW966">
        <v>18.125</v>
      </c>
      <c r="AX966">
        <v>1</v>
      </c>
      <c r="AZ966">
        <v>7205</v>
      </c>
      <c r="BA966">
        <v>1</v>
      </c>
      <c r="BB966" t="str">
        <f t="shared" si="47"/>
        <v xml:space="preserve">KAP400  </v>
      </c>
      <c r="BC966">
        <v>1</v>
      </c>
      <c r="BE966">
        <v>0</v>
      </c>
      <c r="BF966">
        <v>0</v>
      </c>
      <c r="BG966">
        <v>0</v>
      </c>
      <c r="BI966">
        <v>1</v>
      </c>
      <c r="BJ966">
        <v>1</v>
      </c>
      <c r="BK966">
        <v>1</v>
      </c>
      <c r="BL966">
        <v>0</v>
      </c>
      <c r="BO966">
        <v>0</v>
      </c>
      <c r="BP966">
        <v>0</v>
      </c>
      <c r="BW966" t="str">
        <f>"19:20:18.967"</f>
        <v>19:20:18.967</v>
      </c>
      <c r="BX966" t="s">
        <v>119</v>
      </c>
      <c r="BY966" t="s">
        <v>120</v>
      </c>
      <c r="CJ966">
        <v>0</v>
      </c>
      <c r="CK966">
        <v>0</v>
      </c>
      <c r="CL966">
        <v>0</v>
      </c>
      <c r="CM966">
        <v>2</v>
      </c>
      <c r="CN966">
        <v>0</v>
      </c>
      <c r="CO966">
        <v>7</v>
      </c>
      <c r="CP966" t="s">
        <v>121</v>
      </c>
      <c r="CQ966">
        <v>581</v>
      </c>
      <c r="CR966">
        <v>0</v>
      </c>
      <c r="CW966">
        <v>15920500</v>
      </c>
      <c r="CY966">
        <v>0</v>
      </c>
      <c r="CZ966">
        <v>0</v>
      </c>
      <c r="DA966">
        <v>0</v>
      </c>
      <c r="DB966">
        <v>1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</row>
    <row r="967" spans="1:113" x14ac:dyDescent="0.3">
      <c r="A967" t="str">
        <f>"06/16/2022 19:20:20.254"</f>
        <v>06/16/2022 19:20:20.254</v>
      </c>
      <c r="C967" t="str">
        <f t="shared" si="45"/>
        <v>FFBF5BC0</v>
      </c>
      <c r="D967" t="s">
        <v>113</v>
      </c>
      <c r="E967">
        <v>8</v>
      </c>
      <c r="H967">
        <v>206</v>
      </c>
      <c r="I967" t="s">
        <v>114</v>
      </c>
      <c r="J967" t="s">
        <v>115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>"19:20:19.984"</f>
        <v>19:20:19.984</v>
      </c>
      <c r="T967" t="str">
        <f>"19:20:19.984"</f>
        <v>19:20:19.984</v>
      </c>
      <c r="U967" t="str">
        <f t="shared" si="46"/>
        <v>AB63B2</v>
      </c>
      <c r="V967">
        <v>0</v>
      </c>
      <c r="W967">
        <v>0</v>
      </c>
      <c r="X967">
        <v>6</v>
      </c>
      <c r="Z967">
        <v>0</v>
      </c>
      <c r="AA967">
        <v>9</v>
      </c>
      <c r="AB967">
        <v>3</v>
      </c>
      <c r="AC967">
        <v>0</v>
      </c>
      <c r="AD967">
        <v>10</v>
      </c>
      <c r="AE967">
        <v>0</v>
      </c>
      <c r="AF967">
        <v>0</v>
      </c>
      <c r="AG967">
        <v>2</v>
      </c>
      <c r="AH967">
        <v>0</v>
      </c>
      <c r="AI967" t="s">
        <v>907</v>
      </c>
      <c r="AJ967">
        <v>41.984617999999998</v>
      </c>
      <c r="AK967" t="s">
        <v>879</v>
      </c>
      <c r="AL967">
        <v>-87.890345999999994</v>
      </c>
      <c r="AS967">
        <v>1</v>
      </c>
      <c r="AT967" t="s">
        <v>118</v>
      </c>
      <c r="AU967" t="b">
        <v>1</v>
      </c>
      <c r="AV967">
        <v>0</v>
      </c>
      <c r="AW967">
        <v>18.125</v>
      </c>
      <c r="AX967">
        <v>1</v>
      </c>
      <c r="AZ967">
        <v>7205</v>
      </c>
      <c r="BA967">
        <v>1</v>
      </c>
      <c r="BB967" t="str">
        <f t="shared" si="47"/>
        <v xml:space="preserve">KAP400  </v>
      </c>
      <c r="BC967">
        <v>1</v>
      </c>
      <c r="BE967">
        <v>0</v>
      </c>
      <c r="BF967">
        <v>0</v>
      </c>
      <c r="BG967">
        <v>0</v>
      </c>
      <c r="BI967">
        <v>1</v>
      </c>
      <c r="BJ967">
        <v>1</v>
      </c>
      <c r="BK967">
        <v>1</v>
      </c>
      <c r="BL967">
        <v>0</v>
      </c>
      <c r="BO967">
        <v>0</v>
      </c>
      <c r="BP967">
        <v>0</v>
      </c>
      <c r="BW967" t="str">
        <f>"19:20:19.988"</f>
        <v>19:20:19.988</v>
      </c>
      <c r="BX967" t="s">
        <v>119</v>
      </c>
      <c r="BY967" t="s">
        <v>120</v>
      </c>
      <c r="CJ967">
        <v>0</v>
      </c>
      <c r="CK967">
        <v>0</v>
      </c>
      <c r="CL967">
        <v>0</v>
      </c>
      <c r="CM967">
        <v>2</v>
      </c>
      <c r="CN967">
        <v>0</v>
      </c>
      <c r="CO967">
        <v>7</v>
      </c>
      <c r="CP967" t="s">
        <v>121</v>
      </c>
      <c r="CQ967">
        <v>582</v>
      </c>
      <c r="CR967">
        <v>0</v>
      </c>
      <c r="CW967">
        <v>6808457</v>
      </c>
      <c r="CY967">
        <v>0</v>
      </c>
      <c r="CZ967">
        <v>0</v>
      </c>
      <c r="DA967">
        <v>0</v>
      </c>
      <c r="DB967">
        <v>1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</row>
    <row r="968" spans="1:113" x14ac:dyDescent="0.3">
      <c r="A968" t="str">
        <f>"06/16/2022 19:20:21.207"</f>
        <v>06/16/2022 19:20:21.207</v>
      </c>
      <c r="C968" t="str">
        <f t="shared" si="45"/>
        <v>FFBF5BC0</v>
      </c>
      <c r="D968" t="s">
        <v>113</v>
      </c>
      <c r="E968">
        <v>8</v>
      </c>
      <c r="H968">
        <v>206</v>
      </c>
      <c r="I968" t="s">
        <v>114</v>
      </c>
      <c r="J968" t="s">
        <v>115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>"19:20:20.992"</f>
        <v>19:20:20.992</v>
      </c>
      <c r="T968" t="str">
        <f>"19:20:20.992"</f>
        <v>19:20:20.992</v>
      </c>
      <c r="U968" t="str">
        <f t="shared" si="46"/>
        <v>AB63B2</v>
      </c>
      <c r="V968">
        <v>0</v>
      </c>
      <c r="W968">
        <v>0</v>
      </c>
      <c r="X968">
        <v>6</v>
      </c>
      <c r="Z968">
        <v>0</v>
      </c>
      <c r="AA968">
        <v>9</v>
      </c>
      <c r="AB968">
        <v>3</v>
      </c>
      <c r="AC968">
        <v>0</v>
      </c>
      <c r="AD968">
        <v>10</v>
      </c>
      <c r="AE968">
        <v>0</v>
      </c>
      <c r="AF968">
        <v>0</v>
      </c>
      <c r="AG968">
        <v>2</v>
      </c>
      <c r="AH968">
        <v>0</v>
      </c>
      <c r="AI968" t="s">
        <v>908</v>
      </c>
      <c r="AJ968">
        <v>41.984681999999999</v>
      </c>
      <c r="AK968" t="s">
        <v>879</v>
      </c>
      <c r="AL968">
        <v>-87.890345999999994</v>
      </c>
      <c r="AS968">
        <v>1</v>
      </c>
      <c r="AT968" t="s">
        <v>118</v>
      </c>
      <c r="AU968" t="b">
        <v>1</v>
      </c>
      <c r="AV968">
        <v>0</v>
      </c>
      <c r="AW968">
        <v>18.125</v>
      </c>
      <c r="AX968">
        <v>1</v>
      </c>
      <c r="AZ968">
        <v>7205</v>
      </c>
      <c r="BA968">
        <v>1</v>
      </c>
      <c r="BB968" t="str">
        <f t="shared" si="47"/>
        <v xml:space="preserve">KAP400  </v>
      </c>
      <c r="BC968">
        <v>1</v>
      </c>
      <c r="BE968">
        <v>0</v>
      </c>
      <c r="BF968">
        <v>0</v>
      </c>
      <c r="BG968">
        <v>0</v>
      </c>
      <c r="BI968">
        <v>1</v>
      </c>
      <c r="BJ968">
        <v>1</v>
      </c>
      <c r="BK968">
        <v>1</v>
      </c>
      <c r="BL968">
        <v>0</v>
      </c>
      <c r="BO968">
        <v>0</v>
      </c>
      <c r="BP968">
        <v>0</v>
      </c>
      <c r="BW968" t="str">
        <f>"19:20:20.994"</f>
        <v>19:20:20.994</v>
      </c>
      <c r="BX968" t="s">
        <v>119</v>
      </c>
      <c r="BY968" t="s">
        <v>120</v>
      </c>
      <c r="CJ968">
        <v>0</v>
      </c>
      <c r="CK968">
        <v>0</v>
      </c>
      <c r="CL968">
        <v>0</v>
      </c>
      <c r="CM968">
        <v>2</v>
      </c>
      <c r="CN968">
        <v>0</v>
      </c>
      <c r="CO968">
        <v>7</v>
      </c>
      <c r="CP968" t="s">
        <v>121</v>
      </c>
      <c r="CQ968">
        <v>581</v>
      </c>
      <c r="CR968">
        <v>0</v>
      </c>
      <c r="CW968">
        <v>15923115</v>
      </c>
      <c r="CY968">
        <v>0</v>
      </c>
      <c r="CZ968">
        <v>0</v>
      </c>
      <c r="DA968">
        <v>0</v>
      </c>
      <c r="DB968">
        <v>1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</row>
    <row r="969" spans="1:113" x14ac:dyDescent="0.3">
      <c r="A969" t="str">
        <f>"06/16/2022 19:20:22.254"</f>
        <v>06/16/2022 19:20:22.254</v>
      </c>
      <c r="C969" t="str">
        <f t="shared" si="45"/>
        <v>FFBF5BC0</v>
      </c>
      <c r="D969" t="s">
        <v>113</v>
      </c>
      <c r="E969">
        <v>8</v>
      </c>
      <c r="H969">
        <v>206</v>
      </c>
      <c r="I969" t="s">
        <v>114</v>
      </c>
      <c r="J969" t="s">
        <v>115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>"19:20:22.031"</f>
        <v>19:20:22.031</v>
      </c>
      <c r="T969" t="str">
        <f>"19:20:22.031"</f>
        <v>19:20:22.031</v>
      </c>
      <c r="U969" t="str">
        <f t="shared" si="46"/>
        <v>AB63B2</v>
      </c>
      <c r="V969">
        <v>0</v>
      </c>
      <c r="W969">
        <v>0</v>
      </c>
      <c r="X969">
        <v>6</v>
      </c>
      <c r="Z969">
        <v>0</v>
      </c>
      <c r="AA969">
        <v>9</v>
      </c>
      <c r="AB969">
        <v>3</v>
      </c>
      <c r="AC969">
        <v>0</v>
      </c>
      <c r="AD969">
        <v>10</v>
      </c>
      <c r="AE969">
        <v>0</v>
      </c>
      <c r="AF969">
        <v>0</v>
      </c>
      <c r="AG969">
        <v>2</v>
      </c>
      <c r="AH969">
        <v>0</v>
      </c>
      <c r="AI969" t="s">
        <v>909</v>
      </c>
      <c r="AJ969">
        <v>41.984768000000003</v>
      </c>
      <c r="AK969" t="s">
        <v>879</v>
      </c>
      <c r="AL969">
        <v>-87.890345999999994</v>
      </c>
      <c r="AS969">
        <v>1</v>
      </c>
      <c r="AT969" t="s">
        <v>118</v>
      </c>
      <c r="AU969" t="b">
        <v>1</v>
      </c>
      <c r="AV969">
        <v>0</v>
      </c>
      <c r="AW969">
        <v>17.125</v>
      </c>
      <c r="AX969">
        <v>1</v>
      </c>
      <c r="AZ969">
        <v>7205</v>
      </c>
      <c r="BA969">
        <v>1</v>
      </c>
      <c r="BB969" t="str">
        <f t="shared" si="47"/>
        <v xml:space="preserve">KAP400  </v>
      </c>
      <c r="BC969">
        <v>1</v>
      </c>
      <c r="BE969">
        <v>0</v>
      </c>
      <c r="BF969">
        <v>0</v>
      </c>
      <c r="BG969">
        <v>0</v>
      </c>
      <c r="BI969">
        <v>1</v>
      </c>
      <c r="BJ969">
        <v>1</v>
      </c>
      <c r="BK969">
        <v>1</v>
      </c>
      <c r="BL969">
        <v>0</v>
      </c>
      <c r="BO969">
        <v>0</v>
      </c>
      <c r="BP969">
        <v>0</v>
      </c>
      <c r="BW969" t="str">
        <f>"19:20:22.032"</f>
        <v>19:20:22.032</v>
      </c>
      <c r="BX969" t="s">
        <v>119</v>
      </c>
      <c r="BY969" t="s">
        <v>120</v>
      </c>
      <c r="CJ969">
        <v>0</v>
      </c>
      <c r="CK969">
        <v>0</v>
      </c>
      <c r="CL969">
        <v>0</v>
      </c>
      <c r="CM969">
        <v>2</v>
      </c>
      <c r="CN969">
        <v>0</v>
      </c>
      <c r="CO969">
        <v>7</v>
      </c>
      <c r="CP969" t="s">
        <v>121</v>
      </c>
      <c r="CQ969">
        <v>582</v>
      </c>
      <c r="CR969">
        <v>0</v>
      </c>
      <c r="CW969">
        <v>6811016</v>
      </c>
      <c r="CY969">
        <v>0</v>
      </c>
      <c r="CZ969">
        <v>0</v>
      </c>
      <c r="DA969">
        <v>0</v>
      </c>
      <c r="DB969">
        <v>1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</row>
    <row r="970" spans="1:113" x14ac:dyDescent="0.3">
      <c r="A970" t="str">
        <f>"06/16/2022 19:20:23.270"</f>
        <v>06/16/2022 19:20:23.270</v>
      </c>
      <c r="C970" t="str">
        <f t="shared" si="45"/>
        <v>FFBF5BC0</v>
      </c>
      <c r="D970" t="s">
        <v>113</v>
      </c>
      <c r="E970">
        <v>8</v>
      </c>
      <c r="H970">
        <v>206</v>
      </c>
      <c r="I970" t="s">
        <v>114</v>
      </c>
      <c r="J970" t="s">
        <v>115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>"19:20:23.023"</f>
        <v>19:20:23.023</v>
      </c>
      <c r="T970" t="str">
        <f>"19:20:23.023"</f>
        <v>19:20:23.023</v>
      </c>
      <c r="U970" t="str">
        <f t="shared" si="46"/>
        <v>AB63B2</v>
      </c>
      <c r="V970">
        <v>0</v>
      </c>
      <c r="W970">
        <v>0</v>
      </c>
      <c r="X970">
        <v>6</v>
      </c>
      <c r="Z970">
        <v>0</v>
      </c>
      <c r="AA970">
        <v>9</v>
      </c>
      <c r="AB970">
        <v>3</v>
      </c>
      <c r="AC970">
        <v>0</v>
      </c>
      <c r="AD970">
        <v>10</v>
      </c>
      <c r="AE970">
        <v>0</v>
      </c>
      <c r="AF970">
        <v>0</v>
      </c>
      <c r="AG970">
        <v>2</v>
      </c>
      <c r="AH970">
        <v>0</v>
      </c>
      <c r="AI970" t="s">
        <v>910</v>
      </c>
      <c r="AJ970">
        <v>41.984853999999999</v>
      </c>
      <c r="AK970" t="s">
        <v>911</v>
      </c>
      <c r="AL970">
        <v>-87.890367999999995</v>
      </c>
      <c r="AS970">
        <v>1</v>
      </c>
      <c r="AT970" t="s">
        <v>118</v>
      </c>
      <c r="AU970" t="b">
        <v>1</v>
      </c>
      <c r="AV970">
        <v>0</v>
      </c>
      <c r="AW970">
        <v>17.125</v>
      </c>
      <c r="AX970">
        <v>1</v>
      </c>
      <c r="AZ970">
        <v>7205</v>
      </c>
      <c r="BA970">
        <v>1</v>
      </c>
      <c r="BB970" t="str">
        <f t="shared" si="47"/>
        <v xml:space="preserve">KAP400  </v>
      </c>
      <c r="BC970">
        <v>1</v>
      </c>
      <c r="BE970">
        <v>0</v>
      </c>
      <c r="BF970">
        <v>0</v>
      </c>
      <c r="BG970">
        <v>0</v>
      </c>
      <c r="BI970">
        <v>1</v>
      </c>
      <c r="BJ970">
        <v>1</v>
      </c>
      <c r="BK970">
        <v>1</v>
      </c>
      <c r="BL970">
        <v>0</v>
      </c>
      <c r="BO970">
        <v>0</v>
      </c>
      <c r="BP970">
        <v>0</v>
      </c>
      <c r="BW970" t="str">
        <f>"19:20:23.027"</f>
        <v>19:20:23.027</v>
      </c>
      <c r="BX970" t="s">
        <v>119</v>
      </c>
      <c r="BY970" t="s">
        <v>120</v>
      </c>
      <c r="CJ970">
        <v>0</v>
      </c>
      <c r="CK970">
        <v>0</v>
      </c>
      <c r="CL970">
        <v>0</v>
      </c>
      <c r="CM970">
        <v>2</v>
      </c>
      <c r="CN970">
        <v>0</v>
      </c>
      <c r="CO970">
        <v>7</v>
      </c>
      <c r="CP970" t="s">
        <v>121</v>
      </c>
      <c r="CQ970">
        <v>582</v>
      </c>
      <c r="CR970">
        <v>0</v>
      </c>
      <c r="CW970">
        <v>6812277</v>
      </c>
      <c r="CY970">
        <v>0</v>
      </c>
      <c r="CZ970">
        <v>0</v>
      </c>
      <c r="DA970">
        <v>0</v>
      </c>
      <c r="DB970">
        <v>1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</row>
    <row r="971" spans="1:113" x14ac:dyDescent="0.3">
      <c r="A971" t="str">
        <f>"06/16/2022 19:20:24.223"</f>
        <v>06/16/2022 19:20:24.223</v>
      </c>
      <c r="C971" t="str">
        <f t="shared" si="45"/>
        <v>FFBF5BC0</v>
      </c>
      <c r="D971" t="s">
        <v>113</v>
      </c>
      <c r="E971">
        <v>8</v>
      </c>
      <c r="H971">
        <v>206</v>
      </c>
      <c r="I971" t="s">
        <v>114</v>
      </c>
      <c r="J971" t="s">
        <v>115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>"19:20:23.938"</f>
        <v>19:20:23.938</v>
      </c>
      <c r="T971" t="str">
        <f>"19:20:23.938"</f>
        <v>19:20:23.938</v>
      </c>
      <c r="U971" t="str">
        <f t="shared" si="46"/>
        <v>AB63B2</v>
      </c>
      <c r="V971">
        <v>0</v>
      </c>
      <c r="W971">
        <v>0</v>
      </c>
      <c r="X971">
        <v>6</v>
      </c>
      <c r="Z971">
        <v>0</v>
      </c>
      <c r="AA971">
        <v>9</v>
      </c>
      <c r="AB971">
        <v>3</v>
      </c>
      <c r="AC971">
        <v>0</v>
      </c>
      <c r="AD971">
        <v>10</v>
      </c>
      <c r="AE971">
        <v>0</v>
      </c>
      <c r="AF971">
        <v>0</v>
      </c>
      <c r="AG971">
        <v>2</v>
      </c>
      <c r="AH971">
        <v>0</v>
      </c>
      <c r="AI971" t="s">
        <v>912</v>
      </c>
      <c r="AJ971">
        <v>41.984918</v>
      </c>
      <c r="AK971" t="s">
        <v>911</v>
      </c>
      <c r="AL971">
        <v>-87.890367999999995</v>
      </c>
      <c r="AS971">
        <v>1</v>
      </c>
      <c r="AT971" t="s">
        <v>118</v>
      </c>
      <c r="AU971" t="b">
        <v>1</v>
      </c>
      <c r="AV971">
        <v>0</v>
      </c>
      <c r="AW971">
        <v>17.125</v>
      </c>
      <c r="AX971">
        <v>1</v>
      </c>
      <c r="AZ971">
        <v>7205</v>
      </c>
      <c r="BA971">
        <v>1</v>
      </c>
      <c r="BB971" t="str">
        <f t="shared" si="47"/>
        <v xml:space="preserve">KAP400  </v>
      </c>
      <c r="BC971">
        <v>1</v>
      </c>
      <c r="BE971">
        <v>0</v>
      </c>
      <c r="BF971">
        <v>0</v>
      </c>
      <c r="BG971">
        <v>0</v>
      </c>
      <c r="BI971">
        <v>1</v>
      </c>
      <c r="BJ971">
        <v>1</v>
      </c>
      <c r="BK971">
        <v>1</v>
      </c>
      <c r="BL971">
        <v>0</v>
      </c>
      <c r="BO971">
        <v>0</v>
      </c>
      <c r="BP971">
        <v>0</v>
      </c>
      <c r="BW971" t="str">
        <f>"19:20:23.945"</f>
        <v>19:20:23.945</v>
      </c>
      <c r="BX971" t="s">
        <v>119</v>
      </c>
      <c r="BY971" t="s">
        <v>120</v>
      </c>
      <c r="CJ971">
        <v>0</v>
      </c>
      <c r="CK971">
        <v>0</v>
      </c>
      <c r="CL971">
        <v>0</v>
      </c>
      <c r="CM971">
        <v>2</v>
      </c>
      <c r="CN971">
        <v>0</v>
      </c>
      <c r="CO971">
        <v>7</v>
      </c>
      <c r="CP971" t="s">
        <v>121</v>
      </c>
      <c r="CQ971">
        <v>582</v>
      </c>
      <c r="CR971">
        <v>0</v>
      </c>
      <c r="CW971">
        <v>6813428</v>
      </c>
      <c r="CY971">
        <v>0</v>
      </c>
      <c r="CZ971">
        <v>0</v>
      </c>
      <c r="DA971">
        <v>0</v>
      </c>
      <c r="DB971">
        <v>1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</row>
    <row r="972" spans="1:113" x14ac:dyDescent="0.3">
      <c r="A972" t="str">
        <f>"06/16/2022 19:20:25.317"</f>
        <v>06/16/2022 19:20:25.317</v>
      </c>
      <c r="C972" t="str">
        <f t="shared" si="45"/>
        <v>FFBF5BC0</v>
      </c>
      <c r="D972" t="s">
        <v>113</v>
      </c>
      <c r="E972">
        <v>8</v>
      </c>
      <c r="H972">
        <v>206</v>
      </c>
      <c r="I972" t="s">
        <v>114</v>
      </c>
      <c r="J972" t="s">
        <v>115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>"19:20:25.086"</f>
        <v>19:20:25.086</v>
      </c>
      <c r="T972" t="str">
        <f>"19:20:25.086"</f>
        <v>19:20:25.086</v>
      </c>
      <c r="U972" t="str">
        <f t="shared" si="46"/>
        <v>AB63B2</v>
      </c>
      <c r="V972">
        <v>0</v>
      </c>
      <c r="W972">
        <v>0</v>
      </c>
      <c r="X972">
        <v>6</v>
      </c>
      <c r="Z972">
        <v>0</v>
      </c>
      <c r="AA972">
        <v>9</v>
      </c>
      <c r="AB972">
        <v>3</v>
      </c>
      <c r="AC972">
        <v>0</v>
      </c>
      <c r="AD972">
        <v>10</v>
      </c>
      <c r="AE972">
        <v>0</v>
      </c>
      <c r="AF972">
        <v>0</v>
      </c>
      <c r="AG972">
        <v>2</v>
      </c>
      <c r="AH972">
        <v>0</v>
      </c>
      <c r="AI972" t="s">
        <v>913</v>
      </c>
      <c r="AJ972">
        <v>41.985004000000004</v>
      </c>
      <c r="AK972" t="s">
        <v>911</v>
      </c>
      <c r="AL972">
        <v>-87.890367999999995</v>
      </c>
      <c r="AS972">
        <v>1</v>
      </c>
      <c r="AT972" t="s">
        <v>118</v>
      </c>
      <c r="AU972" t="b">
        <v>1</v>
      </c>
      <c r="AV972">
        <v>0</v>
      </c>
      <c r="AW972">
        <v>16.125</v>
      </c>
      <c r="AX972">
        <v>1</v>
      </c>
      <c r="AZ972">
        <v>7205</v>
      </c>
      <c r="BA972">
        <v>1</v>
      </c>
      <c r="BB972" t="str">
        <f t="shared" si="47"/>
        <v xml:space="preserve">KAP400  </v>
      </c>
      <c r="BC972">
        <v>1</v>
      </c>
      <c r="BE972">
        <v>0</v>
      </c>
      <c r="BF972">
        <v>0</v>
      </c>
      <c r="BG972">
        <v>0</v>
      </c>
      <c r="BI972">
        <v>1</v>
      </c>
      <c r="BJ972">
        <v>1</v>
      </c>
      <c r="BK972">
        <v>1</v>
      </c>
      <c r="BL972">
        <v>0</v>
      </c>
      <c r="BO972">
        <v>0</v>
      </c>
      <c r="BP972">
        <v>0</v>
      </c>
      <c r="BW972" t="str">
        <f>"19:20:25.088"</f>
        <v>19:20:25.088</v>
      </c>
      <c r="BX972" t="s">
        <v>119</v>
      </c>
      <c r="BY972" t="s">
        <v>120</v>
      </c>
      <c r="CJ972">
        <v>0</v>
      </c>
      <c r="CK972">
        <v>0</v>
      </c>
      <c r="CL972">
        <v>0</v>
      </c>
      <c r="CM972">
        <v>2</v>
      </c>
      <c r="CN972">
        <v>0</v>
      </c>
      <c r="CO972">
        <v>7</v>
      </c>
      <c r="CP972" t="s">
        <v>121</v>
      </c>
      <c r="CQ972">
        <v>581</v>
      </c>
      <c r="CR972">
        <v>0</v>
      </c>
      <c r="CW972">
        <v>15928692</v>
      </c>
      <c r="CY972">
        <v>0</v>
      </c>
      <c r="CZ972">
        <v>0</v>
      </c>
      <c r="DA972">
        <v>0</v>
      </c>
      <c r="DB972">
        <v>1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</row>
    <row r="973" spans="1:113" x14ac:dyDescent="0.3">
      <c r="A973" t="str">
        <f>"06/16/2022 19:20:26.395"</f>
        <v>06/16/2022 19:20:26.395</v>
      </c>
      <c r="C973" t="str">
        <f t="shared" si="45"/>
        <v>FFBF5BC0</v>
      </c>
      <c r="D973" t="s">
        <v>113</v>
      </c>
      <c r="E973">
        <v>8</v>
      </c>
      <c r="H973">
        <v>206</v>
      </c>
      <c r="I973" t="s">
        <v>114</v>
      </c>
      <c r="J973" t="s">
        <v>115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>"19:20:26.117"</f>
        <v>19:20:26.117</v>
      </c>
      <c r="T973" t="str">
        <f>"19:20:26.117"</f>
        <v>19:20:26.117</v>
      </c>
      <c r="U973" t="str">
        <f t="shared" si="46"/>
        <v>AB63B2</v>
      </c>
      <c r="V973">
        <v>0</v>
      </c>
      <c r="W973">
        <v>0</v>
      </c>
      <c r="X973">
        <v>6</v>
      </c>
      <c r="Z973">
        <v>0</v>
      </c>
      <c r="AA973">
        <v>9</v>
      </c>
      <c r="AB973">
        <v>3</v>
      </c>
      <c r="AC973">
        <v>0</v>
      </c>
      <c r="AD973">
        <v>10</v>
      </c>
      <c r="AE973">
        <v>0</v>
      </c>
      <c r="AF973">
        <v>0</v>
      </c>
      <c r="AG973">
        <v>2</v>
      </c>
      <c r="AH973">
        <v>0</v>
      </c>
      <c r="AI973" t="s">
        <v>914</v>
      </c>
      <c r="AJ973">
        <v>41.985067999999998</v>
      </c>
      <c r="AK973" t="s">
        <v>911</v>
      </c>
      <c r="AL973">
        <v>-87.890367999999995</v>
      </c>
      <c r="AS973">
        <v>1</v>
      </c>
      <c r="AT973" t="s">
        <v>118</v>
      </c>
      <c r="AU973" t="b">
        <v>1</v>
      </c>
      <c r="AV973">
        <v>0</v>
      </c>
      <c r="AW973">
        <v>14.625</v>
      </c>
      <c r="AX973">
        <v>1</v>
      </c>
      <c r="AZ973">
        <v>7205</v>
      </c>
      <c r="BA973">
        <v>1</v>
      </c>
      <c r="BB973" t="str">
        <f t="shared" si="47"/>
        <v xml:space="preserve">KAP400  </v>
      </c>
      <c r="BC973">
        <v>1</v>
      </c>
      <c r="BE973">
        <v>0</v>
      </c>
      <c r="BF973">
        <v>0</v>
      </c>
      <c r="BG973">
        <v>0</v>
      </c>
      <c r="BI973">
        <v>1</v>
      </c>
      <c r="BJ973">
        <v>1</v>
      </c>
      <c r="BK973">
        <v>1</v>
      </c>
      <c r="BL973">
        <v>0</v>
      </c>
      <c r="BO973">
        <v>0</v>
      </c>
      <c r="BP973">
        <v>0</v>
      </c>
      <c r="BW973" t="str">
        <f>"19:20:26.120"</f>
        <v>19:20:26.120</v>
      </c>
      <c r="BX973" t="s">
        <v>119</v>
      </c>
      <c r="BY973" t="s">
        <v>120</v>
      </c>
      <c r="CJ973">
        <v>0</v>
      </c>
      <c r="CK973">
        <v>0</v>
      </c>
      <c r="CL973">
        <v>0</v>
      </c>
      <c r="CM973">
        <v>2</v>
      </c>
      <c r="CN973">
        <v>0</v>
      </c>
      <c r="CO973">
        <v>7</v>
      </c>
      <c r="CP973" t="s">
        <v>121</v>
      </c>
      <c r="CQ973">
        <v>582</v>
      </c>
      <c r="CR973">
        <v>0</v>
      </c>
      <c r="CW973">
        <v>6815940</v>
      </c>
      <c r="CY973">
        <v>0</v>
      </c>
      <c r="CZ973">
        <v>0</v>
      </c>
      <c r="DA973">
        <v>0</v>
      </c>
      <c r="DB973">
        <v>1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</row>
    <row r="974" spans="1:113" x14ac:dyDescent="0.3">
      <c r="A974" t="str">
        <f>"06/16/2022 19:20:27.332"</f>
        <v>06/16/2022 19:20:27.332</v>
      </c>
      <c r="C974" t="str">
        <f t="shared" si="45"/>
        <v>FFBF5BC0</v>
      </c>
      <c r="D974" t="s">
        <v>113</v>
      </c>
      <c r="E974">
        <v>8</v>
      </c>
      <c r="H974">
        <v>206</v>
      </c>
      <c r="I974" t="s">
        <v>114</v>
      </c>
      <c r="J974" t="s">
        <v>115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>"19:20:27.086"</f>
        <v>19:20:27.086</v>
      </c>
      <c r="T974" t="str">
        <f>"19:20:27.086"</f>
        <v>19:20:27.086</v>
      </c>
      <c r="U974" t="str">
        <f t="shared" si="46"/>
        <v>AB63B2</v>
      </c>
      <c r="V974">
        <v>0</v>
      </c>
      <c r="W974">
        <v>0</v>
      </c>
      <c r="X974">
        <v>6</v>
      </c>
      <c r="Z974">
        <v>0</v>
      </c>
      <c r="AA974">
        <v>9</v>
      </c>
      <c r="AB974">
        <v>3</v>
      </c>
      <c r="AC974">
        <v>0</v>
      </c>
      <c r="AD974">
        <v>10</v>
      </c>
      <c r="AE974">
        <v>0</v>
      </c>
      <c r="AF974">
        <v>0</v>
      </c>
      <c r="AG974">
        <v>2</v>
      </c>
      <c r="AH974">
        <v>0</v>
      </c>
      <c r="AI974" t="s">
        <v>225</v>
      </c>
      <c r="AJ974">
        <v>41.985132999999998</v>
      </c>
      <c r="AK974" t="s">
        <v>911</v>
      </c>
      <c r="AL974">
        <v>-87.890367999999995</v>
      </c>
      <c r="AS974">
        <v>1</v>
      </c>
      <c r="AT974" t="s">
        <v>118</v>
      </c>
      <c r="AU974" t="b">
        <v>1</v>
      </c>
      <c r="AV974">
        <v>0</v>
      </c>
      <c r="AW974">
        <v>14.125</v>
      </c>
      <c r="AX974">
        <v>1</v>
      </c>
      <c r="AZ974">
        <v>7205</v>
      </c>
      <c r="BA974">
        <v>1</v>
      </c>
      <c r="BB974" t="str">
        <f t="shared" si="47"/>
        <v xml:space="preserve">KAP400  </v>
      </c>
      <c r="BC974">
        <v>1</v>
      </c>
      <c r="BE974">
        <v>0</v>
      </c>
      <c r="BF974">
        <v>0</v>
      </c>
      <c r="BG974">
        <v>0</v>
      </c>
      <c r="BI974">
        <v>1</v>
      </c>
      <c r="BJ974">
        <v>1</v>
      </c>
      <c r="BK974">
        <v>1</v>
      </c>
      <c r="BL974">
        <v>0</v>
      </c>
      <c r="BO974">
        <v>0</v>
      </c>
      <c r="BP974">
        <v>0</v>
      </c>
      <c r="BW974" t="str">
        <f>"19:20:27.092"</f>
        <v>19:20:27.092</v>
      </c>
      <c r="BX974" t="s">
        <v>119</v>
      </c>
      <c r="BY974" t="s">
        <v>120</v>
      </c>
      <c r="CJ974">
        <v>0</v>
      </c>
      <c r="CK974">
        <v>0</v>
      </c>
      <c r="CL974">
        <v>0</v>
      </c>
      <c r="CM974">
        <v>2</v>
      </c>
      <c r="CN974">
        <v>0</v>
      </c>
      <c r="CO974">
        <v>7</v>
      </c>
      <c r="CP974" t="s">
        <v>121</v>
      </c>
      <c r="CQ974">
        <v>581</v>
      </c>
      <c r="CR974">
        <v>0</v>
      </c>
      <c r="CW974">
        <v>15931368</v>
      </c>
      <c r="CY974">
        <v>0</v>
      </c>
      <c r="CZ974">
        <v>0</v>
      </c>
      <c r="DA974">
        <v>0</v>
      </c>
      <c r="DB974">
        <v>1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</row>
    <row r="975" spans="1:113" x14ac:dyDescent="0.3">
      <c r="A975" t="str">
        <f>"06/16/2022 19:20:28.379"</f>
        <v>06/16/2022 19:20:28.379</v>
      </c>
      <c r="C975" t="str">
        <f t="shared" si="45"/>
        <v>FFBF5BC0</v>
      </c>
      <c r="D975" t="s">
        <v>113</v>
      </c>
      <c r="E975">
        <v>8</v>
      </c>
      <c r="H975">
        <v>206</v>
      </c>
      <c r="I975" t="s">
        <v>114</v>
      </c>
      <c r="J975" t="s">
        <v>115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>"19:20:27.961"</f>
        <v>19:20:27.961</v>
      </c>
      <c r="T975" t="str">
        <f>"19:20:27.961"</f>
        <v>19:20:27.961</v>
      </c>
      <c r="U975" t="str">
        <f t="shared" si="46"/>
        <v>AB63B2</v>
      </c>
      <c r="V975">
        <v>0</v>
      </c>
      <c r="W975">
        <v>0</v>
      </c>
      <c r="X975">
        <v>6</v>
      </c>
      <c r="Z975">
        <v>0</v>
      </c>
      <c r="AA975">
        <v>9</v>
      </c>
      <c r="AB975">
        <v>3</v>
      </c>
      <c r="AC975">
        <v>0</v>
      </c>
      <c r="AD975">
        <v>10</v>
      </c>
      <c r="AE975">
        <v>0</v>
      </c>
      <c r="AF975">
        <v>0</v>
      </c>
      <c r="AG975">
        <v>2</v>
      </c>
      <c r="AH975">
        <v>0</v>
      </c>
      <c r="AI975" t="s">
        <v>915</v>
      </c>
      <c r="AJ975">
        <v>41.985176000000003</v>
      </c>
      <c r="AK975" t="s">
        <v>911</v>
      </c>
      <c r="AL975">
        <v>-87.890367999999995</v>
      </c>
      <c r="AS975">
        <v>1</v>
      </c>
      <c r="AT975" t="s">
        <v>118</v>
      </c>
      <c r="AU975" t="b">
        <v>1</v>
      </c>
      <c r="AV975">
        <v>0</v>
      </c>
      <c r="AW975">
        <v>13.625</v>
      </c>
      <c r="AX975">
        <v>1</v>
      </c>
      <c r="AZ975">
        <v>7205</v>
      </c>
      <c r="BA975">
        <v>1</v>
      </c>
      <c r="BB975" t="str">
        <f t="shared" si="47"/>
        <v xml:space="preserve">KAP400  </v>
      </c>
      <c r="BC975">
        <v>1</v>
      </c>
      <c r="BE975">
        <v>0</v>
      </c>
      <c r="BF975">
        <v>0</v>
      </c>
      <c r="BG975">
        <v>0</v>
      </c>
      <c r="BI975">
        <v>1</v>
      </c>
      <c r="BJ975">
        <v>1</v>
      </c>
      <c r="BK975">
        <v>1</v>
      </c>
      <c r="BL975">
        <v>0</v>
      </c>
      <c r="BO975">
        <v>0</v>
      </c>
      <c r="BP975">
        <v>0</v>
      </c>
      <c r="BW975" t="str">
        <f>"19:20:27.964"</f>
        <v>19:20:27.964</v>
      </c>
      <c r="BX975" t="s">
        <v>119</v>
      </c>
      <c r="BY975" t="s">
        <v>120</v>
      </c>
      <c r="CJ975">
        <v>0</v>
      </c>
      <c r="CK975">
        <v>0</v>
      </c>
      <c r="CL975">
        <v>0</v>
      </c>
      <c r="CM975">
        <v>2</v>
      </c>
      <c r="CN975">
        <v>0</v>
      </c>
      <c r="CO975">
        <v>7</v>
      </c>
      <c r="CP975" t="s">
        <v>121</v>
      </c>
      <c r="CQ975">
        <v>581</v>
      </c>
      <c r="CR975">
        <v>0</v>
      </c>
      <c r="CW975">
        <v>15932584</v>
      </c>
      <c r="CY975">
        <v>0</v>
      </c>
      <c r="CZ975">
        <v>0</v>
      </c>
      <c r="DA975">
        <v>0</v>
      </c>
      <c r="DB975">
        <v>1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</row>
    <row r="976" spans="1:113" x14ac:dyDescent="0.3">
      <c r="A976" t="str">
        <f>"06/16/2022 19:20:29.380"</f>
        <v>06/16/2022 19:20:29.380</v>
      </c>
      <c r="C976" t="str">
        <f t="shared" ref="C976:C1039" si="48">"FFBF5BC0"</f>
        <v>FFBF5BC0</v>
      </c>
      <c r="D976" t="s">
        <v>113</v>
      </c>
      <c r="E976">
        <v>8</v>
      </c>
      <c r="H976">
        <v>206</v>
      </c>
      <c r="I976" t="s">
        <v>114</v>
      </c>
      <c r="J976" t="s">
        <v>115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>"19:20:29.063"</f>
        <v>19:20:29.063</v>
      </c>
      <c r="T976" t="str">
        <f>"19:20:29.063"</f>
        <v>19:20:29.063</v>
      </c>
      <c r="U976" t="str">
        <f t="shared" si="46"/>
        <v>AB63B2</v>
      </c>
      <c r="V976">
        <v>0</v>
      </c>
      <c r="W976">
        <v>0</v>
      </c>
      <c r="X976">
        <v>6</v>
      </c>
      <c r="Z976">
        <v>0</v>
      </c>
      <c r="AA976">
        <v>9</v>
      </c>
      <c r="AB976">
        <v>3</v>
      </c>
      <c r="AC976">
        <v>0</v>
      </c>
      <c r="AD976">
        <v>10</v>
      </c>
      <c r="AE976">
        <v>0</v>
      </c>
      <c r="AF976">
        <v>0</v>
      </c>
      <c r="AG976">
        <v>2</v>
      </c>
      <c r="AH976">
        <v>0</v>
      </c>
      <c r="AI976" t="s">
        <v>224</v>
      </c>
      <c r="AJ976">
        <v>41.985239999999997</v>
      </c>
      <c r="AK976" t="s">
        <v>911</v>
      </c>
      <c r="AL976">
        <v>-87.890367999999995</v>
      </c>
      <c r="AS976">
        <v>1</v>
      </c>
      <c r="AT976" t="s">
        <v>118</v>
      </c>
      <c r="AU976" t="b">
        <v>1</v>
      </c>
      <c r="AV976">
        <v>0</v>
      </c>
      <c r="AW976">
        <v>12.625</v>
      </c>
      <c r="AX976">
        <v>1</v>
      </c>
      <c r="AZ976">
        <v>7205</v>
      </c>
      <c r="BA976">
        <v>1</v>
      </c>
      <c r="BB976" t="str">
        <f t="shared" si="47"/>
        <v xml:space="preserve">KAP400  </v>
      </c>
      <c r="BC976">
        <v>1</v>
      </c>
      <c r="BE976">
        <v>0</v>
      </c>
      <c r="BF976">
        <v>0</v>
      </c>
      <c r="BG976">
        <v>0</v>
      </c>
      <c r="BI976">
        <v>1</v>
      </c>
      <c r="BJ976">
        <v>1</v>
      </c>
      <c r="BK976">
        <v>1</v>
      </c>
      <c r="BL976">
        <v>0</v>
      </c>
      <c r="BO976">
        <v>0</v>
      </c>
      <c r="BP976">
        <v>0</v>
      </c>
      <c r="BW976" t="str">
        <f>"19:20:29.070"</f>
        <v>19:20:29.070</v>
      </c>
      <c r="BX976" t="s">
        <v>119</v>
      </c>
      <c r="BY976" t="s">
        <v>120</v>
      </c>
      <c r="CJ976">
        <v>0</v>
      </c>
      <c r="CK976">
        <v>0</v>
      </c>
      <c r="CL976">
        <v>0</v>
      </c>
      <c r="CM976">
        <v>2</v>
      </c>
      <c r="CN976">
        <v>0</v>
      </c>
      <c r="CO976">
        <v>7</v>
      </c>
      <c r="CP976" t="s">
        <v>121</v>
      </c>
      <c r="CQ976">
        <v>582</v>
      </c>
      <c r="CR976">
        <v>0</v>
      </c>
      <c r="CW976">
        <v>6819668</v>
      </c>
      <c r="CY976">
        <v>0</v>
      </c>
      <c r="CZ976">
        <v>0</v>
      </c>
      <c r="DA976">
        <v>0</v>
      </c>
      <c r="DB976">
        <v>1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</row>
    <row r="977" spans="1:113" x14ac:dyDescent="0.3">
      <c r="A977" t="str">
        <f>"06/16/2022 19:20:30.208"</f>
        <v>06/16/2022 19:20:30.208</v>
      </c>
      <c r="C977" t="str">
        <f t="shared" si="48"/>
        <v>FFBF5BC0</v>
      </c>
      <c r="D977" t="s">
        <v>113</v>
      </c>
      <c r="E977">
        <v>8</v>
      </c>
      <c r="H977">
        <v>206</v>
      </c>
      <c r="I977" t="s">
        <v>114</v>
      </c>
      <c r="J977" t="s">
        <v>115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>"19:20:30.008"</f>
        <v>19:20:30.008</v>
      </c>
      <c r="T977" t="str">
        <f>"19:20:30.008"</f>
        <v>19:20:30.008</v>
      </c>
      <c r="U977" t="str">
        <f t="shared" si="46"/>
        <v>AB63B2</v>
      </c>
      <c r="V977">
        <v>0</v>
      </c>
      <c r="W977">
        <v>0</v>
      </c>
      <c r="X977">
        <v>6</v>
      </c>
      <c r="Z977">
        <v>0</v>
      </c>
      <c r="AA977">
        <v>9</v>
      </c>
      <c r="AB977">
        <v>3</v>
      </c>
      <c r="AC977">
        <v>0</v>
      </c>
      <c r="AD977">
        <v>10</v>
      </c>
      <c r="AE977">
        <v>0</v>
      </c>
      <c r="AF977">
        <v>0</v>
      </c>
      <c r="AG977">
        <v>2</v>
      </c>
      <c r="AH977">
        <v>0</v>
      </c>
      <c r="AI977" t="s">
        <v>916</v>
      </c>
      <c r="AJ977">
        <v>41.985303999999999</v>
      </c>
      <c r="AK977" t="s">
        <v>911</v>
      </c>
      <c r="AL977">
        <v>-87.890367999999995</v>
      </c>
      <c r="AS977">
        <v>1</v>
      </c>
      <c r="AT977" t="s">
        <v>118</v>
      </c>
      <c r="AU977" t="b">
        <v>1</v>
      </c>
      <c r="AV977">
        <v>0</v>
      </c>
      <c r="AW977">
        <v>11.625</v>
      </c>
      <c r="AX977">
        <v>1</v>
      </c>
      <c r="AZ977">
        <v>7205</v>
      </c>
      <c r="BA977">
        <v>1</v>
      </c>
      <c r="BB977" t="str">
        <f t="shared" si="47"/>
        <v xml:space="preserve">KAP400  </v>
      </c>
      <c r="BC977">
        <v>1</v>
      </c>
      <c r="BE977">
        <v>0</v>
      </c>
      <c r="BF977">
        <v>0</v>
      </c>
      <c r="BG977">
        <v>0</v>
      </c>
      <c r="BI977">
        <v>1</v>
      </c>
      <c r="BJ977">
        <v>1</v>
      </c>
      <c r="BK977">
        <v>1</v>
      </c>
      <c r="BL977">
        <v>0</v>
      </c>
      <c r="BO977">
        <v>0</v>
      </c>
      <c r="BP977">
        <v>0</v>
      </c>
      <c r="BW977" t="str">
        <f>"19:20:30.010"</f>
        <v>19:20:30.010</v>
      </c>
      <c r="BX977" t="s">
        <v>119</v>
      </c>
      <c r="BY977" t="s">
        <v>120</v>
      </c>
      <c r="CJ977">
        <v>0</v>
      </c>
      <c r="CK977">
        <v>0</v>
      </c>
      <c r="CL977">
        <v>0</v>
      </c>
      <c r="CM977">
        <v>2</v>
      </c>
      <c r="CN977">
        <v>0</v>
      </c>
      <c r="CO977">
        <v>7</v>
      </c>
      <c r="CP977" t="s">
        <v>121</v>
      </c>
      <c r="CQ977">
        <v>581</v>
      </c>
      <c r="CR977">
        <v>0</v>
      </c>
      <c r="CW977">
        <v>15935179</v>
      </c>
      <c r="CY977">
        <v>0</v>
      </c>
      <c r="CZ977">
        <v>0</v>
      </c>
      <c r="DA977">
        <v>0</v>
      </c>
      <c r="DB977">
        <v>1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</row>
    <row r="978" spans="1:113" x14ac:dyDescent="0.3">
      <c r="A978" t="str">
        <f>"06/16/2022 19:20:31.270"</f>
        <v>06/16/2022 19:20:31.270</v>
      </c>
      <c r="C978" t="str">
        <f t="shared" si="48"/>
        <v>FFBF5BC0</v>
      </c>
      <c r="D978" t="s">
        <v>113</v>
      </c>
      <c r="E978">
        <v>8</v>
      </c>
      <c r="H978">
        <v>206</v>
      </c>
      <c r="I978" t="s">
        <v>114</v>
      </c>
      <c r="J978" t="s">
        <v>115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>"19:20:31.023"</f>
        <v>19:20:31.023</v>
      </c>
      <c r="T978" t="str">
        <f>"19:20:31.023"</f>
        <v>19:20:31.023</v>
      </c>
      <c r="U978" t="str">
        <f t="shared" si="46"/>
        <v>AB63B2</v>
      </c>
      <c r="V978">
        <v>0</v>
      </c>
      <c r="W978">
        <v>0</v>
      </c>
      <c r="X978">
        <v>6</v>
      </c>
      <c r="Z978">
        <v>0</v>
      </c>
      <c r="AA978">
        <v>9</v>
      </c>
      <c r="AB978">
        <v>3</v>
      </c>
      <c r="AC978">
        <v>0</v>
      </c>
      <c r="AD978">
        <v>10</v>
      </c>
      <c r="AE978">
        <v>0</v>
      </c>
      <c r="AF978">
        <v>0</v>
      </c>
      <c r="AG978">
        <v>2</v>
      </c>
      <c r="AH978">
        <v>0</v>
      </c>
      <c r="AI978" t="s">
        <v>917</v>
      </c>
      <c r="AJ978">
        <v>41.985368999999999</v>
      </c>
      <c r="AK978" t="s">
        <v>911</v>
      </c>
      <c r="AL978">
        <v>-87.890367999999995</v>
      </c>
      <c r="AS978">
        <v>1</v>
      </c>
      <c r="AT978" t="s">
        <v>118</v>
      </c>
      <c r="AU978" t="b">
        <v>1</v>
      </c>
      <c r="AV978">
        <v>0</v>
      </c>
      <c r="AW978">
        <v>11.625</v>
      </c>
      <c r="AX978">
        <v>1</v>
      </c>
      <c r="AZ978">
        <v>7205</v>
      </c>
      <c r="BA978">
        <v>1</v>
      </c>
      <c r="BB978" t="str">
        <f t="shared" si="47"/>
        <v xml:space="preserve">KAP400  </v>
      </c>
      <c r="BC978">
        <v>1</v>
      </c>
      <c r="BE978">
        <v>0</v>
      </c>
      <c r="BF978">
        <v>0</v>
      </c>
      <c r="BG978">
        <v>0</v>
      </c>
      <c r="BI978">
        <v>1</v>
      </c>
      <c r="BJ978">
        <v>1</v>
      </c>
      <c r="BK978">
        <v>1</v>
      </c>
      <c r="BL978">
        <v>0</v>
      </c>
      <c r="BO978">
        <v>0</v>
      </c>
      <c r="BP978">
        <v>0</v>
      </c>
      <c r="BW978" t="str">
        <f>"19:20:31.024"</f>
        <v>19:20:31.024</v>
      </c>
      <c r="BX978" t="s">
        <v>119</v>
      </c>
      <c r="BY978" t="s">
        <v>120</v>
      </c>
      <c r="CJ978">
        <v>0</v>
      </c>
      <c r="CK978">
        <v>0</v>
      </c>
      <c r="CL978">
        <v>0</v>
      </c>
      <c r="CM978">
        <v>2</v>
      </c>
      <c r="CN978">
        <v>0</v>
      </c>
      <c r="CO978">
        <v>7</v>
      </c>
      <c r="CP978" t="s">
        <v>121</v>
      </c>
      <c r="CQ978">
        <v>582</v>
      </c>
      <c r="CR978">
        <v>0</v>
      </c>
      <c r="CW978">
        <v>6822020</v>
      </c>
      <c r="CY978">
        <v>0</v>
      </c>
      <c r="CZ978">
        <v>0</v>
      </c>
      <c r="DA978">
        <v>0</v>
      </c>
      <c r="DB978">
        <v>1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</row>
    <row r="979" spans="1:113" x14ac:dyDescent="0.3">
      <c r="A979" t="str">
        <f>"06/16/2022 19:20:32.207"</f>
        <v>06/16/2022 19:20:32.207</v>
      </c>
      <c r="C979" t="str">
        <f t="shared" si="48"/>
        <v>FFBF5BC0</v>
      </c>
      <c r="D979" t="s">
        <v>113</v>
      </c>
      <c r="E979">
        <v>8</v>
      </c>
      <c r="H979">
        <v>206</v>
      </c>
      <c r="I979" t="s">
        <v>114</v>
      </c>
      <c r="J979" t="s">
        <v>115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>"19:20:31.969"</f>
        <v>19:20:31.969</v>
      </c>
      <c r="T979" t="str">
        <f>"19:20:31.969"</f>
        <v>19:20:31.969</v>
      </c>
      <c r="U979" t="str">
        <f t="shared" si="46"/>
        <v>AB63B2</v>
      </c>
      <c r="V979">
        <v>0</v>
      </c>
      <c r="W979">
        <v>0</v>
      </c>
      <c r="X979">
        <v>6</v>
      </c>
      <c r="Z979">
        <v>0</v>
      </c>
      <c r="AA979">
        <v>9</v>
      </c>
      <c r="AB979">
        <v>3</v>
      </c>
      <c r="AC979">
        <v>0</v>
      </c>
      <c r="AD979">
        <v>10</v>
      </c>
      <c r="AE979">
        <v>0</v>
      </c>
      <c r="AF979">
        <v>0</v>
      </c>
      <c r="AG979">
        <v>2</v>
      </c>
      <c r="AH979">
        <v>0</v>
      </c>
      <c r="AI979" t="s">
        <v>918</v>
      </c>
      <c r="AJ979">
        <v>41.985390000000002</v>
      </c>
      <c r="AK979" t="s">
        <v>911</v>
      </c>
      <c r="AL979">
        <v>-87.890367999999995</v>
      </c>
      <c r="AS979">
        <v>1</v>
      </c>
      <c r="AT979" t="s">
        <v>118</v>
      </c>
      <c r="AU979" t="b">
        <v>1</v>
      </c>
      <c r="AV979">
        <v>357.19</v>
      </c>
      <c r="AW979">
        <v>11.125</v>
      </c>
      <c r="AX979">
        <v>1</v>
      </c>
      <c r="AZ979">
        <v>7205</v>
      </c>
      <c r="BA979">
        <v>1</v>
      </c>
      <c r="BB979" t="str">
        <f t="shared" si="47"/>
        <v xml:space="preserve">KAP400  </v>
      </c>
      <c r="BC979">
        <v>1</v>
      </c>
      <c r="BE979">
        <v>0</v>
      </c>
      <c r="BF979">
        <v>0</v>
      </c>
      <c r="BG979">
        <v>0</v>
      </c>
      <c r="BI979">
        <v>1</v>
      </c>
      <c r="BJ979">
        <v>1</v>
      </c>
      <c r="BK979">
        <v>1</v>
      </c>
      <c r="BL979">
        <v>0</v>
      </c>
      <c r="BO979">
        <v>0</v>
      </c>
      <c r="BP979">
        <v>0</v>
      </c>
      <c r="BW979" t="str">
        <f>"19:20:31.970"</f>
        <v>19:20:31.970</v>
      </c>
      <c r="BX979" t="s">
        <v>119</v>
      </c>
      <c r="BY979" t="s">
        <v>120</v>
      </c>
      <c r="CJ979">
        <v>0</v>
      </c>
      <c r="CK979">
        <v>0</v>
      </c>
      <c r="CL979">
        <v>0</v>
      </c>
      <c r="CM979">
        <v>2</v>
      </c>
      <c r="CN979">
        <v>0</v>
      </c>
      <c r="CO979">
        <v>7</v>
      </c>
      <c r="CP979" t="s">
        <v>121</v>
      </c>
      <c r="CQ979">
        <v>581</v>
      </c>
      <c r="CR979">
        <v>0</v>
      </c>
      <c r="CW979">
        <v>15937796</v>
      </c>
      <c r="CY979">
        <v>0</v>
      </c>
      <c r="CZ979">
        <v>0</v>
      </c>
      <c r="DA979">
        <v>0</v>
      </c>
      <c r="DB979">
        <v>1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</row>
    <row r="980" spans="1:113" x14ac:dyDescent="0.3">
      <c r="A980" t="str">
        <f>"06/16/2022 19:20:33.051"</f>
        <v>06/16/2022 19:20:33.051</v>
      </c>
      <c r="C980" t="str">
        <f t="shared" si="48"/>
        <v>FFBF5BC0</v>
      </c>
      <c r="D980" t="s">
        <v>113</v>
      </c>
      <c r="E980">
        <v>8</v>
      </c>
      <c r="H980">
        <v>206</v>
      </c>
      <c r="I980" t="s">
        <v>114</v>
      </c>
      <c r="J980" t="s">
        <v>115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>"19:20:32.820"</f>
        <v>19:20:32.820</v>
      </c>
      <c r="T980" t="str">
        <f>"19:20:32.820"</f>
        <v>19:20:32.820</v>
      </c>
      <c r="U980" t="str">
        <f t="shared" si="46"/>
        <v>AB63B2</v>
      </c>
      <c r="V980">
        <v>0</v>
      </c>
      <c r="W980">
        <v>0</v>
      </c>
      <c r="X980">
        <v>6</v>
      </c>
      <c r="Z980">
        <v>0</v>
      </c>
      <c r="AA980">
        <v>9</v>
      </c>
      <c r="AB980">
        <v>3</v>
      </c>
      <c r="AC980">
        <v>0</v>
      </c>
      <c r="AD980">
        <v>10</v>
      </c>
      <c r="AE980">
        <v>0</v>
      </c>
      <c r="AF980">
        <v>0</v>
      </c>
      <c r="AG980">
        <v>2</v>
      </c>
      <c r="AH980">
        <v>0</v>
      </c>
      <c r="AI980" t="s">
        <v>222</v>
      </c>
      <c r="AJ980">
        <v>41.985433</v>
      </c>
      <c r="AK980" t="s">
        <v>911</v>
      </c>
      <c r="AL980">
        <v>-87.890367999999995</v>
      </c>
      <c r="AS980">
        <v>1</v>
      </c>
      <c r="AT980" t="s">
        <v>118</v>
      </c>
      <c r="AU980" t="b">
        <v>1</v>
      </c>
      <c r="AV980">
        <v>0</v>
      </c>
      <c r="AW980">
        <v>11.625</v>
      </c>
      <c r="AX980">
        <v>1</v>
      </c>
      <c r="AZ980">
        <v>7205</v>
      </c>
      <c r="BA980">
        <v>1</v>
      </c>
      <c r="BB980" t="str">
        <f t="shared" si="47"/>
        <v xml:space="preserve">KAP400  </v>
      </c>
      <c r="BC980">
        <v>1</v>
      </c>
      <c r="BE980">
        <v>0</v>
      </c>
      <c r="BF980">
        <v>0</v>
      </c>
      <c r="BG980">
        <v>0</v>
      </c>
      <c r="BI980">
        <v>1</v>
      </c>
      <c r="BJ980">
        <v>1</v>
      </c>
      <c r="BK980">
        <v>1</v>
      </c>
      <c r="BL980">
        <v>0</v>
      </c>
      <c r="BO980">
        <v>0</v>
      </c>
      <c r="BP980">
        <v>0</v>
      </c>
      <c r="BW980" t="str">
        <f>"19:20:32.828"</f>
        <v>19:20:32.828</v>
      </c>
      <c r="BX980" t="s">
        <v>119</v>
      </c>
      <c r="BY980" t="s">
        <v>120</v>
      </c>
      <c r="CJ980">
        <v>0</v>
      </c>
      <c r="CK980">
        <v>0</v>
      </c>
      <c r="CL980">
        <v>0</v>
      </c>
      <c r="CM980">
        <v>2</v>
      </c>
      <c r="CN980">
        <v>0</v>
      </c>
      <c r="CO980">
        <v>7</v>
      </c>
      <c r="CP980" t="s">
        <v>121</v>
      </c>
      <c r="CQ980">
        <v>581</v>
      </c>
      <c r="CR980">
        <v>0</v>
      </c>
      <c r="CW980">
        <v>15939030</v>
      </c>
      <c r="CY980">
        <v>0</v>
      </c>
      <c r="CZ980">
        <v>0</v>
      </c>
      <c r="DA980">
        <v>0</v>
      </c>
      <c r="DB980">
        <v>1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</row>
    <row r="981" spans="1:113" x14ac:dyDescent="0.3">
      <c r="A981" t="str">
        <f>"06/16/2022 19:20:33.894"</f>
        <v>06/16/2022 19:20:33.894</v>
      </c>
      <c r="C981" t="str">
        <f t="shared" si="48"/>
        <v>FFBF5BC0</v>
      </c>
      <c r="D981" t="s">
        <v>113</v>
      </c>
      <c r="E981">
        <v>8</v>
      </c>
      <c r="H981">
        <v>206</v>
      </c>
      <c r="I981" t="s">
        <v>114</v>
      </c>
      <c r="J981" t="s">
        <v>115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>"19:20:33.711"</f>
        <v>19:20:33.711</v>
      </c>
      <c r="T981" t="str">
        <f>"19:20:33.711"</f>
        <v>19:20:33.711</v>
      </c>
      <c r="U981" t="str">
        <f t="shared" si="46"/>
        <v>AB63B2</v>
      </c>
      <c r="V981">
        <v>0</v>
      </c>
      <c r="W981">
        <v>0</v>
      </c>
      <c r="X981">
        <v>6</v>
      </c>
      <c r="Z981">
        <v>0</v>
      </c>
      <c r="AA981">
        <v>9</v>
      </c>
      <c r="AB981">
        <v>3</v>
      </c>
      <c r="AC981">
        <v>0</v>
      </c>
      <c r="AD981">
        <v>10</v>
      </c>
      <c r="AE981">
        <v>0</v>
      </c>
      <c r="AF981">
        <v>0</v>
      </c>
      <c r="AG981">
        <v>2</v>
      </c>
      <c r="AH981">
        <v>0</v>
      </c>
      <c r="AI981" t="s">
        <v>919</v>
      </c>
      <c r="AJ981">
        <v>41.985497000000002</v>
      </c>
      <c r="AK981" t="s">
        <v>911</v>
      </c>
      <c r="AL981">
        <v>-87.890367999999995</v>
      </c>
      <c r="AS981">
        <v>1</v>
      </c>
      <c r="AT981" t="s">
        <v>118</v>
      </c>
      <c r="AU981" t="b">
        <v>1</v>
      </c>
      <c r="AV981">
        <v>0</v>
      </c>
      <c r="AW981">
        <v>11.625</v>
      </c>
      <c r="AX981">
        <v>1</v>
      </c>
      <c r="AZ981">
        <v>7205</v>
      </c>
      <c r="BA981">
        <v>1</v>
      </c>
      <c r="BB981" t="str">
        <f t="shared" si="47"/>
        <v xml:space="preserve">KAP400  </v>
      </c>
      <c r="BC981">
        <v>1</v>
      </c>
      <c r="BE981">
        <v>0</v>
      </c>
      <c r="BF981">
        <v>0</v>
      </c>
      <c r="BG981">
        <v>0</v>
      </c>
      <c r="BI981">
        <v>1</v>
      </c>
      <c r="BJ981">
        <v>1</v>
      </c>
      <c r="BK981">
        <v>1</v>
      </c>
      <c r="BL981">
        <v>0</v>
      </c>
      <c r="BO981">
        <v>0</v>
      </c>
      <c r="BP981">
        <v>0</v>
      </c>
      <c r="BW981" t="str">
        <f>"19:20:33.713"</f>
        <v>19:20:33.713</v>
      </c>
      <c r="BX981" t="s">
        <v>119</v>
      </c>
      <c r="BY981" t="s">
        <v>120</v>
      </c>
      <c r="CJ981">
        <v>0</v>
      </c>
      <c r="CK981">
        <v>0</v>
      </c>
      <c r="CL981">
        <v>0</v>
      </c>
      <c r="CM981">
        <v>2</v>
      </c>
      <c r="CN981">
        <v>0</v>
      </c>
      <c r="CO981">
        <v>7</v>
      </c>
      <c r="CP981" t="s">
        <v>121</v>
      </c>
      <c r="CQ981">
        <v>582</v>
      </c>
      <c r="CR981">
        <v>0</v>
      </c>
      <c r="CW981">
        <v>6825459</v>
      </c>
      <c r="CY981">
        <v>0</v>
      </c>
      <c r="CZ981">
        <v>0</v>
      </c>
      <c r="DA981">
        <v>0</v>
      </c>
      <c r="DB981">
        <v>1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</row>
    <row r="982" spans="1:113" x14ac:dyDescent="0.3">
      <c r="A982" t="str">
        <f>"06/16/2022 19:20:34.816"</f>
        <v>06/16/2022 19:20:34.816</v>
      </c>
      <c r="C982" t="str">
        <f t="shared" si="48"/>
        <v>FFBF5BC0</v>
      </c>
      <c r="D982" t="s">
        <v>113</v>
      </c>
      <c r="E982">
        <v>8</v>
      </c>
      <c r="H982">
        <v>206</v>
      </c>
      <c r="I982" t="s">
        <v>114</v>
      </c>
      <c r="J982" t="s">
        <v>115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>"19:20:34.602"</f>
        <v>19:20:34.602</v>
      </c>
      <c r="T982" t="str">
        <f>"19:20:34.602"</f>
        <v>19:20:34.602</v>
      </c>
      <c r="U982" t="str">
        <f t="shared" si="46"/>
        <v>AB63B2</v>
      </c>
      <c r="V982">
        <v>0</v>
      </c>
      <c r="W982">
        <v>0</v>
      </c>
      <c r="X982">
        <v>6</v>
      </c>
      <c r="Z982">
        <v>0</v>
      </c>
      <c r="AA982">
        <v>9</v>
      </c>
      <c r="AB982">
        <v>3</v>
      </c>
      <c r="AC982">
        <v>0</v>
      </c>
      <c r="AD982">
        <v>10</v>
      </c>
      <c r="AE982">
        <v>0</v>
      </c>
      <c r="AF982">
        <v>0</v>
      </c>
      <c r="AG982">
        <v>2</v>
      </c>
      <c r="AH982">
        <v>0</v>
      </c>
      <c r="AI982" t="s">
        <v>920</v>
      </c>
      <c r="AJ982">
        <v>41.98554</v>
      </c>
      <c r="AK982" t="s">
        <v>921</v>
      </c>
      <c r="AL982">
        <v>-87.890388999999999</v>
      </c>
      <c r="AS982">
        <v>1</v>
      </c>
      <c r="AT982" t="s">
        <v>118</v>
      </c>
      <c r="AU982" t="b">
        <v>1</v>
      </c>
      <c r="AV982">
        <v>0</v>
      </c>
      <c r="AW982">
        <v>11.125</v>
      </c>
      <c r="AX982">
        <v>1</v>
      </c>
      <c r="AZ982">
        <v>7205</v>
      </c>
      <c r="BA982">
        <v>1</v>
      </c>
      <c r="BB982" t="str">
        <f t="shared" si="47"/>
        <v xml:space="preserve">KAP400  </v>
      </c>
      <c r="BC982">
        <v>1</v>
      </c>
      <c r="BE982">
        <v>0</v>
      </c>
      <c r="BF982">
        <v>0</v>
      </c>
      <c r="BG982">
        <v>0</v>
      </c>
      <c r="BI982">
        <v>1</v>
      </c>
      <c r="BJ982">
        <v>1</v>
      </c>
      <c r="BK982">
        <v>1</v>
      </c>
      <c r="BL982">
        <v>0</v>
      </c>
      <c r="BO982">
        <v>0</v>
      </c>
      <c r="BP982">
        <v>0</v>
      </c>
      <c r="BW982" t="str">
        <f>"19:20:34.607"</f>
        <v>19:20:34.607</v>
      </c>
      <c r="BX982" t="s">
        <v>119</v>
      </c>
      <c r="BY982" t="s">
        <v>120</v>
      </c>
      <c r="CJ982">
        <v>0</v>
      </c>
      <c r="CK982">
        <v>0</v>
      </c>
      <c r="CL982">
        <v>0</v>
      </c>
      <c r="CM982">
        <v>2</v>
      </c>
      <c r="CN982">
        <v>0</v>
      </c>
      <c r="CO982">
        <v>7</v>
      </c>
      <c r="CP982" t="s">
        <v>121</v>
      </c>
      <c r="CQ982">
        <v>582</v>
      </c>
      <c r="CR982">
        <v>0</v>
      </c>
      <c r="CW982">
        <v>6826531</v>
      </c>
      <c r="CY982">
        <v>0</v>
      </c>
      <c r="CZ982">
        <v>0</v>
      </c>
      <c r="DA982">
        <v>0</v>
      </c>
      <c r="DB982">
        <v>1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</row>
    <row r="983" spans="1:113" x14ac:dyDescent="0.3">
      <c r="A983" t="str">
        <f>"06/16/2022 19:20:35.832"</f>
        <v>06/16/2022 19:20:35.832</v>
      </c>
      <c r="C983" t="str">
        <f t="shared" si="48"/>
        <v>FFBF5BC0</v>
      </c>
      <c r="D983" t="s">
        <v>113</v>
      </c>
      <c r="E983">
        <v>8</v>
      </c>
      <c r="H983">
        <v>206</v>
      </c>
      <c r="I983" t="s">
        <v>114</v>
      </c>
      <c r="J983" t="s">
        <v>115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>"19:20:35.617"</f>
        <v>19:20:35.617</v>
      </c>
      <c r="T983" t="str">
        <f>"19:20:35.617"</f>
        <v>19:20:35.617</v>
      </c>
      <c r="U983" t="str">
        <f t="shared" si="46"/>
        <v>AB63B2</v>
      </c>
      <c r="V983">
        <v>0</v>
      </c>
      <c r="W983">
        <v>0</v>
      </c>
      <c r="X983">
        <v>6</v>
      </c>
      <c r="Z983">
        <v>0</v>
      </c>
      <c r="AA983">
        <v>9</v>
      </c>
      <c r="AB983">
        <v>3</v>
      </c>
      <c r="AC983">
        <v>0</v>
      </c>
      <c r="AD983">
        <v>10</v>
      </c>
      <c r="AE983">
        <v>0</v>
      </c>
      <c r="AF983">
        <v>0</v>
      </c>
      <c r="AG983">
        <v>2</v>
      </c>
      <c r="AH983">
        <v>0</v>
      </c>
      <c r="AI983" t="s">
        <v>922</v>
      </c>
      <c r="AJ983">
        <v>41.985582999999998</v>
      </c>
      <c r="AK983" t="s">
        <v>921</v>
      </c>
      <c r="AL983">
        <v>-87.890388999999999</v>
      </c>
      <c r="AS983">
        <v>1</v>
      </c>
      <c r="AT983" t="s">
        <v>118</v>
      </c>
      <c r="AU983" t="b">
        <v>1</v>
      </c>
      <c r="AV983">
        <v>357.19</v>
      </c>
      <c r="AW983">
        <v>11.125</v>
      </c>
      <c r="AX983">
        <v>1</v>
      </c>
      <c r="AZ983">
        <v>7205</v>
      </c>
      <c r="BA983">
        <v>1</v>
      </c>
      <c r="BB983" t="str">
        <f t="shared" si="47"/>
        <v xml:space="preserve">KAP400  </v>
      </c>
      <c r="BC983">
        <v>1</v>
      </c>
      <c r="BE983">
        <v>0</v>
      </c>
      <c r="BF983">
        <v>0</v>
      </c>
      <c r="BG983">
        <v>0</v>
      </c>
      <c r="BI983">
        <v>1</v>
      </c>
      <c r="BJ983">
        <v>1</v>
      </c>
      <c r="BK983">
        <v>1</v>
      </c>
      <c r="BL983">
        <v>0</v>
      </c>
      <c r="BO983">
        <v>0</v>
      </c>
      <c r="BP983">
        <v>0</v>
      </c>
      <c r="BW983" t="str">
        <f>"19:20:35.623"</f>
        <v>19:20:35.623</v>
      </c>
      <c r="BX983" t="s">
        <v>119</v>
      </c>
      <c r="BY983" t="s">
        <v>120</v>
      </c>
      <c r="CJ983">
        <v>0</v>
      </c>
      <c r="CK983">
        <v>0</v>
      </c>
      <c r="CL983">
        <v>0</v>
      </c>
      <c r="CM983">
        <v>2</v>
      </c>
      <c r="CN983">
        <v>0</v>
      </c>
      <c r="CO983">
        <v>7</v>
      </c>
      <c r="CP983" t="s">
        <v>121</v>
      </c>
      <c r="CQ983">
        <v>582</v>
      </c>
      <c r="CR983">
        <v>0</v>
      </c>
      <c r="CW983">
        <v>6827674</v>
      </c>
      <c r="CY983">
        <v>0</v>
      </c>
      <c r="CZ983">
        <v>0</v>
      </c>
      <c r="DA983">
        <v>0</v>
      </c>
      <c r="DB983">
        <v>1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</row>
    <row r="984" spans="1:113" x14ac:dyDescent="0.3">
      <c r="A984" t="str">
        <f>"06/16/2022 19:20:36.801"</f>
        <v>06/16/2022 19:20:36.801</v>
      </c>
      <c r="C984" t="str">
        <f t="shared" si="48"/>
        <v>FFBF5BC0</v>
      </c>
      <c r="D984" t="s">
        <v>113</v>
      </c>
      <c r="E984">
        <v>8</v>
      </c>
      <c r="H984">
        <v>206</v>
      </c>
      <c r="I984" t="s">
        <v>114</v>
      </c>
      <c r="J984" t="s">
        <v>115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>"19:20:36.516"</f>
        <v>19:20:36.516</v>
      </c>
      <c r="T984" t="str">
        <f>"19:20:36.516"</f>
        <v>19:20:36.516</v>
      </c>
      <c r="U984" t="str">
        <f t="shared" si="46"/>
        <v>AB63B2</v>
      </c>
      <c r="V984">
        <v>0</v>
      </c>
      <c r="W984">
        <v>0</v>
      </c>
      <c r="X984">
        <v>6</v>
      </c>
      <c r="Z984">
        <v>0</v>
      </c>
      <c r="AA984">
        <v>9</v>
      </c>
      <c r="AB984">
        <v>3</v>
      </c>
      <c r="AC984">
        <v>0</v>
      </c>
      <c r="AD984">
        <v>10</v>
      </c>
      <c r="AE984">
        <v>0</v>
      </c>
      <c r="AF984">
        <v>0</v>
      </c>
      <c r="AG984">
        <v>2</v>
      </c>
      <c r="AH984">
        <v>0</v>
      </c>
      <c r="AI984" t="s">
        <v>923</v>
      </c>
      <c r="AJ984">
        <v>41.985626000000003</v>
      </c>
      <c r="AK984" t="s">
        <v>921</v>
      </c>
      <c r="AL984">
        <v>-87.890388999999999</v>
      </c>
      <c r="AS984">
        <v>1</v>
      </c>
      <c r="AT984" t="s">
        <v>118</v>
      </c>
      <c r="AU984" t="b">
        <v>1</v>
      </c>
      <c r="AV984">
        <v>357.19</v>
      </c>
      <c r="AW984">
        <v>11.125</v>
      </c>
      <c r="AX984">
        <v>1</v>
      </c>
      <c r="AZ984">
        <v>7205</v>
      </c>
      <c r="BA984">
        <v>1</v>
      </c>
      <c r="BB984" t="str">
        <f t="shared" si="47"/>
        <v xml:space="preserve">KAP400  </v>
      </c>
      <c r="BC984">
        <v>1</v>
      </c>
      <c r="BE984">
        <v>0</v>
      </c>
      <c r="BF984">
        <v>0</v>
      </c>
      <c r="BG984">
        <v>0</v>
      </c>
      <c r="BI984">
        <v>1</v>
      </c>
      <c r="BJ984">
        <v>1</v>
      </c>
      <c r="BK984">
        <v>1</v>
      </c>
      <c r="BL984">
        <v>0</v>
      </c>
      <c r="BO984">
        <v>0</v>
      </c>
      <c r="BP984">
        <v>0</v>
      </c>
      <c r="BW984" t="str">
        <f>"19:20:36.519"</f>
        <v>19:20:36.519</v>
      </c>
      <c r="BX984" t="s">
        <v>119</v>
      </c>
      <c r="BY984" t="s">
        <v>120</v>
      </c>
      <c r="CJ984">
        <v>0</v>
      </c>
      <c r="CK984">
        <v>0</v>
      </c>
      <c r="CL984">
        <v>0</v>
      </c>
      <c r="CM984">
        <v>2</v>
      </c>
      <c r="CN984">
        <v>0</v>
      </c>
      <c r="CO984">
        <v>7</v>
      </c>
      <c r="CP984" t="s">
        <v>121</v>
      </c>
      <c r="CQ984">
        <v>582</v>
      </c>
      <c r="CR984">
        <v>0</v>
      </c>
      <c r="CW984">
        <v>6828799</v>
      </c>
      <c r="CY984">
        <v>0</v>
      </c>
      <c r="CZ984">
        <v>0</v>
      </c>
      <c r="DA984">
        <v>0</v>
      </c>
      <c r="DB984">
        <v>1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</row>
    <row r="985" spans="1:113" x14ac:dyDescent="0.3">
      <c r="A985" t="str">
        <f>"06/16/2022 19:20:37.817"</f>
        <v>06/16/2022 19:20:37.817</v>
      </c>
      <c r="C985" t="str">
        <f t="shared" si="48"/>
        <v>FFBF5BC0</v>
      </c>
      <c r="D985" t="s">
        <v>113</v>
      </c>
      <c r="E985">
        <v>8</v>
      </c>
      <c r="H985">
        <v>206</v>
      </c>
      <c r="I985" t="s">
        <v>114</v>
      </c>
      <c r="J985" t="s">
        <v>115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>"19:20:37.414"</f>
        <v>19:20:37.414</v>
      </c>
      <c r="T985" t="str">
        <f>"19:20:37.414"</f>
        <v>19:20:37.414</v>
      </c>
      <c r="U985" t="str">
        <f t="shared" si="46"/>
        <v>AB63B2</v>
      </c>
      <c r="V985">
        <v>0</v>
      </c>
      <c r="W985">
        <v>0</v>
      </c>
      <c r="X985">
        <v>6</v>
      </c>
      <c r="Z985">
        <v>0</v>
      </c>
      <c r="AA985">
        <v>9</v>
      </c>
      <c r="AB985">
        <v>3</v>
      </c>
      <c r="AC985">
        <v>0</v>
      </c>
      <c r="AD985">
        <v>10</v>
      </c>
      <c r="AE985">
        <v>0</v>
      </c>
      <c r="AF985">
        <v>0</v>
      </c>
      <c r="AG985">
        <v>2</v>
      </c>
      <c r="AH985">
        <v>0</v>
      </c>
      <c r="AI985" t="s">
        <v>924</v>
      </c>
      <c r="AJ985">
        <v>41.985669000000001</v>
      </c>
      <c r="AK985" t="s">
        <v>921</v>
      </c>
      <c r="AL985">
        <v>-87.890388999999999</v>
      </c>
      <c r="AS985">
        <v>1</v>
      </c>
      <c r="AT985" t="s">
        <v>118</v>
      </c>
      <c r="AU985" t="b">
        <v>1</v>
      </c>
      <c r="AV985">
        <v>357.19</v>
      </c>
      <c r="AW985">
        <v>10.625</v>
      </c>
      <c r="AX985">
        <v>1</v>
      </c>
      <c r="AZ985">
        <v>7205</v>
      </c>
      <c r="BA985">
        <v>1</v>
      </c>
      <c r="BB985" t="str">
        <f t="shared" si="47"/>
        <v xml:space="preserve">KAP400  </v>
      </c>
      <c r="BC985">
        <v>1</v>
      </c>
      <c r="BE985">
        <v>0</v>
      </c>
      <c r="BF985">
        <v>0</v>
      </c>
      <c r="BG985">
        <v>0</v>
      </c>
      <c r="BI985">
        <v>1</v>
      </c>
      <c r="BJ985">
        <v>1</v>
      </c>
      <c r="BK985">
        <v>1</v>
      </c>
      <c r="BL985">
        <v>0</v>
      </c>
      <c r="BO985">
        <v>0</v>
      </c>
      <c r="BP985">
        <v>0</v>
      </c>
      <c r="BW985" t="str">
        <f>"19:20:37.419"</f>
        <v>19:20:37.419</v>
      </c>
      <c r="BX985" t="s">
        <v>119</v>
      </c>
      <c r="BY985" t="s">
        <v>120</v>
      </c>
      <c r="CJ985">
        <v>0</v>
      </c>
      <c r="CK985">
        <v>0</v>
      </c>
      <c r="CL985">
        <v>0</v>
      </c>
      <c r="CM985">
        <v>2</v>
      </c>
      <c r="CN985">
        <v>0</v>
      </c>
      <c r="CO985">
        <v>7</v>
      </c>
      <c r="CP985" t="s">
        <v>121</v>
      </c>
      <c r="CQ985">
        <v>582</v>
      </c>
      <c r="CR985">
        <v>0</v>
      </c>
      <c r="CW985">
        <v>6829987</v>
      </c>
      <c r="CY985">
        <v>0</v>
      </c>
      <c r="CZ985">
        <v>0</v>
      </c>
      <c r="DA985">
        <v>0</v>
      </c>
      <c r="DB985">
        <v>1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</row>
    <row r="986" spans="1:113" x14ac:dyDescent="0.3">
      <c r="A986" t="str">
        <f>"06/16/2022 19:20:38.739"</f>
        <v>06/16/2022 19:20:38.739</v>
      </c>
      <c r="C986" t="str">
        <f t="shared" si="48"/>
        <v>FFBF5BC0</v>
      </c>
      <c r="D986" t="s">
        <v>113</v>
      </c>
      <c r="E986">
        <v>8</v>
      </c>
      <c r="H986">
        <v>206</v>
      </c>
      <c r="I986" t="s">
        <v>114</v>
      </c>
      <c r="J986" t="s">
        <v>115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>"19:20:38.492"</f>
        <v>19:20:38.492</v>
      </c>
      <c r="T986" t="str">
        <f>"19:20:38.492"</f>
        <v>19:20:38.492</v>
      </c>
      <c r="U986" t="str">
        <f t="shared" si="46"/>
        <v>AB63B2</v>
      </c>
      <c r="V986">
        <v>0</v>
      </c>
      <c r="W986">
        <v>0</v>
      </c>
      <c r="X986">
        <v>6</v>
      </c>
      <c r="Z986">
        <v>0</v>
      </c>
      <c r="AA986">
        <v>9</v>
      </c>
      <c r="AB986">
        <v>3</v>
      </c>
      <c r="AC986">
        <v>0</v>
      </c>
      <c r="AD986">
        <v>10</v>
      </c>
      <c r="AE986">
        <v>0</v>
      </c>
      <c r="AF986">
        <v>0</v>
      </c>
      <c r="AG986">
        <v>2</v>
      </c>
      <c r="AH986">
        <v>0</v>
      </c>
      <c r="AI986" t="s">
        <v>925</v>
      </c>
      <c r="AJ986">
        <v>41.985734000000001</v>
      </c>
      <c r="AK986" t="s">
        <v>921</v>
      </c>
      <c r="AL986">
        <v>-87.890388999999999</v>
      </c>
      <c r="AS986">
        <v>1</v>
      </c>
      <c r="AT986" t="s">
        <v>118</v>
      </c>
      <c r="AU986" t="b">
        <v>1</v>
      </c>
      <c r="AV986">
        <v>357.19</v>
      </c>
      <c r="AW986">
        <v>10.125</v>
      </c>
      <c r="AX986">
        <v>1</v>
      </c>
      <c r="AZ986">
        <v>7205</v>
      </c>
      <c r="BA986">
        <v>1</v>
      </c>
      <c r="BB986" t="str">
        <f t="shared" si="47"/>
        <v xml:space="preserve">KAP400  </v>
      </c>
      <c r="BC986">
        <v>1</v>
      </c>
      <c r="BE986">
        <v>0</v>
      </c>
      <c r="BF986">
        <v>0</v>
      </c>
      <c r="BG986">
        <v>0</v>
      </c>
      <c r="BI986">
        <v>1</v>
      </c>
      <c r="BJ986">
        <v>1</v>
      </c>
      <c r="BK986">
        <v>1</v>
      </c>
      <c r="BL986">
        <v>0</v>
      </c>
      <c r="BO986">
        <v>0</v>
      </c>
      <c r="BP986">
        <v>0</v>
      </c>
      <c r="BW986" t="str">
        <f>"19:20:38.495"</f>
        <v>19:20:38.495</v>
      </c>
      <c r="BX986" t="s">
        <v>119</v>
      </c>
      <c r="BY986" t="s">
        <v>120</v>
      </c>
      <c r="CJ986">
        <v>0</v>
      </c>
      <c r="CK986">
        <v>0</v>
      </c>
      <c r="CL986">
        <v>0</v>
      </c>
      <c r="CM986">
        <v>2</v>
      </c>
      <c r="CN986">
        <v>0</v>
      </c>
      <c r="CO986">
        <v>7</v>
      </c>
      <c r="CP986" t="s">
        <v>121</v>
      </c>
      <c r="CQ986">
        <v>582</v>
      </c>
      <c r="CR986">
        <v>0</v>
      </c>
      <c r="CW986">
        <v>6831312</v>
      </c>
      <c r="CY986">
        <v>0</v>
      </c>
      <c r="CZ986">
        <v>0</v>
      </c>
      <c r="DA986">
        <v>0</v>
      </c>
      <c r="DB986">
        <v>1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</row>
    <row r="987" spans="1:113" x14ac:dyDescent="0.3">
      <c r="A987" t="str">
        <f>"06/16/2022 19:20:39.849"</f>
        <v>06/16/2022 19:20:39.849</v>
      </c>
      <c r="C987" t="str">
        <f t="shared" si="48"/>
        <v>FFBF5BC0</v>
      </c>
      <c r="D987" t="s">
        <v>113</v>
      </c>
      <c r="E987">
        <v>8</v>
      </c>
      <c r="H987">
        <v>206</v>
      </c>
      <c r="I987" t="s">
        <v>114</v>
      </c>
      <c r="J987" t="s">
        <v>115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>"19:20:39.539"</f>
        <v>19:20:39.539</v>
      </c>
      <c r="T987" t="str">
        <f>"19:20:39.539"</f>
        <v>19:20:39.539</v>
      </c>
      <c r="U987" t="str">
        <f t="shared" si="46"/>
        <v>AB63B2</v>
      </c>
      <c r="V987">
        <v>0</v>
      </c>
      <c r="W987">
        <v>0</v>
      </c>
      <c r="X987">
        <v>6</v>
      </c>
      <c r="Z987">
        <v>0</v>
      </c>
      <c r="AA987">
        <v>9</v>
      </c>
      <c r="AB987">
        <v>3</v>
      </c>
      <c r="AC987">
        <v>0</v>
      </c>
      <c r="AD987">
        <v>10</v>
      </c>
      <c r="AE987">
        <v>0</v>
      </c>
      <c r="AF987">
        <v>0</v>
      </c>
      <c r="AG987">
        <v>2</v>
      </c>
      <c r="AH987">
        <v>0</v>
      </c>
      <c r="AI987" t="s">
        <v>926</v>
      </c>
      <c r="AJ987">
        <v>41.985776000000001</v>
      </c>
      <c r="AK987" t="s">
        <v>921</v>
      </c>
      <c r="AL987">
        <v>-87.890388999999999</v>
      </c>
      <c r="AS987">
        <v>1</v>
      </c>
      <c r="AT987" t="s">
        <v>118</v>
      </c>
      <c r="AU987" t="b">
        <v>1</v>
      </c>
      <c r="AV987">
        <v>357.19</v>
      </c>
      <c r="AW987">
        <v>10.125</v>
      </c>
      <c r="AX987">
        <v>1</v>
      </c>
      <c r="AZ987">
        <v>7205</v>
      </c>
      <c r="BA987">
        <v>1</v>
      </c>
      <c r="BB987" t="str">
        <f t="shared" si="47"/>
        <v xml:space="preserve">KAP400  </v>
      </c>
      <c r="BC987">
        <v>1</v>
      </c>
      <c r="BE987">
        <v>0</v>
      </c>
      <c r="BF987">
        <v>0</v>
      </c>
      <c r="BG987">
        <v>0</v>
      </c>
      <c r="BI987">
        <v>1</v>
      </c>
      <c r="BJ987">
        <v>1</v>
      </c>
      <c r="BK987">
        <v>1</v>
      </c>
      <c r="BL987">
        <v>0</v>
      </c>
      <c r="BO987">
        <v>0</v>
      </c>
      <c r="BP987">
        <v>0</v>
      </c>
      <c r="BW987" t="str">
        <f>"19:20:39.542"</f>
        <v>19:20:39.542</v>
      </c>
      <c r="BX987" t="s">
        <v>119</v>
      </c>
      <c r="BY987" t="s">
        <v>120</v>
      </c>
      <c r="CJ987">
        <v>0</v>
      </c>
      <c r="CK987">
        <v>0</v>
      </c>
      <c r="CL987">
        <v>0</v>
      </c>
      <c r="CM987">
        <v>2</v>
      </c>
      <c r="CN987">
        <v>0</v>
      </c>
      <c r="CO987">
        <v>7</v>
      </c>
      <c r="CP987" t="s">
        <v>121</v>
      </c>
      <c r="CQ987">
        <v>582</v>
      </c>
      <c r="CR987">
        <v>0</v>
      </c>
      <c r="CW987">
        <v>6832504</v>
      </c>
      <c r="CY987">
        <v>0</v>
      </c>
      <c r="CZ987">
        <v>0</v>
      </c>
      <c r="DA987">
        <v>0</v>
      </c>
      <c r="DB987">
        <v>1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</row>
    <row r="988" spans="1:113" x14ac:dyDescent="0.3">
      <c r="A988" t="str">
        <f>"06/16/2022 19:20:40.771"</f>
        <v>06/16/2022 19:20:40.771</v>
      </c>
      <c r="C988" t="str">
        <f t="shared" si="48"/>
        <v>FFBF5BC0</v>
      </c>
      <c r="D988" t="s">
        <v>113</v>
      </c>
      <c r="E988">
        <v>8</v>
      </c>
      <c r="H988">
        <v>206</v>
      </c>
      <c r="I988" t="s">
        <v>114</v>
      </c>
      <c r="J988" t="s">
        <v>115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>"19:20:40.570"</f>
        <v>19:20:40.570</v>
      </c>
      <c r="T988" t="str">
        <f>"19:20:40.570"</f>
        <v>19:20:40.570</v>
      </c>
      <c r="U988" t="str">
        <f t="shared" si="46"/>
        <v>AB63B2</v>
      </c>
      <c r="V988">
        <v>0</v>
      </c>
      <c r="W988">
        <v>0</v>
      </c>
      <c r="X988">
        <v>6</v>
      </c>
      <c r="Z988">
        <v>0</v>
      </c>
      <c r="AA988">
        <v>9</v>
      </c>
      <c r="AB988">
        <v>3</v>
      </c>
      <c r="AC988">
        <v>0</v>
      </c>
      <c r="AD988">
        <v>10</v>
      </c>
      <c r="AE988">
        <v>0</v>
      </c>
      <c r="AF988">
        <v>0</v>
      </c>
      <c r="AG988">
        <v>2</v>
      </c>
      <c r="AH988">
        <v>0</v>
      </c>
      <c r="AI988" t="s">
        <v>927</v>
      </c>
      <c r="AJ988">
        <v>41.985818999999999</v>
      </c>
      <c r="AK988" t="s">
        <v>921</v>
      </c>
      <c r="AL988">
        <v>-87.890388999999999</v>
      </c>
      <c r="AS988">
        <v>1</v>
      </c>
      <c r="AT988" t="s">
        <v>118</v>
      </c>
      <c r="AU988" t="b">
        <v>1</v>
      </c>
      <c r="AV988">
        <v>0</v>
      </c>
      <c r="AW988">
        <v>9.625</v>
      </c>
      <c r="AX988">
        <v>1</v>
      </c>
      <c r="AZ988">
        <v>7205</v>
      </c>
      <c r="BA988">
        <v>1</v>
      </c>
      <c r="BB988" t="str">
        <f t="shared" si="47"/>
        <v xml:space="preserve">KAP400  </v>
      </c>
      <c r="BC988">
        <v>1</v>
      </c>
      <c r="BE988">
        <v>0</v>
      </c>
      <c r="BF988">
        <v>0</v>
      </c>
      <c r="BG988">
        <v>0</v>
      </c>
      <c r="BI988">
        <v>1</v>
      </c>
      <c r="BJ988">
        <v>1</v>
      </c>
      <c r="BK988">
        <v>1</v>
      </c>
      <c r="BL988">
        <v>0</v>
      </c>
      <c r="BO988">
        <v>0</v>
      </c>
      <c r="BP988">
        <v>0</v>
      </c>
      <c r="BW988" t="str">
        <f>"19:20:40.571"</f>
        <v>19:20:40.571</v>
      </c>
      <c r="BX988" t="s">
        <v>119</v>
      </c>
      <c r="BY988" t="s">
        <v>120</v>
      </c>
      <c r="CJ988">
        <v>0</v>
      </c>
      <c r="CK988">
        <v>0</v>
      </c>
      <c r="CL988">
        <v>0</v>
      </c>
      <c r="CM988">
        <v>2</v>
      </c>
      <c r="CN988">
        <v>0</v>
      </c>
      <c r="CO988">
        <v>7</v>
      </c>
      <c r="CP988" t="s">
        <v>121</v>
      </c>
      <c r="CQ988">
        <v>581</v>
      </c>
      <c r="CR988">
        <v>0</v>
      </c>
      <c r="CW988">
        <v>15949248</v>
      </c>
      <c r="CY988">
        <v>0</v>
      </c>
      <c r="CZ988">
        <v>0</v>
      </c>
      <c r="DA988">
        <v>0</v>
      </c>
      <c r="DB988">
        <v>1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</row>
    <row r="989" spans="1:113" x14ac:dyDescent="0.3">
      <c r="A989" t="str">
        <f>"06/16/2022 19:20:41.740"</f>
        <v>06/16/2022 19:20:41.740</v>
      </c>
      <c r="C989" t="str">
        <f t="shared" si="48"/>
        <v>FFBF5BC0</v>
      </c>
      <c r="D989" t="s">
        <v>113</v>
      </c>
      <c r="E989">
        <v>8</v>
      </c>
      <c r="H989">
        <v>206</v>
      </c>
      <c r="I989" t="s">
        <v>114</v>
      </c>
      <c r="J989" t="s">
        <v>115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>"19:20:41.477"</f>
        <v>19:20:41.477</v>
      </c>
      <c r="T989" t="str">
        <f>"19:20:41.477"</f>
        <v>19:20:41.477</v>
      </c>
      <c r="U989" t="str">
        <f t="shared" si="46"/>
        <v>AB63B2</v>
      </c>
      <c r="V989">
        <v>0</v>
      </c>
      <c r="W989">
        <v>0</v>
      </c>
      <c r="X989">
        <v>6</v>
      </c>
      <c r="Z989">
        <v>0</v>
      </c>
      <c r="AA989">
        <v>9</v>
      </c>
      <c r="AB989">
        <v>3</v>
      </c>
      <c r="AC989">
        <v>0</v>
      </c>
      <c r="AD989">
        <v>10</v>
      </c>
      <c r="AE989">
        <v>0</v>
      </c>
      <c r="AF989">
        <v>0</v>
      </c>
      <c r="AG989">
        <v>2</v>
      </c>
      <c r="AH989">
        <v>0</v>
      </c>
      <c r="AI989" t="s">
        <v>928</v>
      </c>
      <c r="AJ989">
        <v>41.985861999999997</v>
      </c>
      <c r="AK989" t="s">
        <v>921</v>
      </c>
      <c r="AL989">
        <v>-87.890388999999999</v>
      </c>
      <c r="AS989">
        <v>1</v>
      </c>
      <c r="AT989" t="s">
        <v>118</v>
      </c>
      <c r="AU989" t="b">
        <v>1</v>
      </c>
      <c r="AV989">
        <v>0</v>
      </c>
      <c r="AW989">
        <v>9.625</v>
      </c>
      <c r="AX989">
        <v>1</v>
      </c>
      <c r="AZ989">
        <v>7205</v>
      </c>
      <c r="BA989">
        <v>1</v>
      </c>
      <c r="BB989" t="str">
        <f t="shared" si="47"/>
        <v xml:space="preserve">KAP400  </v>
      </c>
      <c r="BC989">
        <v>1</v>
      </c>
      <c r="BE989">
        <v>0</v>
      </c>
      <c r="BF989">
        <v>0</v>
      </c>
      <c r="BG989">
        <v>0</v>
      </c>
      <c r="BI989">
        <v>1</v>
      </c>
      <c r="BJ989">
        <v>1</v>
      </c>
      <c r="BK989">
        <v>1</v>
      </c>
      <c r="BL989">
        <v>0</v>
      </c>
      <c r="BO989">
        <v>0</v>
      </c>
      <c r="BP989">
        <v>0</v>
      </c>
      <c r="BW989" t="str">
        <f>"19:20:41.481"</f>
        <v>19:20:41.481</v>
      </c>
      <c r="BX989" t="s">
        <v>119</v>
      </c>
      <c r="BY989" t="s">
        <v>120</v>
      </c>
      <c r="CJ989">
        <v>0</v>
      </c>
      <c r="CK989">
        <v>0</v>
      </c>
      <c r="CL989">
        <v>0</v>
      </c>
      <c r="CM989">
        <v>2</v>
      </c>
      <c r="CN989">
        <v>0</v>
      </c>
      <c r="CO989">
        <v>7</v>
      </c>
      <c r="CP989" t="s">
        <v>121</v>
      </c>
      <c r="CQ989">
        <v>582</v>
      </c>
      <c r="CR989">
        <v>0</v>
      </c>
      <c r="CW989">
        <v>6834851</v>
      </c>
      <c r="CY989">
        <v>0</v>
      </c>
      <c r="CZ989">
        <v>0</v>
      </c>
      <c r="DA989">
        <v>0</v>
      </c>
      <c r="DB989">
        <v>1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</row>
    <row r="990" spans="1:113" x14ac:dyDescent="0.3">
      <c r="A990" t="str">
        <f>"06/16/2022 19:20:42.582"</f>
        <v>06/16/2022 19:20:42.582</v>
      </c>
      <c r="C990" t="str">
        <f t="shared" si="48"/>
        <v>FFBF5BC0</v>
      </c>
      <c r="D990" t="s">
        <v>113</v>
      </c>
      <c r="E990">
        <v>8</v>
      </c>
      <c r="H990">
        <v>206</v>
      </c>
      <c r="I990" t="s">
        <v>114</v>
      </c>
      <c r="J990" t="s">
        <v>115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>"19:20:42.383"</f>
        <v>19:20:42.383</v>
      </c>
      <c r="T990" t="str">
        <f>"19:20:42.383"</f>
        <v>19:20:42.383</v>
      </c>
      <c r="U990" t="str">
        <f t="shared" si="46"/>
        <v>AB63B2</v>
      </c>
      <c r="V990">
        <v>0</v>
      </c>
      <c r="W990">
        <v>0</v>
      </c>
      <c r="X990">
        <v>6</v>
      </c>
      <c r="Z990">
        <v>0</v>
      </c>
      <c r="AA990">
        <v>9</v>
      </c>
      <c r="AB990">
        <v>3</v>
      </c>
      <c r="AC990">
        <v>0</v>
      </c>
      <c r="AD990">
        <v>10</v>
      </c>
      <c r="AE990">
        <v>0</v>
      </c>
      <c r="AF990">
        <v>0</v>
      </c>
      <c r="AG990">
        <v>2</v>
      </c>
      <c r="AH990">
        <v>0</v>
      </c>
      <c r="AI990" t="s">
        <v>929</v>
      </c>
      <c r="AJ990">
        <v>41.985883999999999</v>
      </c>
      <c r="AK990" t="s">
        <v>930</v>
      </c>
      <c r="AL990">
        <v>-87.890410000000003</v>
      </c>
      <c r="AS990">
        <v>1</v>
      </c>
      <c r="AT990" t="s">
        <v>118</v>
      </c>
      <c r="AU990" t="b">
        <v>1</v>
      </c>
      <c r="AV990">
        <v>0</v>
      </c>
      <c r="AW990">
        <v>9.125</v>
      </c>
      <c r="AX990">
        <v>1</v>
      </c>
      <c r="AZ990">
        <v>7205</v>
      </c>
      <c r="BA990">
        <v>1</v>
      </c>
      <c r="BB990" t="str">
        <f t="shared" si="47"/>
        <v xml:space="preserve">KAP400  </v>
      </c>
      <c r="BC990">
        <v>1</v>
      </c>
      <c r="BE990">
        <v>0</v>
      </c>
      <c r="BF990">
        <v>0</v>
      </c>
      <c r="BG990">
        <v>0</v>
      </c>
      <c r="BI990">
        <v>1</v>
      </c>
      <c r="BJ990">
        <v>1</v>
      </c>
      <c r="BK990">
        <v>1</v>
      </c>
      <c r="BL990">
        <v>0</v>
      </c>
      <c r="BO990">
        <v>0</v>
      </c>
      <c r="BP990">
        <v>0</v>
      </c>
      <c r="BW990" t="str">
        <f>"19:20:42.385"</f>
        <v>19:20:42.385</v>
      </c>
      <c r="BX990" t="s">
        <v>119</v>
      </c>
      <c r="BY990" t="s">
        <v>120</v>
      </c>
      <c r="CJ990">
        <v>0</v>
      </c>
      <c r="CK990">
        <v>0</v>
      </c>
      <c r="CL990">
        <v>0</v>
      </c>
      <c r="CM990">
        <v>2</v>
      </c>
      <c r="CN990">
        <v>0</v>
      </c>
      <c r="CO990">
        <v>7</v>
      </c>
      <c r="CP990" t="s">
        <v>121</v>
      </c>
      <c r="CQ990">
        <v>582</v>
      </c>
      <c r="CR990">
        <v>0</v>
      </c>
      <c r="CW990">
        <v>6835963</v>
      </c>
      <c r="CY990">
        <v>0</v>
      </c>
      <c r="CZ990">
        <v>0</v>
      </c>
      <c r="DA990">
        <v>0</v>
      </c>
      <c r="DB990">
        <v>1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</row>
    <row r="991" spans="1:113" x14ac:dyDescent="0.3">
      <c r="A991" t="str">
        <f>"06/16/2022 19:20:43.457"</f>
        <v>06/16/2022 19:20:43.457</v>
      </c>
      <c r="C991" t="str">
        <f t="shared" si="48"/>
        <v>FFBF5BC0</v>
      </c>
      <c r="D991" t="s">
        <v>113</v>
      </c>
      <c r="E991">
        <v>8</v>
      </c>
      <c r="H991">
        <v>206</v>
      </c>
      <c r="I991" t="s">
        <v>114</v>
      </c>
      <c r="J991" t="s">
        <v>115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>"19:20:43.266"</f>
        <v>19:20:43.266</v>
      </c>
      <c r="T991" t="str">
        <f>"19:20:43.266"</f>
        <v>19:20:43.266</v>
      </c>
      <c r="U991" t="str">
        <f t="shared" si="46"/>
        <v>AB63B2</v>
      </c>
      <c r="V991">
        <v>0</v>
      </c>
      <c r="W991">
        <v>0</v>
      </c>
      <c r="X991">
        <v>6</v>
      </c>
      <c r="Z991">
        <v>0</v>
      </c>
      <c r="AA991">
        <v>9</v>
      </c>
      <c r="AB991">
        <v>3</v>
      </c>
      <c r="AC991">
        <v>0</v>
      </c>
      <c r="AD991">
        <v>10</v>
      </c>
      <c r="AE991">
        <v>0</v>
      </c>
      <c r="AF991">
        <v>0</v>
      </c>
      <c r="AG991">
        <v>2</v>
      </c>
      <c r="AH991">
        <v>0</v>
      </c>
      <c r="AI991" t="s">
        <v>931</v>
      </c>
      <c r="AJ991">
        <v>41.985926999999997</v>
      </c>
      <c r="AK991" t="s">
        <v>930</v>
      </c>
      <c r="AL991">
        <v>-87.890410000000003</v>
      </c>
      <c r="AS991">
        <v>1</v>
      </c>
      <c r="AT991" t="s">
        <v>118</v>
      </c>
      <c r="AU991" t="b">
        <v>1</v>
      </c>
      <c r="AV991">
        <v>0</v>
      </c>
      <c r="AW991">
        <v>9.125</v>
      </c>
      <c r="AX991">
        <v>1</v>
      </c>
      <c r="AZ991">
        <v>7205</v>
      </c>
      <c r="BA991">
        <v>1</v>
      </c>
      <c r="BB991" t="str">
        <f t="shared" si="47"/>
        <v xml:space="preserve">KAP400  </v>
      </c>
      <c r="BC991">
        <v>1</v>
      </c>
      <c r="BE991">
        <v>0</v>
      </c>
      <c r="BF991">
        <v>0</v>
      </c>
      <c r="BG991">
        <v>0</v>
      </c>
      <c r="BI991">
        <v>1</v>
      </c>
      <c r="BJ991">
        <v>1</v>
      </c>
      <c r="BK991">
        <v>1</v>
      </c>
      <c r="BL991">
        <v>0</v>
      </c>
      <c r="BO991">
        <v>0</v>
      </c>
      <c r="BP991">
        <v>0</v>
      </c>
      <c r="BW991" t="str">
        <f>"19:20:43.267"</f>
        <v>19:20:43.267</v>
      </c>
      <c r="BX991" t="s">
        <v>119</v>
      </c>
      <c r="BY991" t="s">
        <v>120</v>
      </c>
      <c r="CJ991">
        <v>0</v>
      </c>
      <c r="CK991">
        <v>0</v>
      </c>
      <c r="CL991">
        <v>0</v>
      </c>
      <c r="CM991">
        <v>2</v>
      </c>
      <c r="CN991">
        <v>0</v>
      </c>
      <c r="CO991">
        <v>7</v>
      </c>
      <c r="CP991" t="s">
        <v>121</v>
      </c>
      <c r="CQ991">
        <v>582</v>
      </c>
      <c r="CR991">
        <v>0</v>
      </c>
      <c r="CW991">
        <v>6836978</v>
      </c>
      <c r="CY991">
        <v>0</v>
      </c>
      <c r="CZ991">
        <v>0</v>
      </c>
      <c r="DA991">
        <v>0</v>
      </c>
      <c r="DB991">
        <v>1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</row>
    <row r="992" spans="1:113" x14ac:dyDescent="0.3">
      <c r="A992" t="str">
        <f>"06/16/2022 19:20:44.566"</f>
        <v>06/16/2022 19:20:44.566</v>
      </c>
      <c r="C992" t="str">
        <f t="shared" si="48"/>
        <v>FFBF5BC0</v>
      </c>
      <c r="D992" t="s">
        <v>113</v>
      </c>
      <c r="E992">
        <v>8</v>
      </c>
      <c r="H992">
        <v>206</v>
      </c>
      <c r="I992" t="s">
        <v>114</v>
      </c>
      <c r="J992" t="s">
        <v>115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>"19:20:44.289"</f>
        <v>19:20:44.289</v>
      </c>
      <c r="T992" t="str">
        <f>"19:20:44.289"</f>
        <v>19:20:44.289</v>
      </c>
      <c r="U992" t="str">
        <f t="shared" si="46"/>
        <v>AB63B2</v>
      </c>
      <c r="V992">
        <v>0</v>
      </c>
      <c r="W992">
        <v>0</v>
      </c>
      <c r="X992">
        <v>6</v>
      </c>
      <c r="Z992">
        <v>0</v>
      </c>
      <c r="AA992">
        <v>9</v>
      </c>
      <c r="AB992">
        <v>3</v>
      </c>
      <c r="AC992">
        <v>0</v>
      </c>
      <c r="AD992">
        <v>10</v>
      </c>
      <c r="AE992">
        <v>0</v>
      </c>
      <c r="AF992">
        <v>0</v>
      </c>
      <c r="AG992">
        <v>2</v>
      </c>
      <c r="AH992">
        <v>0</v>
      </c>
      <c r="AI992" t="s">
        <v>932</v>
      </c>
      <c r="AJ992">
        <v>41.985970000000002</v>
      </c>
      <c r="AK992" t="s">
        <v>921</v>
      </c>
      <c r="AL992">
        <v>-87.890388999999999</v>
      </c>
      <c r="AS992">
        <v>1</v>
      </c>
      <c r="AT992" t="s">
        <v>118</v>
      </c>
      <c r="AU992" t="b">
        <v>1</v>
      </c>
      <c r="AV992">
        <v>0</v>
      </c>
      <c r="AW992">
        <v>9.125</v>
      </c>
      <c r="AX992">
        <v>1</v>
      </c>
      <c r="AZ992">
        <v>7205</v>
      </c>
      <c r="BA992">
        <v>1</v>
      </c>
      <c r="BB992" t="str">
        <f t="shared" si="47"/>
        <v xml:space="preserve">KAP400  </v>
      </c>
      <c r="BC992">
        <v>1</v>
      </c>
      <c r="BE992">
        <v>0</v>
      </c>
      <c r="BF992">
        <v>0</v>
      </c>
      <c r="BG992">
        <v>0</v>
      </c>
      <c r="BI992">
        <v>1</v>
      </c>
      <c r="BJ992">
        <v>1</v>
      </c>
      <c r="BK992">
        <v>1</v>
      </c>
      <c r="BL992">
        <v>0</v>
      </c>
      <c r="BO992">
        <v>0</v>
      </c>
      <c r="BP992">
        <v>0</v>
      </c>
      <c r="BW992" t="str">
        <f>"19:20:44.295"</f>
        <v>19:20:44.295</v>
      </c>
      <c r="BX992" t="s">
        <v>119</v>
      </c>
      <c r="BY992" t="s">
        <v>120</v>
      </c>
      <c r="CJ992">
        <v>0</v>
      </c>
      <c r="CK992">
        <v>0</v>
      </c>
      <c r="CL992">
        <v>0</v>
      </c>
      <c r="CM992">
        <v>2</v>
      </c>
      <c r="CN992">
        <v>0</v>
      </c>
      <c r="CO992">
        <v>7</v>
      </c>
      <c r="CP992" t="s">
        <v>121</v>
      </c>
      <c r="CQ992">
        <v>581</v>
      </c>
      <c r="CR992">
        <v>0</v>
      </c>
      <c r="CW992">
        <v>15954091</v>
      </c>
      <c r="CY992">
        <v>0</v>
      </c>
      <c r="CZ992">
        <v>0</v>
      </c>
      <c r="DA992">
        <v>0</v>
      </c>
      <c r="DB992">
        <v>1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</row>
    <row r="993" spans="1:113" x14ac:dyDescent="0.3">
      <c r="A993" t="str">
        <f>"06/16/2022 19:20:45.707"</f>
        <v>06/16/2022 19:20:45.707</v>
      </c>
      <c r="C993" t="str">
        <f t="shared" si="48"/>
        <v>FFBF5BC0</v>
      </c>
      <c r="D993" t="s">
        <v>113</v>
      </c>
      <c r="E993">
        <v>8</v>
      </c>
      <c r="H993">
        <v>206</v>
      </c>
      <c r="I993" t="s">
        <v>114</v>
      </c>
      <c r="J993" t="s">
        <v>115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>"19:20:45.445"</f>
        <v>19:20:45.445</v>
      </c>
      <c r="T993" t="str">
        <f>"19:20:45.445"</f>
        <v>19:20:45.445</v>
      </c>
      <c r="U993" t="str">
        <f t="shared" si="46"/>
        <v>AB63B2</v>
      </c>
      <c r="V993">
        <v>0</v>
      </c>
      <c r="W993">
        <v>0</v>
      </c>
      <c r="X993">
        <v>6</v>
      </c>
      <c r="Z993">
        <v>0</v>
      </c>
      <c r="AA993">
        <v>9</v>
      </c>
      <c r="AB993">
        <v>3</v>
      </c>
      <c r="AC993">
        <v>0</v>
      </c>
      <c r="AD993">
        <v>10</v>
      </c>
      <c r="AE993">
        <v>0</v>
      </c>
      <c r="AF993">
        <v>0</v>
      </c>
      <c r="AG993">
        <v>2</v>
      </c>
      <c r="AH993">
        <v>0</v>
      </c>
      <c r="AI993" t="s">
        <v>933</v>
      </c>
      <c r="AJ993">
        <v>41.986012000000002</v>
      </c>
      <c r="AK993" t="s">
        <v>930</v>
      </c>
      <c r="AL993">
        <v>-87.890410000000003</v>
      </c>
      <c r="AS993">
        <v>1</v>
      </c>
      <c r="AT993" t="s">
        <v>118</v>
      </c>
      <c r="AU993" t="b">
        <v>1</v>
      </c>
      <c r="AV993">
        <v>0</v>
      </c>
      <c r="AW993">
        <v>9.125</v>
      </c>
      <c r="AX993">
        <v>1</v>
      </c>
      <c r="AZ993">
        <v>7205</v>
      </c>
      <c r="BA993">
        <v>1</v>
      </c>
      <c r="BB993" t="str">
        <f t="shared" si="47"/>
        <v xml:space="preserve">KAP400  </v>
      </c>
      <c r="BC993">
        <v>1</v>
      </c>
      <c r="BE993">
        <v>0</v>
      </c>
      <c r="BF993">
        <v>0</v>
      </c>
      <c r="BG993">
        <v>0</v>
      </c>
      <c r="BI993">
        <v>1</v>
      </c>
      <c r="BJ993">
        <v>1</v>
      </c>
      <c r="BK993">
        <v>1</v>
      </c>
      <c r="BL993">
        <v>0</v>
      </c>
      <c r="BO993">
        <v>0</v>
      </c>
      <c r="BP993">
        <v>0</v>
      </c>
      <c r="BW993" t="str">
        <f>"19:20:45.452"</f>
        <v>19:20:45.452</v>
      </c>
      <c r="BX993" t="s">
        <v>119</v>
      </c>
      <c r="BY993" t="s">
        <v>120</v>
      </c>
      <c r="CJ993">
        <v>0</v>
      </c>
      <c r="CK993">
        <v>0</v>
      </c>
      <c r="CL993">
        <v>0</v>
      </c>
      <c r="CM993">
        <v>2</v>
      </c>
      <c r="CN993">
        <v>0</v>
      </c>
      <c r="CO993">
        <v>7</v>
      </c>
      <c r="CP993" t="s">
        <v>121</v>
      </c>
      <c r="CQ993">
        <v>581</v>
      </c>
      <c r="CR993">
        <v>0</v>
      </c>
      <c r="CW993">
        <v>15955622</v>
      </c>
      <c r="CY993">
        <v>0</v>
      </c>
      <c r="CZ993">
        <v>0</v>
      </c>
      <c r="DA993">
        <v>0</v>
      </c>
      <c r="DB993">
        <v>1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</row>
    <row r="994" spans="1:113" x14ac:dyDescent="0.3">
      <c r="A994" t="str">
        <f>"06/16/2022 19:20:46.707"</f>
        <v>06/16/2022 19:20:46.707</v>
      </c>
      <c r="C994" t="str">
        <f t="shared" si="48"/>
        <v>FFBF5BC0</v>
      </c>
      <c r="D994" t="s">
        <v>113</v>
      </c>
      <c r="E994">
        <v>8</v>
      </c>
      <c r="H994">
        <v>206</v>
      </c>
      <c r="I994" t="s">
        <v>114</v>
      </c>
      <c r="J994" t="s">
        <v>115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>"19:20:46.445"</f>
        <v>19:20:46.445</v>
      </c>
      <c r="T994" t="str">
        <f>"19:20:46.445"</f>
        <v>19:20:46.445</v>
      </c>
      <c r="U994" t="str">
        <f t="shared" si="46"/>
        <v>AB63B2</v>
      </c>
      <c r="V994">
        <v>0</v>
      </c>
      <c r="W994">
        <v>0</v>
      </c>
      <c r="X994">
        <v>6</v>
      </c>
      <c r="Z994">
        <v>0</v>
      </c>
      <c r="AA994">
        <v>9</v>
      </c>
      <c r="AB994">
        <v>3</v>
      </c>
      <c r="AC994">
        <v>0</v>
      </c>
      <c r="AD994">
        <v>10</v>
      </c>
      <c r="AE994">
        <v>0</v>
      </c>
      <c r="AF994">
        <v>0</v>
      </c>
      <c r="AG994">
        <v>2</v>
      </c>
      <c r="AH994">
        <v>0</v>
      </c>
      <c r="AI994" t="s">
        <v>934</v>
      </c>
      <c r="AJ994">
        <v>41.986055</v>
      </c>
      <c r="AK994" t="s">
        <v>930</v>
      </c>
      <c r="AL994">
        <v>-87.890410000000003</v>
      </c>
      <c r="AS994">
        <v>1</v>
      </c>
      <c r="AT994" t="s">
        <v>118</v>
      </c>
      <c r="AU994" t="b">
        <v>1</v>
      </c>
      <c r="AV994">
        <v>0</v>
      </c>
      <c r="AW994">
        <v>9.125</v>
      </c>
      <c r="AX994">
        <v>1</v>
      </c>
      <c r="AZ994">
        <v>7205</v>
      </c>
      <c r="BA994">
        <v>1</v>
      </c>
      <c r="BB994" t="str">
        <f t="shared" si="47"/>
        <v xml:space="preserve">KAP400  </v>
      </c>
      <c r="BC994">
        <v>1</v>
      </c>
      <c r="BE994">
        <v>0</v>
      </c>
      <c r="BF994">
        <v>0</v>
      </c>
      <c r="BG994">
        <v>0</v>
      </c>
      <c r="BI994">
        <v>1</v>
      </c>
      <c r="BJ994">
        <v>1</v>
      </c>
      <c r="BK994">
        <v>1</v>
      </c>
      <c r="BL994">
        <v>0</v>
      </c>
      <c r="BO994">
        <v>0</v>
      </c>
      <c r="BP994">
        <v>0</v>
      </c>
      <c r="BW994" t="str">
        <f>"19:20:46.452"</f>
        <v>19:20:46.452</v>
      </c>
      <c r="BX994" t="s">
        <v>119</v>
      </c>
      <c r="BY994" t="s">
        <v>120</v>
      </c>
      <c r="CJ994">
        <v>0</v>
      </c>
      <c r="CK994">
        <v>0</v>
      </c>
      <c r="CL994">
        <v>0</v>
      </c>
      <c r="CM994">
        <v>2</v>
      </c>
      <c r="CN994">
        <v>0</v>
      </c>
      <c r="CO994">
        <v>7</v>
      </c>
      <c r="CP994" t="s">
        <v>121</v>
      </c>
      <c r="CQ994">
        <v>581</v>
      </c>
      <c r="CR994">
        <v>0</v>
      </c>
      <c r="CW994">
        <v>15957019</v>
      </c>
      <c r="CY994">
        <v>0</v>
      </c>
      <c r="CZ994">
        <v>0</v>
      </c>
      <c r="DA994">
        <v>0</v>
      </c>
      <c r="DB994">
        <v>1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</row>
    <row r="995" spans="1:113" x14ac:dyDescent="0.3">
      <c r="A995" t="str">
        <f>"06/16/2022 19:20:47.691"</f>
        <v>06/16/2022 19:20:47.691</v>
      </c>
      <c r="C995" t="str">
        <f t="shared" si="48"/>
        <v>FFBF5BC0</v>
      </c>
      <c r="D995" t="s">
        <v>113</v>
      </c>
      <c r="E995">
        <v>8</v>
      </c>
      <c r="H995">
        <v>206</v>
      </c>
      <c r="I995" t="s">
        <v>114</v>
      </c>
      <c r="J995" t="s">
        <v>115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>"19:20:47.469"</f>
        <v>19:20:47.469</v>
      </c>
      <c r="T995" t="str">
        <f>"19:20:47.469"</f>
        <v>19:20:47.469</v>
      </c>
      <c r="U995" t="str">
        <f t="shared" si="46"/>
        <v>AB63B2</v>
      </c>
      <c r="V995">
        <v>0</v>
      </c>
      <c r="W995">
        <v>0</v>
      </c>
      <c r="X995">
        <v>6</v>
      </c>
      <c r="Z995">
        <v>0</v>
      </c>
      <c r="AA995">
        <v>9</v>
      </c>
      <c r="AB995">
        <v>3</v>
      </c>
      <c r="AC995">
        <v>0</v>
      </c>
      <c r="AD995">
        <v>10</v>
      </c>
      <c r="AE995">
        <v>0</v>
      </c>
      <c r="AF995">
        <v>0</v>
      </c>
      <c r="AG995">
        <v>2</v>
      </c>
      <c r="AH995">
        <v>0</v>
      </c>
      <c r="AI995" t="s">
        <v>935</v>
      </c>
      <c r="AJ995">
        <v>41.986097999999998</v>
      </c>
      <c r="AK995" t="s">
        <v>921</v>
      </c>
      <c r="AL995">
        <v>-87.890388999999999</v>
      </c>
      <c r="AS995">
        <v>1</v>
      </c>
      <c r="AT995" t="s">
        <v>118</v>
      </c>
      <c r="AU995" t="b">
        <v>1</v>
      </c>
      <c r="AV995">
        <v>0</v>
      </c>
      <c r="AW995">
        <v>9.125</v>
      </c>
      <c r="AX995">
        <v>1</v>
      </c>
      <c r="AZ995">
        <v>7205</v>
      </c>
      <c r="BA995">
        <v>1</v>
      </c>
      <c r="BB995" t="str">
        <f t="shared" si="47"/>
        <v xml:space="preserve">KAP400  </v>
      </c>
      <c r="BC995">
        <v>1</v>
      </c>
      <c r="BE995">
        <v>0</v>
      </c>
      <c r="BF995">
        <v>0</v>
      </c>
      <c r="BG995">
        <v>0</v>
      </c>
      <c r="BI995">
        <v>1</v>
      </c>
      <c r="BJ995">
        <v>1</v>
      </c>
      <c r="BK995">
        <v>1</v>
      </c>
      <c r="BL995">
        <v>0</v>
      </c>
      <c r="BO995">
        <v>0</v>
      </c>
      <c r="BP995">
        <v>0</v>
      </c>
      <c r="BW995" t="str">
        <f>"19:20:47.469"</f>
        <v>19:20:47.469</v>
      </c>
      <c r="BX995" t="s">
        <v>119</v>
      </c>
      <c r="BY995" t="s">
        <v>120</v>
      </c>
      <c r="CJ995">
        <v>0</v>
      </c>
      <c r="CK995">
        <v>0</v>
      </c>
      <c r="CL995">
        <v>0</v>
      </c>
      <c r="CM995">
        <v>2</v>
      </c>
      <c r="CN995">
        <v>0</v>
      </c>
      <c r="CO995">
        <v>7</v>
      </c>
      <c r="CP995" t="s">
        <v>121</v>
      </c>
      <c r="CQ995">
        <v>582</v>
      </c>
      <c r="CR995">
        <v>0</v>
      </c>
      <c r="CW995">
        <v>6842197</v>
      </c>
      <c r="CY995">
        <v>0</v>
      </c>
      <c r="CZ995">
        <v>0</v>
      </c>
      <c r="DA995">
        <v>0</v>
      </c>
      <c r="DB995">
        <v>1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</row>
    <row r="996" spans="1:113" x14ac:dyDescent="0.3">
      <c r="A996" t="str">
        <f>"06/16/2022 19:20:48.754"</f>
        <v>06/16/2022 19:20:48.754</v>
      </c>
      <c r="C996" t="str">
        <f t="shared" si="48"/>
        <v>FFBF5BC0</v>
      </c>
      <c r="D996" t="s">
        <v>113</v>
      </c>
      <c r="E996">
        <v>8</v>
      </c>
      <c r="H996">
        <v>206</v>
      </c>
      <c r="I996" t="s">
        <v>114</v>
      </c>
      <c r="J996" t="s">
        <v>115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>"19:20:48.477"</f>
        <v>19:20:48.477</v>
      </c>
      <c r="T996" t="str">
        <f>"19:20:48.477"</f>
        <v>19:20:48.477</v>
      </c>
      <c r="U996" t="str">
        <f t="shared" si="46"/>
        <v>AB63B2</v>
      </c>
      <c r="V996">
        <v>0</v>
      </c>
      <c r="W996">
        <v>0</v>
      </c>
      <c r="X996">
        <v>6</v>
      </c>
      <c r="Z996">
        <v>0</v>
      </c>
      <c r="AA996">
        <v>9</v>
      </c>
      <c r="AB996">
        <v>3</v>
      </c>
      <c r="AC996">
        <v>0</v>
      </c>
      <c r="AD996">
        <v>10</v>
      </c>
      <c r="AE996">
        <v>0</v>
      </c>
      <c r="AF996">
        <v>0</v>
      </c>
      <c r="AG996">
        <v>2</v>
      </c>
      <c r="AH996">
        <v>0</v>
      </c>
      <c r="AI996" t="s">
        <v>936</v>
      </c>
      <c r="AJ996">
        <v>41.986141000000003</v>
      </c>
      <c r="AK996" t="s">
        <v>921</v>
      </c>
      <c r="AL996">
        <v>-87.890388999999999</v>
      </c>
      <c r="AS996">
        <v>1</v>
      </c>
      <c r="AT996" t="s">
        <v>118</v>
      </c>
      <c r="AU996" t="b">
        <v>1</v>
      </c>
      <c r="AV996">
        <v>0</v>
      </c>
      <c r="AW996">
        <v>9.625</v>
      </c>
      <c r="AX996">
        <v>1</v>
      </c>
      <c r="AZ996">
        <v>7205</v>
      </c>
      <c r="BA996">
        <v>1</v>
      </c>
      <c r="BB996" t="str">
        <f t="shared" si="47"/>
        <v xml:space="preserve">KAP400  </v>
      </c>
      <c r="BC996">
        <v>1</v>
      </c>
      <c r="BE996">
        <v>0</v>
      </c>
      <c r="BF996">
        <v>0</v>
      </c>
      <c r="BG996">
        <v>0</v>
      </c>
      <c r="BI996">
        <v>1</v>
      </c>
      <c r="BJ996">
        <v>1</v>
      </c>
      <c r="BK996">
        <v>1</v>
      </c>
      <c r="BL996">
        <v>0</v>
      </c>
      <c r="BO996">
        <v>0</v>
      </c>
      <c r="BP996">
        <v>0</v>
      </c>
      <c r="BW996" t="str">
        <f>"19:20:48.482"</f>
        <v>19:20:48.482</v>
      </c>
      <c r="BX996" t="s">
        <v>119</v>
      </c>
      <c r="BY996" t="s">
        <v>120</v>
      </c>
      <c r="CJ996">
        <v>0</v>
      </c>
      <c r="CK996">
        <v>0</v>
      </c>
      <c r="CL996">
        <v>0</v>
      </c>
      <c r="CM996">
        <v>2</v>
      </c>
      <c r="CN996">
        <v>0</v>
      </c>
      <c r="CO996">
        <v>7</v>
      </c>
      <c r="CP996" t="s">
        <v>121</v>
      </c>
      <c r="CQ996">
        <v>582</v>
      </c>
      <c r="CR996">
        <v>0</v>
      </c>
      <c r="CW996">
        <v>6843471</v>
      </c>
      <c r="CY996">
        <v>0</v>
      </c>
      <c r="CZ996">
        <v>0</v>
      </c>
      <c r="DA996">
        <v>0</v>
      </c>
      <c r="DB996">
        <v>1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</row>
    <row r="997" spans="1:113" x14ac:dyDescent="0.3">
      <c r="A997" t="str">
        <f>"06/16/2022 19:20:50.973"</f>
        <v>06/16/2022 19:20:50.973</v>
      </c>
      <c r="C997" t="str">
        <f t="shared" si="48"/>
        <v>FFBF5BC0</v>
      </c>
      <c r="D997" t="s">
        <v>113</v>
      </c>
      <c r="E997">
        <v>8</v>
      </c>
      <c r="H997">
        <v>206</v>
      </c>
      <c r="I997" t="s">
        <v>114</v>
      </c>
      <c r="J997" t="s">
        <v>115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>"19:20:50.680"</f>
        <v>19:20:50.680</v>
      </c>
      <c r="T997" t="str">
        <f>"19:20:50.680"</f>
        <v>19:20:50.680</v>
      </c>
      <c r="U997" t="str">
        <f t="shared" si="46"/>
        <v>AB63B2</v>
      </c>
      <c r="V997">
        <v>0</v>
      </c>
      <c r="W997">
        <v>0</v>
      </c>
      <c r="X997">
        <v>6</v>
      </c>
      <c r="Z997">
        <v>0</v>
      </c>
      <c r="AA997">
        <v>9</v>
      </c>
      <c r="AB997">
        <v>3</v>
      </c>
      <c r="AC997">
        <v>0</v>
      </c>
      <c r="AD997">
        <v>10</v>
      </c>
      <c r="AE997">
        <v>0</v>
      </c>
      <c r="AF997">
        <v>0</v>
      </c>
      <c r="AG997">
        <v>2</v>
      </c>
      <c r="AH997">
        <v>0</v>
      </c>
      <c r="AI997" t="s">
        <v>937</v>
      </c>
      <c r="AJ997">
        <v>41.986227</v>
      </c>
      <c r="AK997" t="s">
        <v>921</v>
      </c>
      <c r="AL997">
        <v>-87.890388999999999</v>
      </c>
      <c r="AS997">
        <v>1</v>
      </c>
      <c r="AT997" t="s">
        <v>118</v>
      </c>
      <c r="AU997" t="b">
        <v>1</v>
      </c>
      <c r="AV997">
        <v>0</v>
      </c>
      <c r="AW997">
        <v>10.125</v>
      </c>
      <c r="AX997">
        <v>1</v>
      </c>
      <c r="AZ997">
        <v>7205</v>
      </c>
      <c r="BA997">
        <v>1</v>
      </c>
      <c r="BB997" t="str">
        <f t="shared" si="47"/>
        <v xml:space="preserve">KAP400  </v>
      </c>
      <c r="BC997">
        <v>1</v>
      </c>
      <c r="BE997">
        <v>0</v>
      </c>
      <c r="BF997">
        <v>0</v>
      </c>
      <c r="BG997">
        <v>0</v>
      </c>
      <c r="BI997">
        <v>1</v>
      </c>
      <c r="BJ997">
        <v>1</v>
      </c>
      <c r="BK997">
        <v>1</v>
      </c>
      <c r="BL997">
        <v>0</v>
      </c>
      <c r="BO997">
        <v>0</v>
      </c>
      <c r="BP997">
        <v>0</v>
      </c>
      <c r="BW997" t="str">
        <f>"19:20:50.685"</f>
        <v>19:20:50.685</v>
      </c>
      <c r="BX997" t="s">
        <v>119</v>
      </c>
      <c r="BY997" t="s">
        <v>120</v>
      </c>
      <c r="CJ997">
        <v>0</v>
      </c>
      <c r="CK997">
        <v>0</v>
      </c>
      <c r="CL997">
        <v>0</v>
      </c>
      <c r="CM997">
        <v>2</v>
      </c>
      <c r="CN997">
        <v>0</v>
      </c>
      <c r="CO997">
        <v>7</v>
      </c>
      <c r="CP997" t="s">
        <v>121</v>
      </c>
      <c r="CQ997">
        <v>582</v>
      </c>
      <c r="CR997">
        <v>0</v>
      </c>
      <c r="CW997">
        <v>6846086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</row>
    <row r="998" spans="1:113" x14ac:dyDescent="0.3">
      <c r="A998" t="str">
        <f>"06/16/2022 19:20:51.843"</f>
        <v>06/16/2022 19:20:51.843</v>
      </c>
      <c r="C998" t="str">
        <f t="shared" si="48"/>
        <v>FFBF5BC0</v>
      </c>
      <c r="D998" t="s">
        <v>113</v>
      </c>
      <c r="E998">
        <v>8</v>
      </c>
      <c r="H998">
        <v>206</v>
      </c>
      <c r="I998" t="s">
        <v>114</v>
      </c>
      <c r="J998" t="s">
        <v>115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>"19:20:51.570"</f>
        <v>19:20:51.570</v>
      </c>
      <c r="T998" t="str">
        <f>"19:20:51.570"</f>
        <v>19:20:51.570</v>
      </c>
      <c r="U998" t="str">
        <f t="shared" si="46"/>
        <v>AB63B2</v>
      </c>
      <c r="V998">
        <v>0</v>
      </c>
      <c r="W998">
        <v>0</v>
      </c>
      <c r="X998">
        <v>6</v>
      </c>
      <c r="Z998">
        <v>0</v>
      </c>
      <c r="AA998">
        <v>9</v>
      </c>
      <c r="AB998">
        <v>3</v>
      </c>
      <c r="AC998">
        <v>0</v>
      </c>
      <c r="AD998">
        <v>10</v>
      </c>
      <c r="AE998">
        <v>0</v>
      </c>
      <c r="AF998">
        <v>0</v>
      </c>
      <c r="AG998">
        <v>2</v>
      </c>
      <c r="AH998">
        <v>0</v>
      </c>
      <c r="AI998" t="s">
        <v>938</v>
      </c>
      <c r="AJ998">
        <v>41.986269999999998</v>
      </c>
      <c r="AK998" t="s">
        <v>921</v>
      </c>
      <c r="AL998">
        <v>-87.890388999999999</v>
      </c>
      <c r="AS998">
        <v>1</v>
      </c>
      <c r="AT998" t="s">
        <v>118</v>
      </c>
      <c r="AU998" t="b">
        <v>1</v>
      </c>
      <c r="AV998">
        <v>0</v>
      </c>
      <c r="AW998">
        <v>10.625</v>
      </c>
      <c r="AX998">
        <v>1</v>
      </c>
      <c r="AZ998">
        <v>7205</v>
      </c>
      <c r="BA998">
        <v>1</v>
      </c>
      <c r="BB998" t="str">
        <f t="shared" si="47"/>
        <v xml:space="preserve">KAP400  </v>
      </c>
      <c r="BC998">
        <v>1</v>
      </c>
      <c r="BE998">
        <v>0</v>
      </c>
      <c r="BF998">
        <v>0</v>
      </c>
      <c r="BG998">
        <v>0</v>
      </c>
      <c r="BI998">
        <v>1</v>
      </c>
      <c r="BJ998">
        <v>1</v>
      </c>
      <c r="BK998">
        <v>1</v>
      </c>
      <c r="BL998">
        <v>0</v>
      </c>
      <c r="BO998">
        <v>0</v>
      </c>
      <c r="BP998">
        <v>0</v>
      </c>
      <c r="BW998" t="str">
        <f>"19:20:51.572"</f>
        <v>19:20:51.572</v>
      </c>
      <c r="BX998" t="s">
        <v>119</v>
      </c>
      <c r="BY998" t="s">
        <v>120</v>
      </c>
      <c r="CJ998">
        <v>0</v>
      </c>
      <c r="CK998">
        <v>0</v>
      </c>
      <c r="CL998">
        <v>0</v>
      </c>
      <c r="CM998">
        <v>2</v>
      </c>
      <c r="CN998">
        <v>0</v>
      </c>
      <c r="CO998">
        <v>7</v>
      </c>
      <c r="CP998" t="s">
        <v>121</v>
      </c>
      <c r="CQ998">
        <v>582</v>
      </c>
      <c r="CR998">
        <v>0</v>
      </c>
      <c r="CW998">
        <v>6847119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</row>
    <row r="999" spans="1:113" x14ac:dyDescent="0.3">
      <c r="A999" t="str">
        <f>"06/16/2022 19:20:52.910"</f>
        <v>06/16/2022 19:20:52.910</v>
      </c>
      <c r="C999" t="str">
        <f t="shared" si="48"/>
        <v>FFBF5BC0</v>
      </c>
      <c r="D999" t="s">
        <v>113</v>
      </c>
      <c r="E999">
        <v>8</v>
      </c>
      <c r="H999">
        <v>206</v>
      </c>
      <c r="I999" t="s">
        <v>114</v>
      </c>
      <c r="J999" t="s">
        <v>115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>"19:20:52.688"</f>
        <v>19:20:52.688</v>
      </c>
      <c r="T999" t="str">
        <f>"19:20:52.688"</f>
        <v>19:20:52.688</v>
      </c>
      <c r="U999" t="str">
        <f t="shared" si="46"/>
        <v>AB63B2</v>
      </c>
      <c r="V999">
        <v>0</v>
      </c>
      <c r="W999">
        <v>0</v>
      </c>
      <c r="X999">
        <v>6</v>
      </c>
      <c r="Z999">
        <v>0</v>
      </c>
      <c r="AA999">
        <v>9</v>
      </c>
      <c r="AB999">
        <v>3</v>
      </c>
      <c r="AC999">
        <v>0</v>
      </c>
      <c r="AD999">
        <v>10</v>
      </c>
      <c r="AE999">
        <v>0</v>
      </c>
      <c r="AF999">
        <v>0</v>
      </c>
      <c r="AG999">
        <v>2</v>
      </c>
      <c r="AH999">
        <v>0</v>
      </c>
      <c r="AI999" t="s">
        <v>939</v>
      </c>
      <c r="AJ999">
        <v>41.986333999999999</v>
      </c>
      <c r="AK999" t="s">
        <v>921</v>
      </c>
      <c r="AL999">
        <v>-87.890388999999999</v>
      </c>
      <c r="AS999">
        <v>1</v>
      </c>
      <c r="AT999" t="s">
        <v>118</v>
      </c>
      <c r="AU999" t="b">
        <v>1</v>
      </c>
      <c r="AV999">
        <v>0</v>
      </c>
      <c r="AW999">
        <v>11.625</v>
      </c>
      <c r="AX999">
        <v>1</v>
      </c>
      <c r="AZ999">
        <v>7205</v>
      </c>
      <c r="BA999">
        <v>1</v>
      </c>
      <c r="BB999" t="str">
        <f t="shared" si="47"/>
        <v xml:space="preserve">KAP400  </v>
      </c>
      <c r="BC999">
        <v>1</v>
      </c>
      <c r="BE999">
        <v>0</v>
      </c>
      <c r="BF999">
        <v>0</v>
      </c>
      <c r="BG999">
        <v>0</v>
      </c>
      <c r="BI999">
        <v>1</v>
      </c>
      <c r="BJ999">
        <v>1</v>
      </c>
      <c r="BK999">
        <v>1</v>
      </c>
      <c r="BL999">
        <v>0</v>
      </c>
      <c r="BO999">
        <v>0</v>
      </c>
      <c r="BP999">
        <v>0</v>
      </c>
      <c r="BW999" t="str">
        <f>"19:20:52.692"</f>
        <v>19:20:52.692</v>
      </c>
      <c r="BX999" t="s">
        <v>119</v>
      </c>
      <c r="BY999" t="s">
        <v>120</v>
      </c>
      <c r="CJ999">
        <v>0</v>
      </c>
      <c r="CK999">
        <v>0</v>
      </c>
      <c r="CL999">
        <v>0</v>
      </c>
      <c r="CM999">
        <v>2</v>
      </c>
      <c r="CN999">
        <v>0</v>
      </c>
      <c r="CO999">
        <v>7</v>
      </c>
      <c r="CP999" t="s">
        <v>121</v>
      </c>
      <c r="CQ999">
        <v>579</v>
      </c>
      <c r="CR999">
        <v>0</v>
      </c>
      <c r="CW999">
        <v>2360356</v>
      </c>
      <c r="CY999">
        <v>0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</row>
    <row r="1000" spans="1:113" x14ac:dyDescent="0.3">
      <c r="A1000" t="str">
        <f>"06/16/2022 19:20:53.973"</f>
        <v>06/16/2022 19:20:53.973</v>
      </c>
      <c r="C1000" t="str">
        <f t="shared" si="48"/>
        <v>FFBF5BC0</v>
      </c>
      <c r="D1000" t="s">
        <v>113</v>
      </c>
      <c r="E1000">
        <v>8</v>
      </c>
      <c r="H1000">
        <v>206</v>
      </c>
      <c r="I1000" t="s">
        <v>114</v>
      </c>
      <c r="J1000" t="s">
        <v>115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>"19:20:53.594"</f>
        <v>19:20:53.594</v>
      </c>
      <c r="T1000" t="str">
        <f>"19:20:53.594"</f>
        <v>19:20:53.594</v>
      </c>
      <c r="U1000" t="str">
        <f t="shared" si="46"/>
        <v>AB63B2</v>
      </c>
      <c r="V1000">
        <v>0</v>
      </c>
      <c r="W1000">
        <v>0</v>
      </c>
      <c r="X1000">
        <v>6</v>
      </c>
      <c r="Z1000">
        <v>0</v>
      </c>
      <c r="AA1000">
        <v>9</v>
      </c>
      <c r="AB1000">
        <v>3</v>
      </c>
      <c r="AC1000">
        <v>0</v>
      </c>
      <c r="AD1000">
        <v>10</v>
      </c>
      <c r="AE1000">
        <v>0</v>
      </c>
      <c r="AF1000">
        <v>0</v>
      </c>
      <c r="AG1000">
        <v>2</v>
      </c>
      <c r="AH1000">
        <v>0</v>
      </c>
      <c r="AI1000" t="s">
        <v>940</v>
      </c>
      <c r="AJ1000">
        <v>41.986376999999997</v>
      </c>
      <c r="AK1000" t="s">
        <v>930</v>
      </c>
      <c r="AL1000">
        <v>-87.890410000000003</v>
      </c>
      <c r="AS1000">
        <v>1</v>
      </c>
      <c r="AT1000" t="s">
        <v>118</v>
      </c>
      <c r="AU1000" t="b">
        <v>1</v>
      </c>
      <c r="AV1000">
        <v>0</v>
      </c>
      <c r="AW1000">
        <v>12.125</v>
      </c>
      <c r="AX1000">
        <v>1</v>
      </c>
      <c r="AZ1000">
        <v>7205</v>
      </c>
      <c r="BA1000">
        <v>1</v>
      </c>
      <c r="BB1000" t="str">
        <f t="shared" si="47"/>
        <v xml:space="preserve">KAP400  </v>
      </c>
      <c r="BC1000">
        <v>1</v>
      </c>
      <c r="BE1000">
        <v>0</v>
      </c>
      <c r="BF1000">
        <v>0</v>
      </c>
      <c r="BG1000">
        <v>0</v>
      </c>
      <c r="BI1000">
        <v>1</v>
      </c>
      <c r="BJ1000">
        <v>1</v>
      </c>
      <c r="BK1000">
        <v>1</v>
      </c>
      <c r="BL1000">
        <v>0</v>
      </c>
      <c r="BO1000">
        <v>0</v>
      </c>
      <c r="BP1000">
        <v>0</v>
      </c>
      <c r="BW1000" t="str">
        <f>"19:20:53.598"</f>
        <v>19:20:53.598</v>
      </c>
      <c r="BX1000" t="s">
        <v>119</v>
      </c>
      <c r="BY1000" t="s">
        <v>120</v>
      </c>
      <c r="CJ1000">
        <v>0</v>
      </c>
      <c r="CK1000">
        <v>0</v>
      </c>
      <c r="CL1000">
        <v>0</v>
      </c>
      <c r="CM1000">
        <v>2</v>
      </c>
      <c r="CN1000">
        <v>0</v>
      </c>
      <c r="CO1000">
        <v>7</v>
      </c>
      <c r="CP1000" t="s">
        <v>121</v>
      </c>
      <c r="CQ1000">
        <v>579</v>
      </c>
      <c r="CR1000">
        <v>0</v>
      </c>
      <c r="CW1000">
        <v>2362029</v>
      </c>
      <c r="CY1000">
        <v>0</v>
      </c>
      <c r="CZ1000">
        <v>0</v>
      </c>
      <c r="DA1000">
        <v>0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</row>
    <row r="1001" spans="1:113" x14ac:dyDescent="0.3">
      <c r="A1001" t="str">
        <f>"06/16/2022 19:20:54.879"</f>
        <v>06/16/2022 19:20:54.879</v>
      </c>
      <c r="C1001" t="str">
        <f t="shared" si="48"/>
        <v>FFBF5BC0</v>
      </c>
      <c r="D1001" t="s">
        <v>113</v>
      </c>
      <c r="E1001">
        <v>8</v>
      </c>
      <c r="H1001">
        <v>206</v>
      </c>
      <c r="I1001" t="s">
        <v>114</v>
      </c>
      <c r="J1001" t="s">
        <v>115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>"19:20:54.633"</f>
        <v>19:20:54.633</v>
      </c>
      <c r="T1001" t="str">
        <f>"19:20:54.633"</f>
        <v>19:20:54.633</v>
      </c>
      <c r="U1001" t="str">
        <f t="shared" si="46"/>
        <v>AB63B2</v>
      </c>
      <c r="V1001">
        <v>0</v>
      </c>
      <c r="W1001">
        <v>0</v>
      </c>
      <c r="X1001">
        <v>6</v>
      </c>
      <c r="Z1001">
        <v>0</v>
      </c>
      <c r="AA1001">
        <v>9</v>
      </c>
      <c r="AB1001">
        <v>3</v>
      </c>
      <c r="AC1001">
        <v>0</v>
      </c>
      <c r="AD1001">
        <v>10</v>
      </c>
      <c r="AE1001">
        <v>0</v>
      </c>
      <c r="AF1001">
        <v>0</v>
      </c>
      <c r="AG1001">
        <v>2</v>
      </c>
      <c r="AH1001">
        <v>0</v>
      </c>
      <c r="AI1001" t="s">
        <v>941</v>
      </c>
      <c r="AJ1001">
        <v>41.986441999999997</v>
      </c>
      <c r="AK1001" t="s">
        <v>930</v>
      </c>
      <c r="AL1001">
        <v>-87.890410000000003</v>
      </c>
      <c r="AS1001">
        <v>1</v>
      </c>
      <c r="AT1001" t="s">
        <v>118</v>
      </c>
      <c r="AU1001" t="b">
        <v>1</v>
      </c>
      <c r="AV1001">
        <v>0</v>
      </c>
      <c r="AW1001">
        <v>12.625</v>
      </c>
      <c r="AX1001">
        <v>1</v>
      </c>
      <c r="AZ1001">
        <v>7205</v>
      </c>
      <c r="BA1001">
        <v>1</v>
      </c>
      <c r="BB1001" t="str">
        <f t="shared" si="47"/>
        <v xml:space="preserve">KAP400  </v>
      </c>
      <c r="BC1001">
        <v>1</v>
      </c>
      <c r="BE1001">
        <v>0</v>
      </c>
      <c r="BF1001">
        <v>0</v>
      </c>
      <c r="BG1001">
        <v>0</v>
      </c>
      <c r="BI1001">
        <v>1</v>
      </c>
      <c r="BJ1001">
        <v>1</v>
      </c>
      <c r="BK1001">
        <v>1</v>
      </c>
      <c r="BL1001">
        <v>0</v>
      </c>
      <c r="BO1001">
        <v>0</v>
      </c>
      <c r="BP1001">
        <v>0</v>
      </c>
      <c r="BW1001" t="str">
        <f>"19:20:54.634"</f>
        <v>19:20:54.634</v>
      </c>
      <c r="BX1001" t="s">
        <v>119</v>
      </c>
      <c r="BY1001" t="s">
        <v>120</v>
      </c>
      <c r="CJ1001">
        <v>0</v>
      </c>
      <c r="CK1001">
        <v>0</v>
      </c>
      <c r="CL1001">
        <v>0</v>
      </c>
      <c r="CM1001">
        <v>2</v>
      </c>
      <c r="CN1001">
        <v>0</v>
      </c>
      <c r="CO1001">
        <v>7</v>
      </c>
      <c r="CP1001" t="s">
        <v>121</v>
      </c>
      <c r="CQ1001">
        <v>579</v>
      </c>
      <c r="CR1001">
        <v>0</v>
      </c>
      <c r="CW1001">
        <v>2363934</v>
      </c>
      <c r="CY1001">
        <v>0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</row>
    <row r="1002" spans="1:113" x14ac:dyDescent="0.3">
      <c r="A1002" t="str">
        <f>"06/16/2022 19:20:55.801"</f>
        <v>06/16/2022 19:20:55.801</v>
      </c>
      <c r="C1002" t="str">
        <f t="shared" si="48"/>
        <v>FFBF5BC0</v>
      </c>
      <c r="D1002" t="s">
        <v>113</v>
      </c>
      <c r="E1002">
        <v>8</v>
      </c>
      <c r="H1002">
        <v>206</v>
      </c>
      <c r="I1002" t="s">
        <v>114</v>
      </c>
      <c r="J1002" t="s">
        <v>115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>"19:20:55.570"</f>
        <v>19:20:55.570</v>
      </c>
      <c r="T1002" t="str">
        <f>"19:20:55.570"</f>
        <v>19:20:55.570</v>
      </c>
      <c r="U1002" t="str">
        <f t="shared" si="46"/>
        <v>AB63B2</v>
      </c>
      <c r="V1002">
        <v>0</v>
      </c>
      <c r="W1002">
        <v>0</v>
      </c>
      <c r="X1002">
        <v>6</v>
      </c>
      <c r="Z1002">
        <v>0</v>
      </c>
      <c r="AA1002">
        <v>9</v>
      </c>
      <c r="AB1002">
        <v>3</v>
      </c>
      <c r="AC1002">
        <v>0</v>
      </c>
      <c r="AD1002">
        <v>10</v>
      </c>
      <c r="AE1002">
        <v>0</v>
      </c>
      <c r="AF1002">
        <v>0</v>
      </c>
      <c r="AG1002">
        <v>2</v>
      </c>
      <c r="AH1002">
        <v>0</v>
      </c>
      <c r="AI1002" t="s">
        <v>942</v>
      </c>
      <c r="AJ1002">
        <v>41.986505999999999</v>
      </c>
      <c r="AK1002" t="s">
        <v>921</v>
      </c>
      <c r="AL1002">
        <v>-87.890388999999999</v>
      </c>
      <c r="AS1002">
        <v>1</v>
      </c>
      <c r="AT1002" t="s">
        <v>118</v>
      </c>
      <c r="AU1002" t="b">
        <v>1</v>
      </c>
      <c r="AV1002">
        <v>0</v>
      </c>
      <c r="AW1002">
        <v>13.125</v>
      </c>
      <c r="AX1002">
        <v>1</v>
      </c>
      <c r="AZ1002">
        <v>7205</v>
      </c>
      <c r="BA1002">
        <v>1</v>
      </c>
      <c r="BB1002" t="str">
        <f t="shared" si="47"/>
        <v xml:space="preserve">KAP400  </v>
      </c>
      <c r="BC1002">
        <v>1</v>
      </c>
      <c r="BE1002">
        <v>0</v>
      </c>
      <c r="BF1002">
        <v>0</v>
      </c>
      <c r="BG1002">
        <v>0</v>
      </c>
      <c r="BI1002">
        <v>1</v>
      </c>
      <c r="BJ1002">
        <v>1</v>
      </c>
      <c r="BK1002">
        <v>1</v>
      </c>
      <c r="BL1002">
        <v>0</v>
      </c>
      <c r="BO1002">
        <v>0</v>
      </c>
      <c r="BP1002">
        <v>0</v>
      </c>
      <c r="BW1002" t="str">
        <f>"19:20:55.571"</f>
        <v>19:20:55.571</v>
      </c>
      <c r="BX1002" t="s">
        <v>119</v>
      </c>
      <c r="BY1002" t="s">
        <v>120</v>
      </c>
      <c r="CJ1002">
        <v>0</v>
      </c>
      <c r="CK1002">
        <v>0</v>
      </c>
      <c r="CL1002">
        <v>0</v>
      </c>
      <c r="CM1002">
        <v>2</v>
      </c>
      <c r="CN1002">
        <v>0</v>
      </c>
      <c r="CO1002">
        <v>7</v>
      </c>
      <c r="CP1002" t="s">
        <v>121</v>
      </c>
      <c r="CQ1002">
        <v>581</v>
      </c>
      <c r="CR1002">
        <v>0</v>
      </c>
      <c r="CW1002">
        <v>15968887</v>
      </c>
      <c r="CY1002">
        <v>0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</row>
    <row r="1003" spans="1:113" x14ac:dyDescent="0.3">
      <c r="A1003" t="str">
        <f>"06/16/2022 19:20:56.770"</f>
        <v>06/16/2022 19:20:56.770</v>
      </c>
      <c r="C1003" t="str">
        <f t="shared" si="48"/>
        <v>FFBF5BC0</v>
      </c>
      <c r="D1003" t="s">
        <v>113</v>
      </c>
      <c r="E1003">
        <v>8</v>
      </c>
      <c r="H1003">
        <v>206</v>
      </c>
      <c r="I1003" t="s">
        <v>114</v>
      </c>
      <c r="J1003" t="s">
        <v>115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>"19:20:56.531"</f>
        <v>19:20:56.531</v>
      </c>
      <c r="T1003" t="str">
        <f>"19:20:56.531"</f>
        <v>19:20:56.531</v>
      </c>
      <c r="U1003" t="str">
        <f t="shared" si="46"/>
        <v>AB63B2</v>
      </c>
      <c r="V1003">
        <v>0</v>
      </c>
      <c r="W1003">
        <v>0</v>
      </c>
      <c r="X1003">
        <v>6</v>
      </c>
      <c r="Z1003">
        <v>0</v>
      </c>
      <c r="AA1003">
        <v>9</v>
      </c>
      <c r="AB1003">
        <v>3</v>
      </c>
      <c r="AC1003">
        <v>0</v>
      </c>
      <c r="AD1003">
        <v>10</v>
      </c>
      <c r="AE1003">
        <v>0</v>
      </c>
      <c r="AF1003">
        <v>0</v>
      </c>
      <c r="AG1003">
        <v>2</v>
      </c>
      <c r="AH1003">
        <v>0</v>
      </c>
      <c r="AI1003" t="s">
        <v>943</v>
      </c>
      <c r="AJ1003">
        <v>41.986548999999997</v>
      </c>
      <c r="AK1003" t="s">
        <v>921</v>
      </c>
      <c r="AL1003">
        <v>-87.890388999999999</v>
      </c>
      <c r="AS1003">
        <v>1</v>
      </c>
      <c r="AT1003" t="s">
        <v>118</v>
      </c>
      <c r="AU1003" t="b">
        <v>1</v>
      </c>
      <c r="AV1003">
        <v>0</v>
      </c>
      <c r="AW1003">
        <v>13.625</v>
      </c>
      <c r="AX1003">
        <v>1</v>
      </c>
      <c r="AZ1003">
        <v>7205</v>
      </c>
      <c r="BA1003">
        <v>1</v>
      </c>
      <c r="BB1003" t="str">
        <f t="shared" si="47"/>
        <v xml:space="preserve">KAP400  </v>
      </c>
      <c r="BC1003">
        <v>1</v>
      </c>
      <c r="BE1003">
        <v>0</v>
      </c>
      <c r="BF1003">
        <v>0</v>
      </c>
      <c r="BG1003">
        <v>0</v>
      </c>
      <c r="BI1003">
        <v>1</v>
      </c>
      <c r="BJ1003">
        <v>1</v>
      </c>
      <c r="BK1003">
        <v>1</v>
      </c>
      <c r="BL1003">
        <v>0</v>
      </c>
      <c r="BO1003">
        <v>0</v>
      </c>
      <c r="BP1003">
        <v>0</v>
      </c>
      <c r="BW1003" t="str">
        <f>"19:20:56.534"</f>
        <v>19:20:56.534</v>
      </c>
      <c r="BX1003" t="s">
        <v>119</v>
      </c>
      <c r="BY1003" t="s">
        <v>120</v>
      </c>
      <c r="CJ1003">
        <v>0</v>
      </c>
      <c r="CK1003">
        <v>0</v>
      </c>
      <c r="CL1003">
        <v>0</v>
      </c>
      <c r="CM1003">
        <v>2</v>
      </c>
      <c r="CN1003">
        <v>0</v>
      </c>
      <c r="CO1003">
        <v>7</v>
      </c>
      <c r="CP1003" t="s">
        <v>121</v>
      </c>
      <c r="CQ1003">
        <v>581</v>
      </c>
      <c r="CR1003">
        <v>0</v>
      </c>
      <c r="CW1003">
        <v>15970181</v>
      </c>
      <c r="CY1003">
        <v>0</v>
      </c>
      <c r="CZ1003">
        <v>0</v>
      </c>
      <c r="DA1003">
        <v>0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</row>
    <row r="1004" spans="1:113" x14ac:dyDescent="0.3">
      <c r="A1004" t="str">
        <f>"06/16/2022 19:20:57.692"</f>
        <v>06/16/2022 19:20:57.692</v>
      </c>
      <c r="C1004" t="str">
        <f t="shared" si="48"/>
        <v>FFBF5BC0</v>
      </c>
      <c r="D1004" t="s">
        <v>113</v>
      </c>
      <c r="E1004">
        <v>8</v>
      </c>
      <c r="H1004">
        <v>206</v>
      </c>
      <c r="I1004" t="s">
        <v>114</v>
      </c>
      <c r="J1004" t="s">
        <v>115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>"19:20:57.453"</f>
        <v>19:20:57.453</v>
      </c>
      <c r="T1004" t="str">
        <f>"19:20:57.453"</f>
        <v>19:20:57.453</v>
      </c>
      <c r="U1004" t="str">
        <f t="shared" si="46"/>
        <v>AB63B2</v>
      </c>
      <c r="V1004">
        <v>0</v>
      </c>
      <c r="W1004">
        <v>0</v>
      </c>
      <c r="X1004">
        <v>6</v>
      </c>
      <c r="Z1004">
        <v>0</v>
      </c>
      <c r="AA1004">
        <v>9</v>
      </c>
      <c r="AB1004">
        <v>3</v>
      </c>
      <c r="AC1004">
        <v>0</v>
      </c>
      <c r="AD1004">
        <v>10</v>
      </c>
      <c r="AE1004">
        <v>0</v>
      </c>
      <c r="AF1004">
        <v>0</v>
      </c>
      <c r="AG1004">
        <v>2</v>
      </c>
      <c r="AH1004">
        <v>0</v>
      </c>
      <c r="AI1004" t="s">
        <v>944</v>
      </c>
      <c r="AJ1004">
        <v>41.986612999999998</v>
      </c>
      <c r="AK1004" t="s">
        <v>930</v>
      </c>
      <c r="AL1004">
        <v>-87.890410000000003</v>
      </c>
      <c r="AS1004">
        <v>1</v>
      </c>
      <c r="AT1004" t="s">
        <v>118</v>
      </c>
      <c r="AU1004" t="b">
        <v>1</v>
      </c>
      <c r="AV1004">
        <v>0</v>
      </c>
      <c r="AW1004">
        <v>14.125</v>
      </c>
      <c r="AX1004">
        <v>1</v>
      </c>
      <c r="AZ1004">
        <v>7205</v>
      </c>
      <c r="BA1004">
        <v>1</v>
      </c>
      <c r="BB1004" t="str">
        <f t="shared" si="47"/>
        <v xml:space="preserve">KAP400  </v>
      </c>
      <c r="BC1004">
        <v>1</v>
      </c>
      <c r="BE1004">
        <v>0</v>
      </c>
      <c r="BF1004">
        <v>0</v>
      </c>
      <c r="BG1004">
        <v>0</v>
      </c>
      <c r="BI1004">
        <v>1</v>
      </c>
      <c r="BJ1004">
        <v>1</v>
      </c>
      <c r="BK1004">
        <v>1</v>
      </c>
      <c r="BL1004">
        <v>0</v>
      </c>
      <c r="BO1004">
        <v>0</v>
      </c>
      <c r="BP1004">
        <v>0</v>
      </c>
      <c r="BW1004" t="str">
        <f>"19:20:57.457"</f>
        <v>19:20:57.457</v>
      </c>
      <c r="BX1004" t="s">
        <v>119</v>
      </c>
      <c r="BY1004" t="s">
        <v>120</v>
      </c>
      <c r="CJ1004">
        <v>0</v>
      </c>
      <c r="CK1004">
        <v>0</v>
      </c>
      <c r="CL1004">
        <v>0</v>
      </c>
      <c r="CM1004">
        <v>2</v>
      </c>
      <c r="CN1004">
        <v>0</v>
      </c>
      <c r="CO1004">
        <v>7</v>
      </c>
      <c r="CP1004" t="s">
        <v>121</v>
      </c>
      <c r="CQ1004">
        <v>579</v>
      </c>
      <c r="CR1004">
        <v>0</v>
      </c>
      <c r="CW1004">
        <v>2369196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</row>
    <row r="1005" spans="1:113" x14ac:dyDescent="0.3">
      <c r="A1005" t="str">
        <f>"06/16/2022 19:20:58.645"</f>
        <v>06/16/2022 19:20:58.645</v>
      </c>
      <c r="C1005" t="str">
        <f t="shared" si="48"/>
        <v>FFBF5BC0</v>
      </c>
      <c r="D1005" t="s">
        <v>113</v>
      </c>
      <c r="E1005">
        <v>8</v>
      </c>
      <c r="H1005">
        <v>206</v>
      </c>
      <c r="I1005" t="s">
        <v>114</v>
      </c>
      <c r="J1005" t="s">
        <v>115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>"19:20:58.398"</f>
        <v>19:20:58.398</v>
      </c>
      <c r="T1005" t="str">
        <f>"19:20:58.398"</f>
        <v>19:20:58.398</v>
      </c>
      <c r="U1005" t="str">
        <f t="shared" si="46"/>
        <v>AB63B2</v>
      </c>
      <c r="V1005">
        <v>0</v>
      </c>
      <c r="W1005">
        <v>0</v>
      </c>
      <c r="X1005">
        <v>6</v>
      </c>
      <c r="Z1005">
        <v>0</v>
      </c>
      <c r="AA1005">
        <v>9</v>
      </c>
      <c r="AB1005">
        <v>3</v>
      </c>
      <c r="AC1005">
        <v>0</v>
      </c>
      <c r="AD1005">
        <v>10</v>
      </c>
      <c r="AE1005">
        <v>0</v>
      </c>
      <c r="AF1005">
        <v>0</v>
      </c>
      <c r="AG1005">
        <v>2</v>
      </c>
      <c r="AH1005">
        <v>0</v>
      </c>
      <c r="AI1005" t="s">
        <v>945</v>
      </c>
      <c r="AJ1005">
        <v>41.986677999999998</v>
      </c>
      <c r="AK1005" t="s">
        <v>930</v>
      </c>
      <c r="AL1005">
        <v>-87.890410000000003</v>
      </c>
      <c r="AS1005">
        <v>1</v>
      </c>
      <c r="AT1005" t="s">
        <v>118</v>
      </c>
      <c r="AU1005" t="b">
        <v>1</v>
      </c>
      <c r="AV1005">
        <v>0</v>
      </c>
      <c r="AW1005">
        <v>14.625</v>
      </c>
      <c r="AX1005">
        <v>1</v>
      </c>
      <c r="AZ1005">
        <v>7205</v>
      </c>
      <c r="BA1005">
        <v>1</v>
      </c>
      <c r="BB1005" t="str">
        <f t="shared" si="47"/>
        <v xml:space="preserve">KAP400  </v>
      </c>
      <c r="BC1005">
        <v>1</v>
      </c>
      <c r="BE1005">
        <v>0</v>
      </c>
      <c r="BF1005">
        <v>0</v>
      </c>
      <c r="BG1005">
        <v>0</v>
      </c>
      <c r="BI1005">
        <v>1</v>
      </c>
      <c r="BJ1005">
        <v>1</v>
      </c>
      <c r="BK1005">
        <v>1</v>
      </c>
      <c r="BL1005">
        <v>0</v>
      </c>
      <c r="BO1005">
        <v>0</v>
      </c>
      <c r="BP1005">
        <v>0</v>
      </c>
      <c r="BW1005" t="str">
        <f>"19:20:58.406"</f>
        <v>19:20:58.406</v>
      </c>
      <c r="BX1005" t="s">
        <v>119</v>
      </c>
      <c r="BY1005" t="s">
        <v>120</v>
      </c>
      <c r="CJ1005">
        <v>0</v>
      </c>
      <c r="CK1005">
        <v>0</v>
      </c>
      <c r="CL1005">
        <v>0</v>
      </c>
      <c r="CM1005">
        <v>2</v>
      </c>
      <c r="CN1005">
        <v>0</v>
      </c>
      <c r="CO1005">
        <v>7</v>
      </c>
      <c r="CP1005" t="s">
        <v>121</v>
      </c>
      <c r="CQ1005">
        <v>581</v>
      </c>
      <c r="CR1005">
        <v>0</v>
      </c>
      <c r="CW1005">
        <v>15972550</v>
      </c>
      <c r="CY1005">
        <v>0</v>
      </c>
      <c r="CZ1005">
        <v>0</v>
      </c>
      <c r="DA1005">
        <v>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</row>
    <row r="1006" spans="1:113" x14ac:dyDescent="0.3">
      <c r="A1006" t="str">
        <f>"06/16/2022 19:20:59.583"</f>
        <v>06/16/2022 19:20:59.583</v>
      </c>
      <c r="C1006" t="str">
        <f t="shared" si="48"/>
        <v>FFBF5BC0</v>
      </c>
      <c r="D1006" t="s">
        <v>113</v>
      </c>
      <c r="E1006">
        <v>8</v>
      </c>
      <c r="H1006">
        <v>206</v>
      </c>
      <c r="I1006" t="s">
        <v>114</v>
      </c>
      <c r="J1006" t="s">
        <v>115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>"19:20:59.359"</f>
        <v>19:20:59.359</v>
      </c>
      <c r="T1006" t="str">
        <f>"19:20:59.359"</f>
        <v>19:20:59.359</v>
      </c>
      <c r="U1006" t="str">
        <f t="shared" si="46"/>
        <v>AB63B2</v>
      </c>
      <c r="V1006">
        <v>0</v>
      </c>
      <c r="W1006">
        <v>0</v>
      </c>
      <c r="X1006">
        <v>6</v>
      </c>
      <c r="Z1006">
        <v>0</v>
      </c>
      <c r="AA1006">
        <v>9</v>
      </c>
      <c r="AB1006">
        <v>3</v>
      </c>
      <c r="AC1006">
        <v>0</v>
      </c>
      <c r="AD1006">
        <v>10</v>
      </c>
      <c r="AE1006">
        <v>0</v>
      </c>
      <c r="AF1006">
        <v>0</v>
      </c>
      <c r="AG1006">
        <v>2</v>
      </c>
      <c r="AH1006">
        <v>0</v>
      </c>
      <c r="AI1006" t="s">
        <v>946</v>
      </c>
      <c r="AJ1006">
        <v>41.986742</v>
      </c>
      <c r="AK1006" t="s">
        <v>921</v>
      </c>
      <c r="AL1006">
        <v>-87.890388999999999</v>
      </c>
      <c r="AS1006">
        <v>1</v>
      </c>
      <c r="AT1006" t="s">
        <v>118</v>
      </c>
      <c r="AU1006" t="b">
        <v>1</v>
      </c>
      <c r="AV1006">
        <v>0</v>
      </c>
      <c r="AW1006">
        <v>15.125</v>
      </c>
      <c r="AX1006">
        <v>1</v>
      </c>
      <c r="AZ1006">
        <v>7205</v>
      </c>
      <c r="BA1006">
        <v>1</v>
      </c>
      <c r="BB1006" t="str">
        <f t="shared" si="47"/>
        <v xml:space="preserve">KAP400  </v>
      </c>
      <c r="BC1006">
        <v>1</v>
      </c>
      <c r="BE1006">
        <v>0</v>
      </c>
      <c r="BF1006">
        <v>0</v>
      </c>
      <c r="BG1006">
        <v>0</v>
      </c>
      <c r="BI1006">
        <v>1</v>
      </c>
      <c r="BJ1006">
        <v>1</v>
      </c>
      <c r="BK1006">
        <v>1</v>
      </c>
      <c r="BL1006">
        <v>0</v>
      </c>
      <c r="BO1006">
        <v>0</v>
      </c>
      <c r="BP1006">
        <v>0</v>
      </c>
      <c r="BW1006" t="str">
        <f>"19:20:59.364"</f>
        <v>19:20:59.364</v>
      </c>
      <c r="BX1006" t="s">
        <v>119</v>
      </c>
      <c r="BY1006" t="s">
        <v>120</v>
      </c>
      <c r="CJ1006">
        <v>0</v>
      </c>
      <c r="CK1006">
        <v>0</v>
      </c>
      <c r="CL1006">
        <v>0</v>
      </c>
      <c r="CM1006">
        <v>2</v>
      </c>
      <c r="CN1006">
        <v>0</v>
      </c>
      <c r="CO1006">
        <v>7</v>
      </c>
      <c r="CP1006" t="s">
        <v>121</v>
      </c>
      <c r="CQ1006">
        <v>582</v>
      </c>
      <c r="CR1006">
        <v>0</v>
      </c>
      <c r="CW1006">
        <v>6856269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</row>
    <row r="1007" spans="1:113" x14ac:dyDescent="0.3">
      <c r="A1007" t="str">
        <f>"06/16/2022 19:21:00.723"</f>
        <v>06/16/2022 19:21:00.723</v>
      </c>
      <c r="C1007" t="str">
        <f t="shared" si="48"/>
        <v>FFBF5BC0</v>
      </c>
      <c r="D1007" t="s">
        <v>113</v>
      </c>
      <c r="E1007">
        <v>8</v>
      </c>
      <c r="H1007">
        <v>206</v>
      </c>
      <c r="I1007" t="s">
        <v>114</v>
      </c>
      <c r="J1007" t="s">
        <v>115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>"19:21:00.445"</f>
        <v>19:21:00.445</v>
      </c>
      <c r="T1007" t="str">
        <f>"19:21:00.445"</f>
        <v>19:21:00.445</v>
      </c>
      <c r="U1007" t="str">
        <f t="shared" si="46"/>
        <v>AB63B2</v>
      </c>
      <c r="V1007">
        <v>0</v>
      </c>
      <c r="W1007">
        <v>0</v>
      </c>
      <c r="X1007">
        <v>6</v>
      </c>
      <c r="Z1007">
        <v>0</v>
      </c>
      <c r="AA1007">
        <v>9</v>
      </c>
      <c r="AB1007">
        <v>3</v>
      </c>
      <c r="AC1007">
        <v>0</v>
      </c>
      <c r="AD1007">
        <v>10</v>
      </c>
      <c r="AE1007">
        <v>0</v>
      </c>
      <c r="AF1007">
        <v>0</v>
      </c>
      <c r="AG1007">
        <v>2</v>
      </c>
      <c r="AH1007">
        <v>0</v>
      </c>
      <c r="AI1007" t="s">
        <v>947</v>
      </c>
      <c r="AJ1007">
        <v>41.986806000000001</v>
      </c>
      <c r="AK1007" t="s">
        <v>921</v>
      </c>
      <c r="AL1007">
        <v>-87.890388999999999</v>
      </c>
      <c r="AS1007">
        <v>1</v>
      </c>
      <c r="AT1007" t="s">
        <v>118</v>
      </c>
      <c r="AU1007" t="b">
        <v>1</v>
      </c>
      <c r="AV1007">
        <v>2.81</v>
      </c>
      <c r="AW1007">
        <v>16.125</v>
      </c>
      <c r="AX1007">
        <v>1</v>
      </c>
      <c r="AZ1007">
        <v>7205</v>
      </c>
      <c r="BA1007">
        <v>1</v>
      </c>
      <c r="BB1007" t="str">
        <f t="shared" si="47"/>
        <v xml:space="preserve">KAP400  </v>
      </c>
      <c r="BC1007">
        <v>1</v>
      </c>
      <c r="BE1007">
        <v>0</v>
      </c>
      <c r="BF1007">
        <v>0</v>
      </c>
      <c r="BG1007">
        <v>0</v>
      </c>
      <c r="BI1007">
        <v>1</v>
      </c>
      <c r="BJ1007">
        <v>1</v>
      </c>
      <c r="BK1007">
        <v>1</v>
      </c>
      <c r="BL1007">
        <v>0</v>
      </c>
      <c r="BO1007">
        <v>0</v>
      </c>
      <c r="BP1007">
        <v>0</v>
      </c>
      <c r="BW1007" t="str">
        <f>"19:21:00.445"</f>
        <v>19:21:00.445</v>
      </c>
      <c r="BX1007" t="s">
        <v>119</v>
      </c>
      <c r="BY1007" t="s">
        <v>120</v>
      </c>
      <c r="CJ1007">
        <v>0</v>
      </c>
      <c r="CK1007">
        <v>0</v>
      </c>
      <c r="CL1007">
        <v>0</v>
      </c>
      <c r="CM1007">
        <v>2</v>
      </c>
      <c r="CN1007">
        <v>0</v>
      </c>
      <c r="CO1007">
        <v>7</v>
      </c>
      <c r="CP1007" t="s">
        <v>121</v>
      </c>
      <c r="CQ1007">
        <v>581</v>
      </c>
      <c r="CR1007">
        <v>0</v>
      </c>
      <c r="CW1007">
        <v>15975282</v>
      </c>
      <c r="CY1007">
        <v>0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</row>
    <row r="1008" spans="1:113" x14ac:dyDescent="0.3">
      <c r="A1008" t="str">
        <f>"06/16/2022 19:21:01.645"</f>
        <v>06/16/2022 19:21:01.645</v>
      </c>
      <c r="C1008" t="str">
        <f t="shared" si="48"/>
        <v>FFBF5BC0</v>
      </c>
      <c r="D1008" t="s">
        <v>113</v>
      </c>
      <c r="E1008">
        <v>8</v>
      </c>
      <c r="H1008">
        <v>206</v>
      </c>
      <c r="I1008" t="s">
        <v>114</v>
      </c>
      <c r="J1008" t="s">
        <v>115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>"19:21:01.375"</f>
        <v>19:21:01.375</v>
      </c>
      <c r="T1008" t="str">
        <f>"19:21:01.375"</f>
        <v>19:21:01.375</v>
      </c>
      <c r="U1008" t="str">
        <f t="shared" si="46"/>
        <v>AB63B2</v>
      </c>
      <c r="V1008">
        <v>0</v>
      </c>
      <c r="W1008">
        <v>0</v>
      </c>
      <c r="X1008">
        <v>6</v>
      </c>
      <c r="Z1008">
        <v>0</v>
      </c>
      <c r="AA1008">
        <v>9</v>
      </c>
      <c r="AB1008">
        <v>3</v>
      </c>
      <c r="AC1008">
        <v>0</v>
      </c>
      <c r="AD1008">
        <v>10</v>
      </c>
      <c r="AE1008">
        <v>0</v>
      </c>
      <c r="AF1008">
        <v>0</v>
      </c>
      <c r="AG1008">
        <v>2</v>
      </c>
      <c r="AH1008">
        <v>0</v>
      </c>
      <c r="AI1008" t="s">
        <v>948</v>
      </c>
      <c r="AJ1008">
        <v>41.986891999999997</v>
      </c>
      <c r="AK1008" t="s">
        <v>921</v>
      </c>
      <c r="AL1008">
        <v>-87.890388999999999</v>
      </c>
      <c r="AS1008">
        <v>1</v>
      </c>
      <c r="AT1008" t="s">
        <v>118</v>
      </c>
      <c r="AU1008" t="b">
        <v>1</v>
      </c>
      <c r="AV1008">
        <v>0</v>
      </c>
      <c r="AW1008">
        <v>16.125</v>
      </c>
      <c r="AX1008">
        <v>1</v>
      </c>
      <c r="AZ1008">
        <v>7205</v>
      </c>
      <c r="BA1008">
        <v>1</v>
      </c>
      <c r="BB1008" t="str">
        <f t="shared" si="47"/>
        <v xml:space="preserve">KAP400  </v>
      </c>
      <c r="BC1008">
        <v>1</v>
      </c>
      <c r="BE1008">
        <v>0</v>
      </c>
      <c r="BF1008">
        <v>0</v>
      </c>
      <c r="BG1008">
        <v>0</v>
      </c>
      <c r="BI1008">
        <v>1</v>
      </c>
      <c r="BJ1008">
        <v>1</v>
      </c>
      <c r="BK1008">
        <v>1</v>
      </c>
      <c r="BL1008">
        <v>0</v>
      </c>
      <c r="BO1008">
        <v>0</v>
      </c>
      <c r="BP1008">
        <v>0</v>
      </c>
      <c r="BW1008" t="str">
        <f>"19:21:01.376"</f>
        <v>19:21:01.376</v>
      </c>
      <c r="BX1008" t="s">
        <v>119</v>
      </c>
      <c r="BY1008" t="s">
        <v>120</v>
      </c>
      <c r="CJ1008">
        <v>0</v>
      </c>
      <c r="CK1008">
        <v>0</v>
      </c>
      <c r="CL1008">
        <v>0</v>
      </c>
      <c r="CM1008">
        <v>2</v>
      </c>
      <c r="CN1008">
        <v>0</v>
      </c>
      <c r="CO1008">
        <v>7</v>
      </c>
      <c r="CP1008" t="s">
        <v>121</v>
      </c>
      <c r="CQ1008">
        <v>581</v>
      </c>
      <c r="CR1008">
        <v>0</v>
      </c>
      <c r="CW1008">
        <v>15976504</v>
      </c>
      <c r="CY1008">
        <v>0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</row>
    <row r="1009" spans="1:113" x14ac:dyDescent="0.3">
      <c r="A1009" t="str">
        <f>"06/16/2022 19:21:02.707"</f>
        <v>06/16/2022 19:21:02.707</v>
      </c>
      <c r="C1009" t="str">
        <f t="shared" si="48"/>
        <v>FFBF5BC0</v>
      </c>
      <c r="D1009" t="s">
        <v>113</v>
      </c>
      <c r="E1009">
        <v>8</v>
      </c>
      <c r="H1009">
        <v>206</v>
      </c>
      <c r="I1009" t="s">
        <v>114</v>
      </c>
      <c r="J1009" t="s">
        <v>115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>"19:21:02.484"</f>
        <v>19:21:02.484</v>
      </c>
      <c r="T1009" t="str">
        <f>"19:21:02.484"</f>
        <v>19:21:02.484</v>
      </c>
      <c r="U1009" t="str">
        <f t="shared" si="46"/>
        <v>AB63B2</v>
      </c>
      <c r="V1009">
        <v>0</v>
      </c>
      <c r="W1009">
        <v>0</v>
      </c>
      <c r="X1009">
        <v>6</v>
      </c>
      <c r="Z1009">
        <v>0</v>
      </c>
      <c r="AA1009">
        <v>9</v>
      </c>
      <c r="AB1009">
        <v>3</v>
      </c>
      <c r="AC1009">
        <v>0</v>
      </c>
      <c r="AD1009">
        <v>10</v>
      </c>
      <c r="AE1009">
        <v>0</v>
      </c>
      <c r="AF1009">
        <v>0</v>
      </c>
      <c r="AG1009">
        <v>2</v>
      </c>
      <c r="AH1009">
        <v>0</v>
      </c>
      <c r="AI1009" t="s">
        <v>949</v>
      </c>
      <c r="AJ1009">
        <v>41.986956999999997</v>
      </c>
      <c r="AK1009" t="s">
        <v>921</v>
      </c>
      <c r="AL1009">
        <v>-87.890388999999999</v>
      </c>
      <c r="AS1009">
        <v>1</v>
      </c>
      <c r="AT1009" t="s">
        <v>118</v>
      </c>
      <c r="AU1009" t="b">
        <v>1</v>
      </c>
      <c r="AV1009">
        <v>0</v>
      </c>
      <c r="AW1009">
        <v>16.125</v>
      </c>
      <c r="AX1009">
        <v>1</v>
      </c>
      <c r="AZ1009">
        <v>7205</v>
      </c>
      <c r="BA1009">
        <v>1</v>
      </c>
      <c r="BB1009" t="str">
        <f t="shared" si="47"/>
        <v xml:space="preserve">KAP400  </v>
      </c>
      <c r="BC1009">
        <v>1</v>
      </c>
      <c r="BE1009">
        <v>0</v>
      </c>
      <c r="BF1009">
        <v>0</v>
      </c>
      <c r="BG1009">
        <v>0</v>
      </c>
      <c r="BI1009">
        <v>1</v>
      </c>
      <c r="BJ1009">
        <v>1</v>
      </c>
      <c r="BK1009">
        <v>1</v>
      </c>
      <c r="BL1009">
        <v>0</v>
      </c>
      <c r="BO1009">
        <v>0</v>
      </c>
      <c r="BP1009">
        <v>0</v>
      </c>
      <c r="BW1009" t="str">
        <f>"19:21:02.485"</f>
        <v>19:21:02.485</v>
      </c>
      <c r="BX1009" t="s">
        <v>119</v>
      </c>
      <c r="BY1009" t="s">
        <v>120</v>
      </c>
      <c r="CJ1009">
        <v>0</v>
      </c>
      <c r="CK1009">
        <v>0</v>
      </c>
      <c r="CL1009">
        <v>0</v>
      </c>
      <c r="CM1009">
        <v>2</v>
      </c>
      <c r="CN1009">
        <v>0</v>
      </c>
      <c r="CO1009">
        <v>7</v>
      </c>
      <c r="CP1009" t="s">
        <v>121</v>
      </c>
      <c r="CQ1009">
        <v>581</v>
      </c>
      <c r="CR1009">
        <v>0</v>
      </c>
      <c r="CW1009">
        <v>15977961</v>
      </c>
      <c r="CY1009">
        <v>0</v>
      </c>
      <c r="CZ1009">
        <v>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</row>
    <row r="1010" spans="1:113" x14ac:dyDescent="0.3">
      <c r="A1010" t="str">
        <f>"06/16/2022 19:21:03.754"</f>
        <v>06/16/2022 19:21:03.754</v>
      </c>
      <c r="C1010" t="str">
        <f t="shared" si="48"/>
        <v>FFBF5BC0</v>
      </c>
      <c r="D1010" t="s">
        <v>113</v>
      </c>
      <c r="E1010">
        <v>8</v>
      </c>
      <c r="H1010">
        <v>206</v>
      </c>
      <c r="I1010" t="s">
        <v>114</v>
      </c>
      <c r="J1010" t="s">
        <v>115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>"19:21:03.500"</f>
        <v>19:21:03.500</v>
      </c>
      <c r="T1010" t="str">
        <f>"19:21:03.500"</f>
        <v>19:21:03.500</v>
      </c>
      <c r="U1010" t="str">
        <f t="shared" si="46"/>
        <v>AB63B2</v>
      </c>
      <c r="V1010">
        <v>0</v>
      </c>
      <c r="W1010">
        <v>0</v>
      </c>
      <c r="X1010">
        <v>6</v>
      </c>
      <c r="Z1010">
        <v>0</v>
      </c>
      <c r="AA1010">
        <v>9</v>
      </c>
      <c r="AB1010">
        <v>3</v>
      </c>
      <c r="AC1010">
        <v>0</v>
      </c>
      <c r="AD1010">
        <v>10</v>
      </c>
      <c r="AE1010">
        <v>0</v>
      </c>
      <c r="AF1010">
        <v>0</v>
      </c>
      <c r="AG1010">
        <v>2</v>
      </c>
      <c r="AH1010">
        <v>0</v>
      </c>
      <c r="AI1010" t="s">
        <v>950</v>
      </c>
      <c r="AJ1010">
        <v>41.987042000000002</v>
      </c>
      <c r="AK1010" t="s">
        <v>921</v>
      </c>
      <c r="AL1010">
        <v>-87.890388999999999</v>
      </c>
      <c r="AS1010">
        <v>1</v>
      </c>
      <c r="AT1010" t="s">
        <v>118</v>
      </c>
      <c r="AU1010" t="b">
        <v>1</v>
      </c>
      <c r="AV1010">
        <v>357.19</v>
      </c>
      <c r="AW1010">
        <v>17.125</v>
      </c>
      <c r="AX1010">
        <v>1</v>
      </c>
      <c r="AZ1010">
        <v>7205</v>
      </c>
      <c r="BA1010">
        <v>1</v>
      </c>
      <c r="BB1010" t="str">
        <f t="shared" si="47"/>
        <v xml:space="preserve">KAP400  </v>
      </c>
      <c r="BC1010">
        <v>1</v>
      </c>
      <c r="BE1010">
        <v>0</v>
      </c>
      <c r="BF1010">
        <v>0</v>
      </c>
      <c r="BG1010">
        <v>0</v>
      </c>
      <c r="BI1010">
        <v>1</v>
      </c>
      <c r="BJ1010">
        <v>1</v>
      </c>
      <c r="BK1010">
        <v>1</v>
      </c>
      <c r="BL1010">
        <v>0</v>
      </c>
      <c r="BO1010">
        <v>0</v>
      </c>
      <c r="BP1010">
        <v>0</v>
      </c>
      <c r="BW1010" t="str">
        <f>"19:21:03.504"</f>
        <v>19:21:03.504</v>
      </c>
      <c r="BX1010" t="s">
        <v>119</v>
      </c>
      <c r="BY1010" t="s">
        <v>120</v>
      </c>
      <c r="CJ1010">
        <v>0</v>
      </c>
      <c r="CK1010">
        <v>0</v>
      </c>
      <c r="CL1010">
        <v>0</v>
      </c>
      <c r="CM1010">
        <v>2</v>
      </c>
      <c r="CN1010">
        <v>0</v>
      </c>
      <c r="CO1010">
        <v>7</v>
      </c>
      <c r="CP1010" t="s">
        <v>121</v>
      </c>
      <c r="CQ1010">
        <v>581</v>
      </c>
      <c r="CR1010">
        <v>0</v>
      </c>
      <c r="CW1010">
        <v>15979290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</row>
    <row r="1011" spans="1:113" x14ac:dyDescent="0.3">
      <c r="A1011" t="str">
        <f>"06/16/2022 19:21:04.785"</f>
        <v>06/16/2022 19:21:04.785</v>
      </c>
      <c r="C1011" t="str">
        <f t="shared" si="48"/>
        <v>FFBF5BC0</v>
      </c>
      <c r="D1011" t="s">
        <v>113</v>
      </c>
      <c r="E1011">
        <v>8</v>
      </c>
      <c r="H1011">
        <v>206</v>
      </c>
      <c r="I1011" t="s">
        <v>114</v>
      </c>
      <c r="J1011" t="s">
        <v>115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>"19:21:04.500"</f>
        <v>19:21:04.500</v>
      </c>
      <c r="T1011" t="str">
        <f>"19:21:04.500"</f>
        <v>19:21:04.500</v>
      </c>
      <c r="U1011" t="str">
        <f t="shared" si="46"/>
        <v>AB63B2</v>
      </c>
      <c r="V1011">
        <v>0</v>
      </c>
      <c r="W1011">
        <v>0</v>
      </c>
      <c r="X1011">
        <v>6</v>
      </c>
      <c r="Z1011">
        <v>0</v>
      </c>
      <c r="AA1011">
        <v>9</v>
      </c>
      <c r="AB1011">
        <v>3</v>
      </c>
      <c r="AC1011">
        <v>0</v>
      </c>
      <c r="AD1011">
        <v>10</v>
      </c>
      <c r="AE1011">
        <v>0</v>
      </c>
      <c r="AF1011">
        <v>0</v>
      </c>
      <c r="AG1011">
        <v>2</v>
      </c>
      <c r="AH1011">
        <v>0</v>
      </c>
      <c r="AI1011" t="s">
        <v>951</v>
      </c>
      <c r="AJ1011">
        <v>41.987107000000002</v>
      </c>
      <c r="AK1011" t="s">
        <v>921</v>
      </c>
      <c r="AL1011">
        <v>-87.890388999999999</v>
      </c>
      <c r="AS1011">
        <v>1</v>
      </c>
      <c r="AT1011" t="s">
        <v>118</v>
      </c>
      <c r="AU1011" t="b">
        <v>1</v>
      </c>
      <c r="AV1011">
        <v>0</v>
      </c>
      <c r="AW1011">
        <v>17.125</v>
      </c>
      <c r="AX1011">
        <v>1</v>
      </c>
      <c r="AZ1011">
        <v>7205</v>
      </c>
      <c r="BA1011">
        <v>1</v>
      </c>
      <c r="BB1011" t="str">
        <f t="shared" si="47"/>
        <v xml:space="preserve">KAP400  </v>
      </c>
      <c r="BC1011">
        <v>1</v>
      </c>
      <c r="BE1011">
        <v>0</v>
      </c>
      <c r="BF1011">
        <v>0</v>
      </c>
      <c r="BG1011">
        <v>0</v>
      </c>
      <c r="BI1011">
        <v>1</v>
      </c>
      <c r="BJ1011">
        <v>1</v>
      </c>
      <c r="BK1011">
        <v>1</v>
      </c>
      <c r="BL1011">
        <v>0</v>
      </c>
      <c r="BO1011">
        <v>0</v>
      </c>
      <c r="BP1011">
        <v>0</v>
      </c>
      <c r="BW1011" t="str">
        <f>"19:21:04.504"</f>
        <v>19:21:04.504</v>
      </c>
      <c r="BX1011" t="s">
        <v>119</v>
      </c>
      <c r="BY1011" t="s">
        <v>120</v>
      </c>
      <c r="CJ1011">
        <v>0</v>
      </c>
      <c r="CK1011">
        <v>0</v>
      </c>
      <c r="CL1011">
        <v>0</v>
      </c>
      <c r="CM1011">
        <v>2</v>
      </c>
      <c r="CN1011">
        <v>0</v>
      </c>
      <c r="CO1011">
        <v>7</v>
      </c>
      <c r="CP1011" t="s">
        <v>121</v>
      </c>
      <c r="CQ1011">
        <v>581</v>
      </c>
      <c r="CR1011">
        <v>0</v>
      </c>
      <c r="CW1011">
        <v>15980580</v>
      </c>
      <c r="CY1011">
        <v>0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</row>
    <row r="1012" spans="1:113" x14ac:dyDescent="0.3">
      <c r="A1012" t="str">
        <f>"06/16/2022 19:21:05.707"</f>
        <v>06/16/2022 19:21:05.707</v>
      </c>
      <c r="C1012" t="str">
        <f t="shared" si="48"/>
        <v>FFBF5BC0</v>
      </c>
      <c r="D1012" t="s">
        <v>113</v>
      </c>
      <c r="E1012">
        <v>8</v>
      </c>
      <c r="H1012">
        <v>206</v>
      </c>
      <c r="I1012" t="s">
        <v>114</v>
      </c>
      <c r="J1012" t="s">
        <v>115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>"19:21:05.438"</f>
        <v>19:21:05.438</v>
      </c>
      <c r="T1012" t="str">
        <f>"19:21:05.438"</f>
        <v>19:21:05.438</v>
      </c>
      <c r="U1012" t="str">
        <f t="shared" si="46"/>
        <v>AB63B2</v>
      </c>
      <c r="V1012">
        <v>0</v>
      </c>
      <c r="W1012">
        <v>0</v>
      </c>
      <c r="X1012">
        <v>6</v>
      </c>
      <c r="Z1012">
        <v>0</v>
      </c>
      <c r="AA1012">
        <v>9</v>
      </c>
      <c r="AB1012">
        <v>3</v>
      </c>
      <c r="AC1012">
        <v>0</v>
      </c>
      <c r="AD1012">
        <v>10</v>
      </c>
      <c r="AE1012">
        <v>0</v>
      </c>
      <c r="AF1012">
        <v>0</v>
      </c>
      <c r="AG1012">
        <v>2</v>
      </c>
      <c r="AH1012">
        <v>0</v>
      </c>
      <c r="AI1012" t="s">
        <v>952</v>
      </c>
      <c r="AJ1012">
        <v>41.987192999999998</v>
      </c>
      <c r="AK1012" t="s">
        <v>930</v>
      </c>
      <c r="AL1012">
        <v>-87.890410000000003</v>
      </c>
      <c r="AS1012">
        <v>1</v>
      </c>
      <c r="AT1012" t="s">
        <v>118</v>
      </c>
      <c r="AU1012" t="b">
        <v>1</v>
      </c>
      <c r="AV1012">
        <v>0</v>
      </c>
      <c r="AW1012">
        <v>17.125</v>
      </c>
      <c r="AX1012">
        <v>1</v>
      </c>
      <c r="AZ1012">
        <v>7205</v>
      </c>
      <c r="BA1012">
        <v>1</v>
      </c>
      <c r="BB1012" t="str">
        <f t="shared" si="47"/>
        <v xml:space="preserve">KAP400  </v>
      </c>
      <c r="BC1012">
        <v>1</v>
      </c>
      <c r="BE1012">
        <v>0</v>
      </c>
      <c r="BF1012">
        <v>0</v>
      </c>
      <c r="BG1012">
        <v>0</v>
      </c>
      <c r="BI1012">
        <v>1</v>
      </c>
      <c r="BJ1012">
        <v>1</v>
      </c>
      <c r="BK1012">
        <v>1</v>
      </c>
      <c r="BL1012">
        <v>0</v>
      </c>
      <c r="BO1012">
        <v>0</v>
      </c>
      <c r="BP1012">
        <v>0</v>
      </c>
      <c r="BW1012" t="str">
        <f>"19:21:05.443"</f>
        <v>19:21:05.443</v>
      </c>
      <c r="BX1012" t="s">
        <v>119</v>
      </c>
      <c r="BY1012" t="s">
        <v>120</v>
      </c>
      <c r="CJ1012">
        <v>0</v>
      </c>
      <c r="CK1012">
        <v>0</v>
      </c>
      <c r="CL1012">
        <v>0</v>
      </c>
      <c r="CM1012">
        <v>2</v>
      </c>
      <c r="CN1012">
        <v>0</v>
      </c>
      <c r="CO1012">
        <v>7</v>
      </c>
      <c r="CP1012" t="s">
        <v>121</v>
      </c>
      <c r="CQ1012">
        <v>581</v>
      </c>
      <c r="CR1012">
        <v>0</v>
      </c>
      <c r="CW1012">
        <v>15981774</v>
      </c>
      <c r="CY1012">
        <v>0</v>
      </c>
      <c r="CZ1012">
        <v>0</v>
      </c>
      <c r="DA1012">
        <v>0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</row>
    <row r="1013" spans="1:113" x14ac:dyDescent="0.3">
      <c r="A1013" t="str">
        <f>"06/16/2022 19:21:06.754"</f>
        <v>06/16/2022 19:21:06.754</v>
      </c>
      <c r="C1013" t="str">
        <f t="shared" si="48"/>
        <v>FFBF5BC0</v>
      </c>
      <c r="D1013" t="s">
        <v>113</v>
      </c>
      <c r="E1013">
        <v>8</v>
      </c>
      <c r="H1013">
        <v>206</v>
      </c>
      <c r="I1013" t="s">
        <v>114</v>
      </c>
      <c r="J1013" t="s">
        <v>115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>"19:21:06.492"</f>
        <v>19:21:06.492</v>
      </c>
      <c r="T1013" t="str">
        <f>"19:21:06.492"</f>
        <v>19:21:06.492</v>
      </c>
      <c r="U1013" t="str">
        <f t="shared" si="46"/>
        <v>AB63B2</v>
      </c>
      <c r="V1013">
        <v>0</v>
      </c>
      <c r="W1013">
        <v>0</v>
      </c>
      <c r="X1013">
        <v>6</v>
      </c>
      <c r="Z1013">
        <v>0</v>
      </c>
      <c r="AA1013">
        <v>9</v>
      </c>
      <c r="AB1013">
        <v>3</v>
      </c>
      <c r="AC1013">
        <v>0</v>
      </c>
      <c r="AD1013">
        <v>10</v>
      </c>
      <c r="AE1013">
        <v>0</v>
      </c>
      <c r="AF1013">
        <v>0</v>
      </c>
      <c r="AG1013">
        <v>2</v>
      </c>
      <c r="AH1013">
        <v>0</v>
      </c>
      <c r="AI1013" t="s">
        <v>953</v>
      </c>
      <c r="AJ1013">
        <v>41.987257</v>
      </c>
      <c r="AK1013" t="s">
        <v>921</v>
      </c>
      <c r="AL1013">
        <v>-87.890388999999999</v>
      </c>
      <c r="AS1013">
        <v>1</v>
      </c>
      <c r="AT1013" t="s">
        <v>118</v>
      </c>
      <c r="AU1013" t="b">
        <v>1</v>
      </c>
      <c r="AV1013">
        <v>0</v>
      </c>
      <c r="AW1013">
        <v>17.125</v>
      </c>
      <c r="AX1013">
        <v>1</v>
      </c>
      <c r="AZ1013">
        <v>7205</v>
      </c>
      <c r="BA1013">
        <v>1</v>
      </c>
      <c r="BB1013" t="str">
        <f t="shared" si="47"/>
        <v xml:space="preserve">KAP400  </v>
      </c>
      <c r="BC1013">
        <v>1</v>
      </c>
      <c r="BE1013">
        <v>0</v>
      </c>
      <c r="BF1013">
        <v>0</v>
      </c>
      <c r="BG1013">
        <v>0</v>
      </c>
      <c r="BI1013">
        <v>1</v>
      </c>
      <c r="BJ1013">
        <v>1</v>
      </c>
      <c r="BK1013">
        <v>1</v>
      </c>
      <c r="BL1013">
        <v>0</v>
      </c>
      <c r="BO1013">
        <v>0</v>
      </c>
      <c r="BP1013">
        <v>0</v>
      </c>
      <c r="BW1013" t="str">
        <f>"19:21:06.496"</f>
        <v>19:21:06.496</v>
      </c>
      <c r="BX1013" t="s">
        <v>119</v>
      </c>
      <c r="BY1013" t="s">
        <v>120</v>
      </c>
      <c r="CJ1013">
        <v>0</v>
      </c>
      <c r="CK1013">
        <v>0</v>
      </c>
      <c r="CL1013">
        <v>0</v>
      </c>
      <c r="CM1013">
        <v>2</v>
      </c>
      <c r="CN1013">
        <v>0</v>
      </c>
      <c r="CO1013">
        <v>7</v>
      </c>
      <c r="CP1013" t="s">
        <v>121</v>
      </c>
      <c r="CQ1013">
        <v>582</v>
      </c>
      <c r="CR1013">
        <v>0</v>
      </c>
      <c r="CW1013">
        <v>6864873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</row>
    <row r="1014" spans="1:113" x14ac:dyDescent="0.3">
      <c r="A1014" t="str">
        <f>"06/16/2022 19:21:07.707"</f>
        <v>06/16/2022 19:21:07.707</v>
      </c>
      <c r="C1014" t="str">
        <f t="shared" si="48"/>
        <v>FFBF5BC0</v>
      </c>
      <c r="D1014" t="s">
        <v>113</v>
      </c>
      <c r="E1014">
        <v>8</v>
      </c>
      <c r="H1014">
        <v>206</v>
      </c>
      <c r="I1014" t="s">
        <v>114</v>
      </c>
      <c r="J1014" t="s">
        <v>115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>"19:21:07.484"</f>
        <v>19:21:07.484</v>
      </c>
      <c r="T1014" t="str">
        <f>"19:21:07.484"</f>
        <v>19:21:07.484</v>
      </c>
      <c r="U1014" t="str">
        <f t="shared" si="46"/>
        <v>AB63B2</v>
      </c>
      <c r="V1014">
        <v>0</v>
      </c>
      <c r="W1014">
        <v>0</v>
      </c>
      <c r="X1014">
        <v>6</v>
      </c>
      <c r="Z1014">
        <v>0</v>
      </c>
      <c r="AA1014">
        <v>9</v>
      </c>
      <c r="AB1014">
        <v>3</v>
      </c>
      <c r="AC1014">
        <v>0</v>
      </c>
      <c r="AD1014">
        <v>10</v>
      </c>
      <c r="AE1014">
        <v>0</v>
      </c>
      <c r="AF1014">
        <v>0</v>
      </c>
      <c r="AG1014">
        <v>2</v>
      </c>
      <c r="AH1014">
        <v>0</v>
      </c>
      <c r="AI1014" t="s">
        <v>954</v>
      </c>
      <c r="AJ1014">
        <v>41.987343000000003</v>
      </c>
      <c r="AK1014" t="s">
        <v>930</v>
      </c>
      <c r="AL1014">
        <v>-87.890410000000003</v>
      </c>
      <c r="AS1014">
        <v>1</v>
      </c>
      <c r="AT1014" t="s">
        <v>118</v>
      </c>
      <c r="AU1014" t="b">
        <v>1</v>
      </c>
      <c r="AV1014">
        <v>0</v>
      </c>
      <c r="AW1014">
        <v>17.125</v>
      </c>
      <c r="AX1014">
        <v>1</v>
      </c>
      <c r="AZ1014">
        <v>7205</v>
      </c>
      <c r="BA1014">
        <v>1</v>
      </c>
      <c r="BB1014" t="str">
        <f t="shared" si="47"/>
        <v xml:space="preserve">KAP400  </v>
      </c>
      <c r="BC1014">
        <v>1</v>
      </c>
      <c r="BE1014">
        <v>0</v>
      </c>
      <c r="BF1014">
        <v>0</v>
      </c>
      <c r="BG1014">
        <v>0</v>
      </c>
      <c r="BI1014">
        <v>1</v>
      </c>
      <c r="BJ1014">
        <v>1</v>
      </c>
      <c r="BK1014">
        <v>1</v>
      </c>
      <c r="BL1014">
        <v>0</v>
      </c>
      <c r="BO1014">
        <v>0</v>
      </c>
      <c r="BP1014">
        <v>0</v>
      </c>
      <c r="BW1014" t="str">
        <f>"19:21:07.487"</f>
        <v>19:21:07.487</v>
      </c>
      <c r="BX1014" t="s">
        <v>119</v>
      </c>
      <c r="BY1014" t="s">
        <v>120</v>
      </c>
      <c r="CJ1014">
        <v>0</v>
      </c>
      <c r="CK1014">
        <v>0</v>
      </c>
      <c r="CL1014">
        <v>0</v>
      </c>
      <c r="CM1014">
        <v>2</v>
      </c>
      <c r="CN1014">
        <v>0</v>
      </c>
      <c r="CO1014">
        <v>7</v>
      </c>
      <c r="CP1014" t="s">
        <v>121</v>
      </c>
      <c r="CQ1014">
        <v>581</v>
      </c>
      <c r="CR1014">
        <v>0</v>
      </c>
      <c r="CW1014">
        <v>15984378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</row>
    <row r="1015" spans="1:113" x14ac:dyDescent="0.3">
      <c r="A1015" t="str">
        <f>"06/16/2022 19:21:08.785"</f>
        <v>06/16/2022 19:21:08.785</v>
      </c>
      <c r="C1015" t="str">
        <f t="shared" si="48"/>
        <v>FFBF5BC0</v>
      </c>
      <c r="D1015" t="s">
        <v>113</v>
      </c>
      <c r="E1015">
        <v>8</v>
      </c>
      <c r="H1015">
        <v>206</v>
      </c>
      <c r="I1015" t="s">
        <v>114</v>
      </c>
      <c r="J1015" t="s">
        <v>115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>"19:21:08.594"</f>
        <v>19:21:08.594</v>
      </c>
      <c r="T1015" t="str">
        <f>"19:21:08.594"</f>
        <v>19:21:08.594</v>
      </c>
      <c r="U1015" t="str">
        <f t="shared" si="46"/>
        <v>AB63B2</v>
      </c>
      <c r="V1015">
        <v>0</v>
      </c>
      <c r="W1015">
        <v>0</v>
      </c>
      <c r="X1015">
        <v>6</v>
      </c>
      <c r="Z1015">
        <v>0</v>
      </c>
      <c r="AA1015">
        <v>9</v>
      </c>
      <c r="AB1015">
        <v>3</v>
      </c>
      <c r="AC1015">
        <v>0</v>
      </c>
      <c r="AD1015">
        <v>10</v>
      </c>
      <c r="AE1015">
        <v>0</v>
      </c>
      <c r="AF1015">
        <v>0</v>
      </c>
      <c r="AG1015">
        <v>2</v>
      </c>
      <c r="AH1015">
        <v>0</v>
      </c>
      <c r="AI1015" t="s">
        <v>955</v>
      </c>
      <c r="AJ1015">
        <v>41.987428999999999</v>
      </c>
      <c r="AK1015" t="s">
        <v>930</v>
      </c>
      <c r="AL1015">
        <v>-87.890410000000003</v>
      </c>
      <c r="AS1015">
        <v>1</v>
      </c>
      <c r="AT1015" t="s">
        <v>118</v>
      </c>
      <c r="AU1015" t="b">
        <v>1</v>
      </c>
      <c r="AV1015">
        <v>0</v>
      </c>
      <c r="AW1015">
        <v>17.125</v>
      </c>
      <c r="AX1015">
        <v>1</v>
      </c>
      <c r="AZ1015">
        <v>7205</v>
      </c>
      <c r="BA1015">
        <v>1</v>
      </c>
      <c r="BB1015" t="str">
        <f t="shared" si="47"/>
        <v xml:space="preserve">KAP400  </v>
      </c>
      <c r="BC1015">
        <v>1</v>
      </c>
      <c r="BE1015">
        <v>0</v>
      </c>
      <c r="BF1015">
        <v>0</v>
      </c>
      <c r="BG1015">
        <v>0</v>
      </c>
      <c r="BI1015">
        <v>1</v>
      </c>
      <c r="BJ1015">
        <v>1</v>
      </c>
      <c r="BK1015">
        <v>1</v>
      </c>
      <c r="BL1015">
        <v>0</v>
      </c>
      <c r="BO1015">
        <v>0</v>
      </c>
      <c r="BP1015">
        <v>0</v>
      </c>
      <c r="BW1015" t="str">
        <f>"19:21:08.598"</f>
        <v>19:21:08.598</v>
      </c>
      <c r="BX1015" t="s">
        <v>119</v>
      </c>
      <c r="BY1015" t="s">
        <v>120</v>
      </c>
      <c r="CJ1015">
        <v>0</v>
      </c>
      <c r="CK1015">
        <v>0</v>
      </c>
      <c r="CL1015">
        <v>0</v>
      </c>
      <c r="CM1015">
        <v>2</v>
      </c>
      <c r="CN1015">
        <v>0</v>
      </c>
      <c r="CO1015">
        <v>7</v>
      </c>
      <c r="CP1015" t="s">
        <v>121</v>
      </c>
      <c r="CQ1015">
        <v>582</v>
      </c>
      <c r="CR1015">
        <v>0</v>
      </c>
      <c r="CW1015">
        <v>6867305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</row>
    <row r="1016" spans="1:113" x14ac:dyDescent="0.3">
      <c r="A1016" t="str">
        <f>"06/16/2022 19:21:09.692"</f>
        <v>06/16/2022 19:21:09.692</v>
      </c>
      <c r="C1016" t="str">
        <f t="shared" si="48"/>
        <v>FFBF5BC0</v>
      </c>
      <c r="D1016" t="s">
        <v>113</v>
      </c>
      <c r="E1016">
        <v>8</v>
      </c>
      <c r="H1016">
        <v>206</v>
      </c>
      <c r="I1016" t="s">
        <v>114</v>
      </c>
      <c r="J1016" t="s">
        <v>115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>"19:21:09.430"</f>
        <v>19:21:09.430</v>
      </c>
      <c r="T1016" t="str">
        <f>"19:21:09.430"</f>
        <v>19:21:09.430</v>
      </c>
      <c r="U1016" t="str">
        <f t="shared" si="46"/>
        <v>AB63B2</v>
      </c>
      <c r="V1016">
        <v>0</v>
      </c>
      <c r="W1016">
        <v>0</v>
      </c>
      <c r="X1016">
        <v>6</v>
      </c>
      <c r="Z1016">
        <v>0</v>
      </c>
      <c r="AA1016">
        <v>9</v>
      </c>
      <c r="AB1016">
        <v>3</v>
      </c>
      <c r="AC1016">
        <v>0</v>
      </c>
      <c r="AD1016">
        <v>10</v>
      </c>
      <c r="AE1016">
        <v>0</v>
      </c>
      <c r="AF1016">
        <v>0</v>
      </c>
      <c r="AG1016">
        <v>2</v>
      </c>
      <c r="AH1016">
        <v>0</v>
      </c>
      <c r="AI1016" t="s">
        <v>211</v>
      </c>
      <c r="AJ1016">
        <v>41.987493000000001</v>
      </c>
      <c r="AK1016" t="s">
        <v>930</v>
      </c>
      <c r="AL1016">
        <v>-87.890410000000003</v>
      </c>
      <c r="AS1016">
        <v>1</v>
      </c>
      <c r="AT1016" t="s">
        <v>118</v>
      </c>
      <c r="AU1016" t="b">
        <v>1</v>
      </c>
      <c r="AV1016">
        <v>0</v>
      </c>
      <c r="AW1016">
        <v>17.125</v>
      </c>
      <c r="AX1016">
        <v>1</v>
      </c>
      <c r="AZ1016">
        <v>7205</v>
      </c>
      <c r="BA1016">
        <v>1</v>
      </c>
      <c r="BB1016" t="str">
        <f t="shared" si="47"/>
        <v xml:space="preserve">KAP400  </v>
      </c>
      <c r="BC1016">
        <v>1</v>
      </c>
      <c r="BE1016">
        <v>0</v>
      </c>
      <c r="BF1016">
        <v>0</v>
      </c>
      <c r="BG1016">
        <v>0</v>
      </c>
      <c r="BI1016">
        <v>1</v>
      </c>
      <c r="BJ1016">
        <v>1</v>
      </c>
      <c r="BK1016">
        <v>1</v>
      </c>
      <c r="BL1016">
        <v>0</v>
      </c>
      <c r="BO1016">
        <v>0</v>
      </c>
      <c r="BP1016">
        <v>0</v>
      </c>
      <c r="BW1016" t="str">
        <f>"19:21:09.431"</f>
        <v>19:21:09.431</v>
      </c>
      <c r="BX1016" t="s">
        <v>119</v>
      </c>
      <c r="BY1016" t="s">
        <v>120</v>
      </c>
      <c r="CJ1016">
        <v>0</v>
      </c>
      <c r="CK1016">
        <v>0</v>
      </c>
      <c r="CL1016">
        <v>0</v>
      </c>
      <c r="CM1016">
        <v>2</v>
      </c>
      <c r="CN1016">
        <v>0</v>
      </c>
      <c r="CO1016">
        <v>7</v>
      </c>
      <c r="CP1016" t="s">
        <v>121</v>
      </c>
      <c r="CQ1016">
        <v>582</v>
      </c>
      <c r="CR1016">
        <v>0</v>
      </c>
      <c r="CW1016">
        <v>6868314</v>
      </c>
      <c r="CY1016">
        <v>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</row>
    <row r="1017" spans="1:113" x14ac:dyDescent="0.3">
      <c r="A1017" t="str">
        <f>"06/16/2022 19:21:10.739"</f>
        <v>06/16/2022 19:21:10.739</v>
      </c>
      <c r="C1017" t="str">
        <f t="shared" si="48"/>
        <v>FFBF5BC0</v>
      </c>
      <c r="D1017" t="s">
        <v>113</v>
      </c>
      <c r="E1017">
        <v>8</v>
      </c>
      <c r="H1017">
        <v>206</v>
      </c>
      <c r="I1017" t="s">
        <v>114</v>
      </c>
      <c r="J1017" t="s">
        <v>115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>"19:21:10.508"</f>
        <v>19:21:10.508</v>
      </c>
      <c r="T1017" t="str">
        <f>"19:21:10.508"</f>
        <v>19:21:10.508</v>
      </c>
      <c r="U1017" t="str">
        <f t="shared" si="46"/>
        <v>AB63B2</v>
      </c>
      <c r="V1017">
        <v>0</v>
      </c>
      <c r="W1017">
        <v>0</v>
      </c>
      <c r="X1017">
        <v>6</v>
      </c>
      <c r="Z1017">
        <v>0</v>
      </c>
      <c r="AA1017">
        <v>9</v>
      </c>
      <c r="AB1017">
        <v>3</v>
      </c>
      <c r="AC1017">
        <v>0</v>
      </c>
      <c r="AD1017">
        <v>10</v>
      </c>
      <c r="AE1017">
        <v>0</v>
      </c>
      <c r="AF1017">
        <v>0</v>
      </c>
      <c r="AG1017">
        <v>2</v>
      </c>
      <c r="AH1017">
        <v>0</v>
      </c>
      <c r="AI1017" t="s">
        <v>956</v>
      </c>
      <c r="AJ1017">
        <v>41.987578999999997</v>
      </c>
      <c r="AK1017" t="s">
        <v>930</v>
      </c>
      <c r="AL1017">
        <v>-87.890410000000003</v>
      </c>
      <c r="AS1017">
        <v>1</v>
      </c>
      <c r="AT1017" t="s">
        <v>118</v>
      </c>
      <c r="AU1017" t="b">
        <v>1</v>
      </c>
      <c r="AV1017">
        <v>0</v>
      </c>
      <c r="AW1017">
        <v>16.125</v>
      </c>
      <c r="AX1017">
        <v>1</v>
      </c>
      <c r="AZ1017">
        <v>7205</v>
      </c>
      <c r="BA1017">
        <v>1</v>
      </c>
      <c r="BB1017" t="str">
        <f t="shared" si="47"/>
        <v xml:space="preserve">KAP400  </v>
      </c>
      <c r="BC1017">
        <v>1</v>
      </c>
      <c r="BE1017">
        <v>0</v>
      </c>
      <c r="BF1017">
        <v>0</v>
      </c>
      <c r="BG1017">
        <v>0</v>
      </c>
      <c r="BI1017">
        <v>1</v>
      </c>
      <c r="BJ1017">
        <v>1</v>
      </c>
      <c r="BK1017">
        <v>1</v>
      </c>
      <c r="BL1017">
        <v>0</v>
      </c>
      <c r="BO1017">
        <v>0</v>
      </c>
      <c r="BP1017">
        <v>0</v>
      </c>
      <c r="BW1017" t="str">
        <f>"19:21:10.512"</f>
        <v>19:21:10.512</v>
      </c>
      <c r="BX1017" t="s">
        <v>119</v>
      </c>
      <c r="BY1017" t="s">
        <v>120</v>
      </c>
      <c r="CJ1017">
        <v>0</v>
      </c>
      <c r="CK1017">
        <v>0</v>
      </c>
      <c r="CL1017">
        <v>0</v>
      </c>
      <c r="CM1017">
        <v>2</v>
      </c>
      <c r="CN1017">
        <v>0</v>
      </c>
      <c r="CO1017">
        <v>7</v>
      </c>
      <c r="CP1017" t="s">
        <v>121</v>
      </c>
      <c r="CQ1017">
        <v>582</v>
      </c>
      <c r="CR1017">
        <v>0</v>
      </c>
      <c r="CW1017">
        <v>6869632</v>
      </c>
      <c r="CY1017">
        <v>0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</row>
    <row r="1018" spans="1:113" x14ac:dyDescent="0.3">
      <c r="A1018" t="str">
        <f>"06/16/2022 19:21:11.676"</f>
        <v>06/16/2022 19:21:11.676</v>
      </c>
      <c r="C1018" t="str">
        <f t="shared" si="48"/>
        <v>FFBF5BC0</v>
      </c>
      <c r="D1018" t="s">
        <v>113</v>
      </c>
      <c r="E1018">
        <v>8</v>
      </c>
      <c r="H1018">
        <v>206</v>
      </c>
      <c r="I1018" t="s">
        <v>114</v>
      </c>
      <c r="J1018" t="s">
        <v>115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>"19:21:11.398"</f>
        <v>19:21:11.398</v>
      </c>
      <c r="T1018" t="str">
        <f>"19:21:11.398"</f>
        <v>19:21:11.398</v>
      </c>
      <c r="U1018" t="str">
        <f t="shared" si="46"/>
        <v>AB63B2</v>
      </c>
      <c r="V1018">
        <v>0</v>
      </c>
      <c r="W1018">
        <v>0</v>
      </c>
      <c r="X1018">
        <v>6</v>
      </c>
      <c r="Z1018">
        <v>0</v>
      </c>
      <c r="AA1018">
        <v>9</v>
      </c>
      <c r="AB1018">
        <v>3</v>
      </c>
      <c r="AC1018">
        <v>0</v>
      </c>
      <c r="AD1018">
        <v>10</v>
      </c>
      <c r="AE1018">
        <v>0</v>
      </c>
      <c r="AF1018">
        <v>0</v>
      </c>
      <c r="AG1018">
        <v>2</v>
      </c>
      <c r="AH1018">
        <v>0</v>
      </c>
      <c r="AI1018" t="s">
        <v>957</v>
      </c>
      <c r="AJ1018">
        <v>41.987622000000002</v>
      </c>
      <c r="AK1018" t="s">
        <v>930</v>
      </c>
      <c r="AL1018">
        <v>-87.890410000000003</v>
      </c>
      <c r="AS1018">
        <v>1</v>
      </c>
      <c r="AT1018" t="s">
        <v>118</v>
      </c>
      <c r="AU1018" t="b">
        <v>1</v>
      </c>
      <c r="AV1018">
        <v>0</v>
      </c>
      <c r="AW1018">
        <v>16.125</v>
      </c>
      <c r="AX1018">
        <v>1</v>
      </c>
      <c r="AZ1018">
        <v>7205</v>
      </c>
      <c r="BA1018">
        <v>1</v>
      </c>
      <c r="BB1018" t="str">
        <f t="shared" si="47"/>
        <v xml:space="preserve">KAP400  </v>
      </c>
      <c r="BC1018">
        <v>1</v>
      </c>
      <c r="BE1018">
        <v>0</v>
      </c>
      <c r="BF1018">
        <v>0</v>
      </c>
      <c r="BG1018">
        <v>0</v>
      </c>
      <c r="BI1018">
        <v>1</v>
      </c>
      <c r="BJ1018">
        <v>1</v>
      </c>
      <c r="BK1018">
        <v>1</v>
      </c>
      <c r="BL1018">
        <v>0</v>
      </c>
      <c r="BO1018">
        <v>0</v>
      </c>
      <c r="BP1018">
        <v>0</v>
      </c>
      <c r="BW1018" t="str">
        <f>"19:21:11.405"</f>
        <v>19:21:11.405</v>
      </c>
      <c r="BX1018" t="s">
        <v>119</v>
      </c>
      <c r="BY1018" t="s">
        <v>120</v>
      </c>
      <c r="CJ1018">
        <v>0</v>
      </c>
      <c r="CK1018">
        <v>0</v>
      </c>
      <c r="CL1018">
        <v>0</v>
      </c>
      <c r="CM1018">
        <v>2</v>
      </c>
      <c r="CN1018">
        <v>0</v>
      </c>
      <c r="CO1018">
        <v>7</v>
      </c>
      <c r="CP1018" t="s">
        <v>121</v>
      </c>
      <c r="CQ1018">
        <v>582</v>
      </c>
      <c r="CR1018">
        <v>0</v>
      </c>
      <c r="CW1018">
        <v>6870647</v>
      </c>
      <c r="CY1018">
        <v>0</v>
      </c>
      <c r="CZ1018">
        <v>0</v>
      </c>
      <c r="DA1018">
        <v>0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</row>
    <row r="1019" spans="1:113" x14ac:dyDescent="0.3">
      <c r="A1019" t="str">
        <f>"06/16/2022 19:21:12.675"</f>
        <v>06/16/2022 19:21:12.675</v>
      </c>
      <c r="C1019" t="str">
        <f t="shared" si="48"/>
        <v>FFBF5BC0</v>
      </c>
      <c r="D1019" t="s">
        <v>113</v>
      </c>
      <c r="E1019">
        <v>8</v>
      </c>
      <c r="H1019">
        <v>206</v>
      </c>
      <c r="I1019" t="s">
        <v>114</v>
      </c>
      <c r="J1019" t="s">
        <v>115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>"19:21:12.430"</f>
        <v>19:21:12.430</v>
      </c>
      <c r="T1019" t="str">
        <f>"19:21:12.430"</f>
        <v>19:21:12.430</v>
      </c>
      <c r="U1019" t="str">
        <f t="shared" si="46"/>
        <v>AB63B2</v>
      </c>
      <c r="V1019">
        <v>0</v>
      </c>
      <c r="W1019">
        <v>0</v>
      </c>
      <c r="X1019">
        <v>6</v>
      </c>
      <c r="Z1019">
        <v>0</v>
      </c>
      <c r="AA1019">
        <v>9</v>
      </c>
      <c r="AB1019">
        <v>3</v>
      </c>
      <c r="AC1019">
        <v>0</v>
      </c>
      <c r="AD1019">
        <v>10</v>
      </c>
      <c r="AE1019">
        <v>0</v>
      </c>
      <c r="AF1019">
        <v>0</v>
      </c>
      <c r="AG1019">
        <v>2</v>
      </c>
      <c r="AH1019">
        <v>0</v>
      </c>
      <c r="AI1019" t="s">
        <v>958</v>
      </c>
      <c r="AJ1019">
        <v>41.987707999999998</v>
      </c>
      <c r="AK1019" t="s">
        <v>930</v>
      </c>
      <c r="AL1019">
        <v>-87.890410000000003</v>
      </c>
      <c r="AS1019">
        <v>1</v>
      </c>
      <c r="AT1019" t="s">
        <v>118</v>
      </c>
      <c r="AU1019" t="b">
        <v>1</v>
      </c>
      <c r="AV1019">
        <v>0</v>
      </c>
      <c r="AW1019">
        <v>16.125</v>
      </c>
      <c r="AX1019">
        <v>1</v>
      </c>
      <c r="AZ1019">
        <v>7205</v>
      </c>
      <c r="BA1019">
        <v>1</v>
      </c>
      <c r="BB1019" t="str">
        <f t="shared" si="47"/>
        <v xml:space="preserve">KAP400  </v>
      </c>
      <c r="BC1019">
        <v>1</v>
      </c>
      <c r="BE1019">
        <v>0</v>
      </c>
      <c r="BF1019">
        <v>0</v>
      </c>
      <c r="BG1019">
        <v>0</v>
      </c>
      <c r="BI1019">
        <v>1</v>
      </c>
      <c r="BJ1019">
        <v>1</v>
      </c>
      <c r="BK1019">
        <v>1</v>
      </c>
      <c r="BL1019">
        <v>0</v>
      </c>
      <c r="BO1019">
        <v>0</v>
      </c>
      <c r="BP1019">
        <v>0</v>
      </c>
      <c r="BW1019" t="str">
        <f>"19:21:12.432"</f>
        <v>19:21:12.432</v>
      </c>
      <c r="BX1019" t="s">
        <v>119</v>
      </c>
      <c r="BY1019" t="s">
        <v>120</v>
      </c>
      <c r="CJ1019">
        <v>0</v>
      </c>
      <c r="CK1019">
        <v>0</v>
      </c>
      <c r="CL1019">
        <v>0</v>
      </c>
      <c r="CM1019">
        <v>2</v>
      </c>
      <c r="CN1019">
        <v>0</v>
      </c>
      <c r="CO1019">
        <v>7</v>
      </c>
      <c r="CP1019" t="s">
        <v>121</v>
      </c>
      <c r="CQ1019">
        <v>582</v>
      </c>
      <c r="CR1019">
        <v>0</v>
      </c>
      <c r="CW1019">
        <v>6871861</v>
      </c>
      <c r="CY1019">
        <v>0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0</v>
      </c>
    </row>
    <row r="1020" spans="1:113" x14ac:dyDescent="0.3">
      <c r="A1020" t="str">
        <f>"06/16/2022 19:21:13.691"</f>
        <v>06/16/2022 19:21:13.691</v>
      </c>
      <c r="C1020" t="str">
        <f t="shared" si="48"/>
        <v>FFBF5BC0</v>
      </c>
      <c r="D1020" t="s">
        <v>113</v>
      </c>
      <c r="E1020">
        <v>8</v>
      </c>
      <c r="H1020">
        <v>206</v>
      </c>
      <c r="I1020" t="s">
        <v>114</v>
      </c>
      <c r="J1020" t="s">
        <v>115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>"19:21:13.391"</f>
        <v>19:21:13.391</v>
      </c>
      <c r="T1020" t="str">
        <f>"19:21:13.391"</f>
        <v>19:21:13.391</v>
      </c>
      <c r="U1020" t="str">
        <f t="shared" si="46"/>
        <v>AB63B2</v>
      </c>
      <c r="V1020">
        <v>0</v>
      </c>
      <c r="W1020">
        <v>0</v>
      </c>
      <c r="X1020">
        <v>6</v>
      </c>
      <c r="Z1020">
        <v>0</v>
      </c>
      <c r="AA1020">
        <v>9</v>
      </c>
      <c r="AB1020">
        <v>3</v>
      </c>
      <c r="AC1020">
        <v>0</v>
      </c>
      <c r="AD1020">
        <v>10</v>
      </c>
      <c r="AE1020">
        <v>0</v>
      </c>
      <c r="AF1020">
        <v>0</v>
      </c>
      <c r="AG1020">
        <v>2</v>
      </c>
      <c r="AH1020">
        <v>0</v>
      </c>
      <c r="AI1020" t="s">
        <v>208</v>
      </c>
      <c r="AJ1020">
        <v>41.987772</v>
      </c>
      <c r="AK1020" t="s">
        <v>930</v>
      </c>
      <c r="AL1020">
        <v>-87.890410000000003</v>
      </c>
      <c r="AS1020">
        <v>1</v>
      </c>
      <c r="AT1020" t="s">
        <v>118</v>
      </c>
      <c r="AU1020" t="b">
        <v>1</v>
      </c>
      <c r="AV1020">
        <v>0</v>
      </c>
      <c r="AW1020">
        <v>15.125</v>
      </c>
      <c r="AX1020">
        <v>1</v>
      </c>
      <c r="AZ1020">
        <v>7205</v>
      </c>
      <c r="BA1020">
        <v>1</v>
      </c>
      <c r="BB1020" t="str">
        <f t="shared" si="47"/>
        <v xml:space="preserve">KAP400  </v>
      </c>
      <c r="BC1020">
        <v>1</v>
      </c>
      <c r="BE1020">
        <v>0</v>
      </c>
      <c r="BF1020">
        <v>0</v>
      </c>
      <c r="BG1020">
        <v>0</v>
      </c>
      <c r="BI1020">
        <v>1</v>
      </c>
      <c r="BJ1020">
        <v>1</v>
      </c>
      <c r="BK1020">
        <v>1</v>
      </c>
      <c r="BL1020">
        <v>0</v>
      </c>
      <c r="BO1020">
        <v>0</v>
      </c>
      <c r="BP1020">
        <v>0</v>
      </c>
      <c r="BW1020" t="str">
        <f>"19:21:13.394"</f>
        <v>19:21:13.394</v>
      </c>
      <c r="BX1020" t="s">
        <v>119</v>
      </c>
      <c r="BY1020" t="s">
        <v>120</v>
      </c>
      <c r="CJ1020">
        <v>0</v>
      </c>
      <c r="CK1020">
        <v>0</v>
      </c>
      <c r="CL1020">
        <v>0</v>
      </c>
      <c r="CM1020">
        <v>2</v>
      </c>
      <c r="CN1020">
        <v>0</v>
      </c>
      <c r="CO1020">
        <v>7</v>
      </c>
      <c r="CP1020" t="s">
        <v>121</v>
      </c>
      <c r="CQ1020">
        <v>582</v>
      </c>
      <c r="CR1020">
        <v>0</v>
      </c>
      <c r="CW1020">
        <v>6872998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</row>
    <row r="1021" spans="1:113" x14ac:dyDescent="0.3">
      <c r="A1021" t="str">
        <f>"06/16/2022 19:21:14.769"</f>
        <v>06/16/2022 19:21:14.769</v>
      </c>
      <c r="C1021" t="str">
        <f t="shared" si="48"/>
        <v>FFBF5BC0</v>
      </c>
      <c r="D1021" t="s">
        <v>113</v>
      </c>
      <c r="E1021">
        <v>8</v>
      </c>
      <c r="H1021">
        <v>206</v>
      </c>
      <c r="I1021" t="s">
        <v>114</v>
      </c>
      <c r="J1021" t="s">
        <v>115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>"19:21:14.469"</f>
        <v>19:21:14.469</v>
      </c>
      <c r="T1021" t="str">
        <f>"19:21:14.469"</f>
        <v>19:21:14.469</v>
      </c>
      <c r="U1021" t="str">
        <f t="shared" si="46"/>
        <v>AB63B2</v>
      </c>
      <c r="V1021">
        <v>0</v>
      </c>
      <c r="W1021">
        <v>0</v>
      </c>
      <c r="X1021">
        <v>6</v>
      </c>
      <c r="Z1021">
        <v>0</v>
      </c>
      <c r="AA1021">
        <v>9</v>
      </c>
      <c r="AB1021">
        <v>3</v>
      </c>
      <c r="AC1021">
        <v>0</v>
      </c>
      <c r="AD1021">
        <v>10</v>
      </c>
      <c r="AE1021">
        <v>0</v>
      </c>
      <c r="AF1021">
        <v>0</v>
      </c>
      <c r="AG1021">
        <v>2</v>
      </c>
      <c r="AH1021">
        <v>0</v>
      </c>
      <c r="AI1021" t="s">
        <v>959</v>
      </c>
      <c r="AJ1021">
        <v>41.987836000000001</v>
      </c>
      <c r="AK1021" t="s">
        <v>930</v>
      </c>
      <c r="AL1021">
        <v>-87.890410000000003</v>
      </c>
      <c r="AS1021">
        <v>1</v>
      </c>
      <c r="AT1021" t="s">
        <v>118</v>
      </c>
      <c r="AU1021" t="b">
        <v>1</v>
      </c>
      <c r="AV1021">
        <v>0</v>
      </c>
      <c r="AW1021">
        <v>14.625</v>
      </c>
      <c r="AX1021">
        <v>1</v>
      </c>
      <c r="AZ1021">
        <v>7205</v>
      </c>
      <c r="BA1021">
        <v>1</v>
      </c>
      <c r="BB1021" t="str">
        <f t="shared" si="47"/>
        <v xml:space="preserve">KAP400  </v>
      </c>
      <c r="BC1021">
        <v>1</v>
      </c>
      <c r="BE1021">
        <v>0</v>
      </c>
      <c r="BF1021">
        <v>0</v>
      </c>
      <c r="BG1021">
        <v>0</v>
      </c>
      <c r="BI1021">
        <v>1</v>
      </c>
      <c r="BJ1021">
        <v>1</v>
      </c>
      <c r="BK1021">
        <v>1</v>
      </c>
      <c r="BL1021">
        <v>0</v>
      </c>
      <c r="BO1021">
        <v>0</v>
      </c>
      <c r="BP1021">
        <v>0</v>
      </c>
      <c r="BW1021" t="str">
        <f>"19:21:14.470"</f>
        <v>19:21:14.470</v>
      </c>
      <c r="BX1021" t="s">
        <v>119</v>
      </c>
      <c r="BY1021" t="s">
        <v>120</v>
      </c>
      <c r="CJ1021">
        <v>0</v>
      </c>
      <c r="CK1021">
        <v>0</v>
      </c>
      <c r="CL1021">
        <v>0</v>
      </c>
      <c r="CM1021">
        <v>2</v>
      </c>
      <c r="CN1021">
        <v>0</v>
      </c>
      <c r="CO1021">
        <v>7</v>
      </c>
      <c r="CP1021" t="s">
        <v>121</v>
      </c>
      <c r="CQ1021">
        <v>582</v>
      </c>
      <c r="CR1021">
        <v>0</v>
      </c>
      <c r="CW1021">
        <v>6874209</v>
      </c>
      <c r="CY1021">
        <v>0</v>
      </c>
      <c r="CZ1021">
        <v>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</row>
    <row r="1022" spans="1:113" x14ac:dyDescent="0.3">
      <c r="A1022" t="str">
        <f>"06/16/2022 19:21:15.613"</f>
        <v>06/16/2022 19:21:15.613</v>
      </c>
      <c r="C1022" t="str">
        <f t="shared" si="48"/>
        <v>FFBF5BC0</v>
      </c>
      <c r="D1022" t="s">
        <v>113</v>
      </c>
      <c r="E1022">
        <v>8</v>
      </c>
      <c r="H1022">
        <v>206</v>
      </c>
      <c r="I1022" t="s">
        <v>114</v>
      </c>
      <c r="J1022" t="s">
        <v>115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>"19:21:15.398"</f>
        <v>19:21:15.398</v>
      </c>
      <c r="T1022" t="str">
        <f>"19:21:15.398"</f>
        <v>19:21:15.398</v>
      </c>
      <c r="U1022" t="str">
        <f t="shared" si="46"/>
        <v>AB63B2</v>
      </c>
      <c r="V1022">
        <v>0</v>
      </c>
      <c r="W1022">
        <v>0</v>
      </c>
      <c r="X1022">
        <v>6</v>
      </c>
      <c r="Z1022">
        <v>0</v>
      </c>
      <c r="AA1022">
        <v>9</v>
      </c>
      <c r="AB1022">
        <v>3</v>
      </c>
      <c r="AC1022">
        <v>0</v>
      </c>
      <c r="AD1022">
        <v>10</v>
      </c>
      <c r="AE1022">
        <v>0</v>
      </c>
      <c r="AF1022">
        <v>0</v>
      </c>
      <c r="AG1022">
        <v>2</v>
      </c>
      <c r="AH1022">
        <v>0</v>
      </c>
      <c r="AI1022" t="s">
        <v>960</v>
      </c>
      <c r="AJ1022">
        <v>41.987901000000001</v>
      </c>
      <c r="AK1022" t="s">
        <v>930</v>
      </c>
      <c r="AL1022">
        <v>-87.890410000000003</v>
      </c>
      <c r="AS1022">
        <v>1</v>
      </c>
      <c r="AT1022" t="s">
        <v>118</v>
      </c>
      <c r="AU1022" t="b">
        <v>1</v>
      </c>
      <c r="AV1022">
        <v>0</v>
      </c>
      <c r="AW1022">
        <v>14.125</v>
      </c>
      <c r="AX1022">
        <v>1</v>
      </c>
      <c r="AZ1022">
        <v>7205</v>
      </c>
      <c r="BA1022">
        <v>1</v>
      </c>
      <c r="BB1022" t="str">
        <f t="shared" si="47"/>
        <v xml:space="preserve">KAP400  </v>
      </c>
      <c r="BC1022">
        <v>1</v>
      </c>
      <c r="BE1022">
        <v>0</v>
      </c>
      <c r="BF1022">
        <v>0</v>
      </c>
      <c r="BG1022">
        <v>0</v>
      </c>
      <c r="BI1022">
        <v>1</v>
      </c>
      <c r="BJ1022">
        <v>1</v>
      </c>
      <c r="BK1022">
        <v>1</v>
      </c>
      <c r="BL1022">
        <v>0</v>
      </c>
      <c r="BO1022">
        <v>0</v>
      </c>
      <c r="BP1022">
        <v>0</v>
      </c>
      <c r="BW1022" t="str">
        <f>"19:21:15.399"</f>
        <v>19:21:15.399</v>
      </c>
      <c r="BX1022" t="s">
        <v>119</v>
      </c>
      <c r="BY1022" t="s">
        <v>120</v>
      </c>
      <c r="CJ1022">
        <v>0</v>
      </c>
      <c r="CK1022">
        <v>0</v>
      </c>
      <c r="CL1022">
        <v>0</v>
      </c>
      <c r="CM1022">
        <v>2</v>
      </c>
      <c r="CN1022">
        <v>0</v>
      </c>
      <c r="CO1022">
        <v>7</v>
      </c>
      <c r="CP1022" t="s">
        <v>121</v>
      </c>
      <c r="CQ1022">
        <v>582</v>
      </c>
      <c r="CR1022">
        <v>0</v>
      </c>
      <c r="CW1022">
        <v>6875309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</row>
    <row r="1023" spans="1:113" x14ac:dyDescent="0.3">
      <c r="A1023" t="str">
        <f>"06/16/2022 19:21:16.566"</f>
        <v>06/16/2022 19:21:16.566</v>
      </c>
      <c r="C1023" t="str">
        <f t="shared" si="48"/>
        <v>FFBF5BC0</v>
      </c>
      <c r="D1023" t="s">
        <v>113</v>
      </c>
      <c r="E1023">
        <v>8</v>
      </c>
      <c r="H1023">
        <v>206</v>
      </c>
      <c r="I1023" t="s">
        <v>114</v>
      </c>
      <c r="J1023" t="s">
        <v>115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>"19:21:16.367"</f>
        <v>19:21:16.367</v>
      </c>
      <c r="T1023" t="str">
        <f>"19:21:16.367"</f>
        <v>19:21:16.367</v>
      </c>
      <c r="U1023" t="str">
        <f t="shared" si="46"/>
        <v>AB63B2</v>
      </c>
      <c r="V1023">
        <v>0</v>
      </c>
      <c r="W1023">
        <v>0</v>
      </c>
      <c r="X1023">
        <v>6</v>
      </c>
      <c r="Z1023">
        <v>0</v>
      </c>
      <c r="AA1023">
        <v>9</v>
      </c>
      <c r="AB1023">
        <v>3</v>
      </c>
      <c r="AC1023">
        <v>0</v>
      </c>
      <c r="AD1023">
        <v>10</v>
      </c>
      <c r="AE1023">
        <v>0</v>
      </c>
      <c r="AF1023">
        <v>0</v>
      </c>
      <c r="AG1023">
        <v>2</v>
      </c>
      <c r="AH1023">
        <v>0</v>
      </c>
      <c r="AI1023" t="s">
        <v>206</v>
      </c>
      <c r="AJ1023">
        <v>41.987965000000003</v>
      </c>
      <c r="AK1023" t="s">
        <v>921</v>
      </c>
      <c r="AL1023">
        <v>-87.890388999999999</v>
      </c>
      <c r="AS1023">
        <v>1</v>
      </c>
      <c r="AT1023" t="s">
        <v>118</v>
      </c>
      <c r="AU1023" t="b">
        <v>1</v>
      </c>
      <c r="AV1023">
        <v>0</v>
      </c>
      <c r="AW1023">
        <v>13.625</v>
      </c>
      <c r="AX1023">
        <v>1</v>
      </c>
      <c r="AZ1023">
        <v>7205</v>
      </c>
      <c r="BA1023">
        <v>1</v>
      </c>
      <c r="BB1023" t="str">
        <f t="shared" si="47"/>
        <v xml:space="preserve">KAP400  </v>
      </c>
      <c r="BC1023">
        <v>1</v>
      </c>
      <c r="BE1023">
        <v>0</v>
      </c>
      <c r="BF1023">
        <v>0</v>
      </c>
      <c r="BG1023">
        <v>0</v>
      </c>
      <c r="BI1023">
        <v>1</v>
      </c>
      <c r="BJ1023">
        <v>1</v>
      </c>
      <c r="BK1023">
        <v>1</v>
      </c>
      <c r="BL1023">
        <v>0</v>
      </c>
      <c r="BO1023">
        <v>0</v>
      </c>
      <c r="BP1023">
        <v>0</v>
      </c>
      <c r="BW1023" t="str">
        <f>"19:21:16.369"</f>
        <v>19:21:16.369</v>
      </c>
      <c r="BX1023" t="s">
        <v>119</v>
      </c>
      <c r="BY1023" t="s">
        <v>120</v>
      </c>
      <c r="CJ1023">
        <v>0</v>
      </c>
      <c r="CK1023">
        <v>0</v>
      </c>
      <c r="CL1023">
        <v>0</v>
      </c>
      <c r="CM1023">
        <v>2</v>
      </c>
      <c r="CN1023">
        <v>0</v>
      </c>
      <c r="CO1023">
        <v>7</v>
      </c>
      <c r="CP1023" t="s">
        <v>121</v>
      </c>
      <c r="CQ1023">
        <v>582</v>
      </c>
      <c r="CR1023">
        <v>0</v>
      </c>
      <c r="CW1023">
        <v>6876407</v>
      </c>
      <c r="CY1023">
        <v>0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</row>
    <row r="1024" spans="1:113" x14ac:dyDescent="0.3">
      <c r="A1024" t="str">
        <f>"06/16/2022 19:21:17.504"</f>
        <v>06/16/2022 19:21:17.504</v>
      </c>
      <c r="C1024" t="str">
        <f t="shared" si="48"/>
        <v>FFBF5BC0</v>
      </c>
      <c r="D1024" t="s">
        <v>113</v>
      </c>
      <c r="E1024">
        <v>8</v>
      </c>
      <c r="H1024">
        <v>206</v>
      </c>
      <c r="I1024" t="s">
        <v>114</v>
      </c>
      <c r="J1024" t="s">
        <v>115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>"19:21:17.234"</f>
        <v>19:21:17.234</v>
      </c>
      <c r="T1024" t="str">
        <f>"19:21:17.234"</f>
        <v>19:21:17.234</v>
      </c>
      <c r="U1024" t="str">
        <f t="shared" si="46"/>
        <v>AB63B2</v>
      </c>
      <c r="V1024">
        <v>0</v>
      </c>
      <c r="W1024">
        <v>0</v>
      </c>
      <c r="X1024">
        <v>6</v>
      </c>
      <c r="Z1024">
        <v>0</v>
      </c>
      <c r="AA1024">
        <v>9</v>
      </c>
      <c r="AB1024">
        <v>3</v>
      </c>
      <c r="AC1024">
        <v>0</v>
      </c>
      <c r="AD1024">
        <v>10</v>
      </c>
      <c r="AE1024">
        <v>0</v>
      </c>
      <c r="AF1024">
        <v>0</v>
      </c>
      <c r="AG1024">
        <v>2</v>
      </c>
      <c r="AH1024">
        <v>0</v>
      </c>
      <c r="AI1024" t="s">
        <v>961</v>
      </c>
      <c r="AJ1024">
        <v>41.988008000000001</v>
      </c>
      <c r="AK1024" t="s">
        <v>930</v>
      </c>
      <c r="AL1024">
        <v>-87.890410000000003</v>
      </c>
      <c r="AS1024">
        <v>1</v>
      </c>
      <c r="AT1024" t="s">
        <v>118</v>
      </c>
      <c r="AU1024" t="b">
        <v>1</v>
      </c>
      <c r="AV1024">
        <v>0</v>
      </c>
      <c r="AW1024">
        <v>13.625</v>
      </c>
      <c r="AX1024">
        <v>1</v>
      </c>
      <c r="AZ1024">
        <v>7205</v>
      </c>
      <c r="BA1024">
        <v>1</v>
      </c>
      <c r="BB1024" t="str">
        <f t="shared" si="47"/>
        <v xml:space="preserve">KAP400  </v>
      </c>
      <c r="BC1024">
        <v>1</v>
      </c>
      <c r="BE1024">
        <v>0</v>
      </c>
      <c r="BF1024">
        <v>0</v>
      </c>
      <c r="BG1024">
        <v>0</v>
      </c>
      <c r="BI1024">
        <v>1</v>
      </c>
      <c r="BJ1024">
        <v>1</v>
      </c>
      <c r="BK1024">
        <v>1</v>
      </c>
      <c r="BL1024">
        <v>0</v>
      </c>
      <c r="BO1024">
        <v>0</v>
      </c>
      <c r="BP1024">
        <v>0</v>
      </c>
      <c r="BW1024" t="str">
        <f>"19:21:17.238"</f>
        <v>19:21:17.238</v>
      </c>
      <c r="BX1024" t="s">
        <v>119</v>
      </c>
      <c r="BY1024" t="s">
        <v>120</v>
      </c>
      <c r="CJ1024">
        <v>0</v>
      </c>
      <c r="CK1024">
        <v>0</v>
      </c>
      <c r="CL1024">
        <v>0</v>
      </c>
      <c r="CM1024">
        <v>2</v>
      </c>
      <c r="CN1024">
        <v>0</v>
      </c>
      <c r="CO1024">
        <v>7</v>
      </c>
      <c r="CP1024" t="s">
        <v>121</v>
      </c>
      <c r="CQ1024">
        <v>582</v>
      </c>
      <c r="CR1024">
        <v>0</v>
      </c>
      <c r="CW1024">
        <v>6877399</v>
      </c>
      <c r="CY1024">
        <v>0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</row>
    <row r="1025" spans="1:113" x14ac:dyDescent="0.3">
      <c r="A1025" t="str">
        <f>"06/16/2022 19:21:18.473"</f>
        <v>06/16/2022 19:21:18.473</v>
      </c>
      <c r="C1025" t="str">
        <f t="shared" si="48"/>
        <v>FFBF5BC0</v>
      </c>
      <c r="D1025" t="s">
        <v>113</v>
      </c>
      <c r="E1025">
        <v>8</v>
      </c>
      <c r="H1025">
        <v>206</v>
      </c>
      <c r="I1025" t="s">
        <v>114</v>
      </c>
      <c r="J1025" t="s">
        <v>115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>"19:21:18.242"</f>
        <v>19:21:18.242</v>
      </c>
      <c r="T1025" t="str">
        <f>"19:21:18.242"</f>
        <v>19:21:18.242</v>
      </c>
      <c r="U1025" t="str">
        <f t="shared" si="46"/>
        <v>AB63B2</v>
      </c>
      <c r="V1025">
        <v>0</v>
      </c>
      <c r="W1025">
        <v>0</v>
      </c>
      <c r="X1025">
        <v>6</v>
      </c>
      <c r="Z1025">
        <v>0</v>
      </c>
      <c r="AA1025">
        <v>9</v>
      </c>
      <c r="AB1025">
        <v>3</v>
      </c>
      <c r="AC1025">
        <v>0</v>
      </c>
      <c r="AD1025">
        <v>10</v>
      </c>
      <c r="AE1025">
        <v>0</v>
      </c>
      <c r="AF1025">
        <v>0</v>
      </c>
      <c r="AG1025">
        <v>2</v>
      </c>
      <c r="AH1025">
        <v>0</v>
      </c>
      <c r="AI1025" t="s">
        <v>205</v>
      </c>
      <c r="AJ1025">
        <v>41.988072000000003</v>
      </c>
      <c r="AK1025" t="s">
        <v>930</v>
      </c>
      <c r="AL1025">
        <v>-87.890410000000003</v>
      </c>
      <c r="AS1025">
        <v>1</v>
      </c>
      <c r="AT1025" t="s">
        <v>118</v>
      </c>
      <c r="AU1025" t="b">
        <v>1</v>
      </c>
      <c r="AV1025">
        <v>0</v>
      </c>
      <c r="AW1025">
        <v>13.125</v>
      </c>
      <c r="AX1025">
        <v>1</v>
      </c>
      <c r="AZ1025">
        <v>7205</v>
      </c>
      <c r="BA1025">
        <v>1</v>
      </c>
      <c r="BB1025" t="str">
        <f t="shared" si="47"/>
        <v xml:space="preserve">KAP400  </v>
      </c>
      <c r="BC1025">
        <v>1</v>
      </c>
      <c r="BE1025">
        <v>0</v>
      </c>
      <c r="BF1025">
        <v>0</v>
      </c>
      <c r="BG1025">
        <v>0</v>
      </c>
      <c r="BI1025">
        <v>1</v>
      </c>
      <c r="BJ1025">
        <v>1</v>
      </c>
      <c r="BK1025">
        <v>1</v>
      </c>
      <c r="BL1025">
        <v>0</v>
      </c>
      <c r="BO1025">
        <v>0</v>
      </c>
      <c r="BP1025">
        <v>0</v>
      </c>
      <c r="BW1025" t="str">
        <f>"19:21:18.244"</f>
        <v>19:21:18.244</v>
      </c>
      <c r="BX1025" t="s">
        <v>119</v>
      </c>
      <c r="BY1025" t="s">
        <v>120</v>
      </c>
      <c r="CJ1025">
        <v>0</v>
      </c>
      <c r="CK1025">
        <v>0</v>
      </c>
      <c r="CL1025">
        <v>0</v>
      </c>
      <c r="CM1025">
        <v>2</v>
      </c>
      <c r="CN1025">
        <v>0</v>
      </c>
      <c r="CO1025">
        <v>7</v>
      </c>
      <c r="CP1025" t="s">
        <v>121</v>
      </c>
      <c r="CQ1025">
        <v>582</v>
      </c>
      <c r="CR1025">
        <v>0</v>
      </c>
      <c r="CW1025">
        <v>6878549</v>
      </c>
      <c r="CY1025">
        <v>0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</row>
    <row r="1026" spans="1:113" x14ac:dyDescent="0.3">
      <c r="A1026" t="str">
        <f>"06/16/2022 19:21:19.473"</f>
        <v>06/16/2022 19:21:19.473</v>
      </c>
      <c r="C1026" t="str">
        <f t="shared" si="48"/>
        <v>FFBF5BC0</v>
      </c>
      <c r="D1026" t="s">
        <v>113</v>
      </c>
      <c r="E1026">
        <v>8</v>
      </c>
      <c r="H1026">
        <v>206</v>
      </c>
      <c r="I1026" t="s">
        <v>114</v>
      </c>
      <c r="J1026" t="s">
        <v>115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>"19:21:19.219"</f>
        <v>19:21:19.219</v>
      </c>
      <c r="T1026" t="str">
        <f>"19:21:19.219"</f>
        <v>19:21:19.219</v>
      </c>
      <c r="U1026" t="str">
        <f t="shared" ref="U1026:U1089" si="49">"AB63B2"</f>
        <v>AB63B2</v>
      </c>
      <c r="V1026">
        <v>0</v>
      </c>
      <c r="W1026">
        <v>0</v>
      </c>
      <c r="X1026">
        <v>6</v>
      </c>
      <c r="Z1026">
        <v>0</v>
      </c>
      <c r="AA1026">
        <v>9</v>
      </c>
      <c r="AB1026">
        <v>3</v>
      </c>
      <c r="AC1026">
        <v>0</v>
      </c>
      <c r="AD1026">
        <v>10</v>
      </c>
      <c r="AE1026">
        <v>0</v>
      </c>
      <c r="AF1026">
        <v>0</v>
      </c>
      <c r="AG1026">
        <v>2</v>
      </c>
      <c r="AH1026">
        <v>0</v>
      </c>
      <c r="AI1026" t="s">
        <v>962</v>
      </c>
      <c r="AJ1026">
        <v>41.988137000000002</v>
      </c>
      <c r="AK1026" t="s">
        <v>921</v>
      </c>
      <c r="AL1026">
        <v>-87.890388999999999</v>
      </c>
      <c r="AS1026">
        <v>1</v>
      </c>
      <c r="AT1026" t="s">
        <v>118</v>
      </c>
      <c r="AU1026" t="b">
        <v>1</v>
      </c>
      <c r="AV1026">
        <v>2.81</v>
      </c>
      <c r="AW1026">
        <v>13.125</v>
      </c>
      <c r="AX1026">
        <v>1</v>
      </c>
      <c r="AZ1026">
        <v>7205</v>
      </c>
      <c r="BA1026">
        <v>1</v>
      </c>
      <c r="BB1026" t="str">
        <f t="shared" ref="BB1026:BB1089" si="50">"KAP400  "</f>
        <v xml:space="preserve">KAP400  </v>
      </c>
      <c r="BC1026">
        <v>1</v>
      </c>
      <c r="BE1026">
        <v>0</v>
      </c>
      <c r="BF1026">
        <v>0</v>
      </c>
      <c r="BG1026">
        <v>0</v>
      </c>
      <c r="BI1026">
        <v>1</v>
      </c>
      <c r="BJ1026">
        <v>1</v>
      </c>
      <c r="BK1026">
        <v>1</v>
      </c>
      <c r="BL1026">
        <v>0</v>
      </c>
      <c r="BO1026">
        <v>0</v>
      </c>
      <c r="BP1026">
        <v>0</v>
      </c>
      <c r="BW1026" t="str">
        <f>"19:21:19.222"</f>
        <v>19:21:19.222</v>
      </c>
      <c r="BX1026" t="s">
        <v>119</v>
      </c>
      <c r="BY1026" t="s">
        <v>120</v>
      </c>
      <c r="CJ1026">
        <v>0</v>
      </c>
      <c r="CK1026">
        <v>0</v>
      </c>
      <c r="CL1026">
        <v>0</v>
      </c>
      <c r="CM1026">
        <v>2</v>
      </c>
      <c r="CN1026">
        <v>0</v>
      </c>
      <c r="CO1026">
        <v>7</v>
      </c>
      <c r="CP1026" t="s">
        <v>121</v>
      </c>
      <c r="CQ1026">
        <v>582</v>
      </c>
      <c r="CR1026">
        <v>0</v>
      </c>
      <c r="CW1026">
        <v>6879571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</row>
    <row r="1027" spans="1:113" x14ac:dyDescent="0.3">
      <c r="A1027" t="str">
        <f>"06/16/2022 19:21:20.363"</f>
        <v>06/16/2022 19:21:20.363</v>
      </c>
      <c r="C1027" t="str">
        <f t="shared" si="48"/>
        <v>FFBF5BC0</v>
      </c>
      <c r="D1027" t="s">
        <v>113</v>
      </c>
      <c r="E1027">
        <v>8</v>
      </c>
      <c r="H1027">
        <v>206</v>
      </c>
      <c r="I1027" t="s">
        <v>114</v>
      </c>
      <c r="J1027" t="s">
        <v>115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>"19:21:20.148"</f>
        <v>19:21:20.148</v>
      </c>
      <c r="T1027" t="str">
        <f>"19:21:20.148"</f>
        <v>19:21:20.148</v>
      </c>
      <c r="U1027" t="str">
        <f t="shared" si="49"/>
        <v>AB63B2</v>
      </c>
      <c r="V1027">
        <v>0</v>
      </c>
      <c r="W1027">
        <v>0</v>
      </c>
      <c r="X1027">
        <v>6</v>
      </c>
      <c r="Z1027">
        <v>0</v>
      </c>
      <c r="AA1027">
        <v>9</v>
      </c>
      <c r="AB1027">
        <v>3</v>
      </c>
      <c r="AC1027">
        <v>0</v>
      </c>
      <c r="AD1027">
        <v>10</v>
      </c>
      <c r="AE1027">
        <v>0</v>
      </c>
      <c r="AF1027">
        <v>0</v>
      </c>
      <c r="AG1027">
        <v>2</v>
      </c>
      <c r="AH1027">
        <v>0</v>
      </c>
      <c r="AI1027" t="s">
        <v>963</v>
      </c>
      <c r="AJ1027">
        <v>41.98818</v>
      </c>
      <c r="AK1027" t="s">
        <v>921</v>
      </c>
      <c r="AL1027">
        <v>-87.890388999999999</v>
      </c>
      <c r="AS1027">
        <v>1</v>
      </c>
      <c r="AT1027" t="s">
        <v>118</v>
      </c>
      <c r="AU1027" t="b">
        <v>1</v>
      </c>
      <c r="AV1027">
        <v>0</v>
      </c>
      <c r="AW1027">
        <v>12.625</v>
      </c>
      <c r="AX1027">
        <v>1</v>
      </c>
      <c r="AZ1027">
        <v>7205</v>
      </c>
      <c r="BA1027">
        <v>1</v>
      </c>
      <c r="BB1027" t="str">
        <f t="shared" si="50"/>
        <v xml:space="preserve">KAP400  </v>
      </c>
      <c r="BC1027">
        <v>1</v>
      </c>
      <c r="BE1027">
        <v>0</v>
      </c>
      <c r="BF1027">
        <v>0</v>
      </c>
      <c r="BG1027">
        <v>0</v>
      </c>
      <c r="BI1027">
        <v>1</v>
      </c>
      <c r="BJ1027">
        <v>1</v>
      </c>
      <c r="BK1027">
        <v>1</v>
      </c>
      <c r="BL1027">
        <v>0</v>
      </c>
      <c r="BO1027">
        <v>0</v>
      </c>
      <c r="BP1027">
        <v>0</v>
      </c>
      <c r="BW1027" t="str">
        <f>"19:21:20.156"</f>
        <v>19:21:20.156</v>
      </c>
      <c r="BX1027" t="s">
        <v>119</v>
      </c>
      <c r="BY1027" t="s">
        <v>120</v>
      </c>
      <c r="CJ1027">
        <v>0</v>
      </c>
      <c r="CK1027">
        <v>0</v>
      </c>
      <c r="CL1027">
        <v>0</v>
      </c>
      <c r="CM1027">
        <v>2</v>
      </c>
      <c r="CN1027">
        <v>0</v>
      </c>
      <c r="CO1027">
        <v>7</v>
      </c>
      <c r="CP1027" t="s">
        <v>121</v>
      </c>
      <c r="CQ1027">
        <v>582</v>
      </c>
      <c r="CR1027">
        <v>0</v>
      </c>
      <c r="CW1027">
        <v>6880621</v>
      </c>
      <c r="CY1027">
        <v>0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</row>
    <row r="1028" spans="1:113" x14ac:dyDescent="0.3">
      <c r="A1028" t="str">
        <f>"06/16/2022 19:21:21.207"</f>
        <v>06/16/2022 19:21:21.207</v>
      </c>
      <c r="C1028" t="str">
        <f t="shared" si="48"/>
        <v>FFBF5BC0</v>
      </c>
      <c r="D1028" t="s">
        <v>113</v>
      </c>
      <c r="E1028">
        <v>8</v>
      </c>
      <c r="H1028">
        <v>206</v>
      </c>
      <c r="I1028" t="s">
        <v>114</v>
      </c>
      <c r="J1028" t="s">
        <v>115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>"19:21:21.023"</f>
        <v>19:21:21.023</v>
      </c>
      <c r="T1028" t="str">
        <f>"19:21:21.023"</f>
        <v>19:21:21.023</v>
      </c>
      <c r="U1028" t="str">
        <f t="shared" si="49"/>
        <v>AB63B2</v>
      </c>
      <c r="V1028">
        <v>0</v>
      </c>
      <c r="W1028">
        <v>0</v>
      </c>
      <c r="X1028">
        <v>6</v>
      </c>
      <c r="Z1028">
        <v>0</v>
      </c>
      <c r="AA1028">
        <v>9</v>
      </c>
      <c r="AB1028">
        <v>3</v>
      </c>
      <c r="AC1028">
        <v>0</v>
      </c>
      <c r="AD1028">
        <v>10</v>
      </c>
      <c r="AE1028">
        <v>0</v>
      </c>
      <c r="AF1028">
        <v>0</v>
      </c>
      <c r="AG1028">
        <v>2</v>
      </c>
      <c r="AH1028">
        <v>0</v>
      </c>
      <c r="AI1028" t="s">
        <v>964</v>
      </c>
      <c r="AJ1028">
        <v>41.988244000000002</v>
      </c>
      <c r="AK1028" t="s">
        <v>921</v>
      </c>
      <c r="AL1028">
        <v>-87.890388999999999</v>
      </c>
      <c r="AS1028">
        <v>1</v>
      </c>
      <c r="AT1028" t="s">
        <v>118</v>
      </c>
      <c r="AU1028" t="b">
        <v>1</v>
      </c>
      <c r="AV1028">
        <v>0</v>
      </c>
      <c r="AW1028">
        <v>12.625</v>
      </c>
      <c r="AX1028">
        <v>1</v>
      </c>
      <c r="AZ1028">
        <v>7205</v>
      </c>
      <c r="BA1028">
        <v>1</v>
      </c>
      <c r="BB1028" t="str">
        <f t="shared" si="50"/>
        <v xml:space="preserve">KAP400  </v>
      </c>
      <c r="BC1028">
        <v>1</v>
      </c>
      <c r="BE1028">
        <v>0</v>
      </c>
      <c r="BF1028">
        <v>0</v>
      </c>
      <c r="BG1028">
        <v>0</v>
      </c>
      <c r="BI1028">
        <v>1</v>
      </c>
      <c r="BJ1028">
        <v>1</v>
      </c>
      <c r="BK1028">
        <v>1</v>
      </c>
      <c r="BL1028">
        <v>0</v>
      </c>
      <c r="BO1028">
        <v>0</v>
      </c>
      <c r="BP1028">
        <v>0</v>
      </c>
      <c r="BW1028" t="str">
        <f>"19:21:21.026"</f>
        <v>19:21:21.026</v>
      </c>
      <c r="BX1028" t="s">
        <v>119</v>
      </c>
      <c r="BY1028" t="s">
        <v>120</v>
      </c>
      <c r="CJ1028">
        <v>0</v>
      </c>
      <c r="CK1028">
        <v>0</v>
      </c>
      <c r="CL1028">
        <v>0</v>
      </c>
      <c r="CM1028">
        <v>2</v>
      </c>
      <c r="CN1028">
        <v>0</v>
      </c>
      <c r="CO1028">
        <v>7</v>
      </c>
      <c r="CP1028" t="s">
        <v>121</v>
      </c>
      <c r="CQ1028">
        <v>582</v>
      </c>
      <c r="CR1028">
        <v>0</v>
      </c>
      <c r="CW1028">
        <v>6881656</v>
      </c>
      <c r="CY1028">
        <v>0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</row>
    <row r="1029" spans="1:113" x14ac:dyDescent="0.3">
      <c r="A1029" t="str">
        <f>"06/16/2022 19:21:22.051"</f>
        <v>06/16/2022 19:21:22.051</v>
      </c>
      <c r="C1029" t="str">
        <f t="shared" si="48"/>
        <v>FFBF5BC0</v>
      </c>
      <c r="D1029" t="s">
        <v>113</v>
      </c>
      <c r="E1029">
        <v>8</v>
      </c>
      <c r="H1029">
        <v>206</v>
      </c>
      <c r="I1029" t="s">
        <v>114</v>
      </c>
      <c r="J1029" t="s">
        <v>115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>"19:21:21.836"</f>
        <v>19:21:21.836</v>
      </c>
      <c r="T1029" t="str">
        <f>"19:21:21.836"</f>
        <v>19:21:21.836</v>
      </c>
      <c r="U1029" t="str">
        <f t="shared" si="49"/>
        <v>AB63B2</v>
      </c>
      <c r="V1029">
        <v>0</v>
      </c>
      <c r="W1029">
        <v>0</v>
      </c>
      <c r="X1029">
        <v>6</v>
      </c>
      <c r="Z1029">
        <v>0</v>
      </c>
      <c r="AA1029">
        <v>9</v>
      </c>
      <c r="AB1029">
        <v>3</v>
      </c>
      <c r="AC1029">
        <v>0</v>
      </c>
      <c r="AD1029">
        <v>10</v>
      </c>
      <c r="AE1029">
        <v>0</v>
      </c>
      <c r="AF1029">
        <v>0</v>
      </c>
      <c r="AG1029">
        <v>2</v>
      </c>
      <c r="AH1029">
        <v>0</v>
      </c>
      <c r="AI1029" t="s">
        <v>965</v>
      </c>
      <c r="AJ1029">
        <v>41.988287</v>
      </c>
      <c r="AK1029" t="s">
        <v>921</v>
      </c>
      <c r="AL1029">
        <v>-87.890388999999999</v>
      </c>
      <c r="AS1029">
        <v>1</v>
      </c>
      <c r="AT1029" t="s">
        <v>118</v>
      </c>
      <c r="AU1029" t="b">
        <v>1</v>
      </c>
      <c r="AV1029">
        <v>0</v>
      </c>
      <c r="AW1029">
        <v>12.125</v>
      </c>
      <c r="AX1029">
        <v>1</v>
      </c>
      <c r="AZ1029">
        <v>7205</v>
      </c>
      <c r="BA1029">
        <v>1</v>
      </c>
      <c r="BB1029" t="str">
        <f t="shared" si="50"/>
        <v xml:space="preserve">KAP400  </v>
      </c>
      <c r="BC1029">
        <v>1</v>
      </c>
      <c r="BE1029">
        <v>0</v>
      </c>
      <c r="BF1029">
        <v>0</v>
      </c>
      <c r="BG1029">
        <v>0</v>
      </c>
      <c r="BI1029">
        <v>1</v>
      </c>
      <c r="BJ1029">
        <v>1</v>
      </c>
      <c r="BK1029">
        <v>1</v>
      </c>
      <c r="BL1029">
        <v>0</v>
      </c>
      <c r="BO1029">
        <v>0</v>
      </c>
      <c r="BP1029">
        <v>0</v>
      </c>
      <c r="BW1029" t="str">
        <f>"19:21:21.837"</f>
        <v>19:21:21.837</v>
      </c>
      <c r="BX1029" t="s">
        <v>119</v>
      </c>
      <c r="BY1029" t="s">
        <v>120</v>
      </c>
      <c r="CJ1029">
        <v>0</v>
      </c>
      <c r="CK1029">
        <v>0</v>
      </c>
      <c r="CL1029">
        <v>0</v>
      </c>
      <c r="CM1029">
        <v>2</v>
      </c>
      <c r="CN1029">
        <v>0</v>
      </c>
      <c r="CO1029">
        <v>7</v>
      </c>
      <c r="CP1029" t="s">
        <v>121</v>
      </c>
      <c r="CQ1029">
        <v>582</v>
      </c>
      <c r="CR1029">
        <v>0</v>
      </c>
      <c r="CW1029">
        <v>6882562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</row>
    <row r="1030" spans="1:113" x14ac:dyDescent="0.3">
      <c r="A1030" t="str">
        <f>"06/16/2022 19:21:23.207"</f>
        <v>06/16/2022 19:21:23.207</v>
      </c>
      <c r="C1030" t="str">
        <f t="shared" si="48"/>
        <v>FFBF5BC0</v>
      </c>
      <c r="D1030" t="s">
        <v>113</v>
      </c>
      <c r="E1030">
        <v>8</v>
      </c>
      <c r="H1030">
        <v>206</v>
      </c>
      <c r="I1030" t="s">
        <v>114</v>
      </c>
      <c r="J1030" t="s">
        <v>115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>"19:21:22.906"</f>
        <v>19:21:22.906</v>
      </c>
      <c r="T1030" t="str">
        <f>"19:21:22.906"</f>
        <v>19:21:22.906</v>
      </c>
      <c r="U1030" t="str">
        <f t="shared" si="49"/>
        <v>AB63B2</v>
      </c>
      <c r="V1030">
        <v>0</v>
      </c>
      <c r="W1030">
        <v>0</v>
      </c>
      <c r="X1030">
        <v>6</v>
      </c>
      <c r="Z1030">
        <v>0</v>
      </c>
      <c r="AA1030">
        <v>9</v>
      </c>
      <c r="AB1030">
        <v>3</v>
      </c>
      <c r="AC1030">
        <v>0</v>
      </c>
      <c r="AD1030">
        <v>10</v>
      </c>
      <c r="AE1030">
        <v>0</v>
      </c>
      <c r="AF1030">
        <v>0</v>
      </c>
      <c r="AG1030">
        <v>2</v>
      </c>
      <c r="AH1030">
        <v>0</v>
      </c>
      <c r="AI1030" t="s">
        <v>966</v>
      </c>
      <c r="AJ1030">
        <v>41.988329999999998</v>
      </c>
      <c r="AK1030" t="s">
        <v>921</v>
      </c>
      <c r="AL1030">
        <v>-87.890388999999999</v>
      </c>
      <c r="AS1030">
        <v>1</v>
      </c>
      <c r="AT1030" t="s">
        <v>118</v>
      </c>
      <c r="AU1030" t="b">
        <v>1</v>
      </c>
      <c r="AV1030">
        <v>0</v>
      </c>
      <c r="AW1030">
        <v>12.125</v>
      </c>
      <c r="AX1030">
        <v>1</v>
      </c>
      <c r="AZ1030">
        <v>7205</v>
      </c>
      <c r="BA1030">
        <v>1</v>
      </c>
      <c r="BB1030" t="str">
        <f t="shared" si="50"/>
        <v xml:space="preserve">KAP400  </v>
      </c>
      <c r="BC1030">
        <v>1</v>
      </c>
      <c r="BE1030">
        <v>0</v>
      </c>
      <c r="BF1030">
        <v>0</v>
      </c>
      <c r="BG1030">
        <v>0</v>
      </c>
      <c r="BI1030">
        <v>1</v>
      </c>
      <c r="BJ1030">
        <v>1</v>
      </c>
      <c r="BK1030">
        <v>1</v>
      </c>
      <c r="BL1030">
        <v>0</v>
      </c>
      <c r="BO1030">
        <v>0</v>
      </c>
      <c r="BP1030">
        <v>0</v>
      </c>
      <c r="BW1030" t="str">
        <f>"19:21:22.908"</f>
        <v>19:21:22.908</v>
      </c>
      <c r="BX1030" t="s">
        <v>119</v>
      </c>
      <c r="BY1030" t="s">
        <v>120</v>
      </c>
      <c r="CJ1030">
        <v>0</v>
      </c>
      <c r="CK1030">
        <v>0</v>
      </c>
      <c r="CL1030">
        <v>0</v>
      </c>
      <c r="CM1030">
        <v>2</v>
      </c>
      <c r="CN1030">
        <v>0</v>
      </c>
      <c r="CO1030">
        <v>7</v>
      </c>
      <c r="CP1030" t="s">
        <v>121</v>
      </c>
      <c r="CQ1030">
        <v>582</v>
      </c>
      <c r="CR1030">
        <v>0</v>
      </c>
      <c r="CW1030">
        <v>6883929</v>
      </c>
      <c r="CY1030">
        <v>0</v>
      </c>
      <c r="CZ1030">
        <v>0</v>
      </c>
      <c r="DA1030">
        <v>0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</row>
    <row r="1031" spans="1:113" x14ac:dyDescent="0.3">
      <c r="A1031" t="str">
        <f>"06/16/2022 19:21:24.098"</f>
        <v>06/16/2022 19:21:24.098</v>
      </c>
      <c r="C1031" t="str">
        <f t="shared" si="48"/>
        <v>FFBF5BC0</v>
      </c>
      <c r="D1031" t="s">
        <v>113</v>
      </c>
      <c r="E1031">
        <v>8</v>
      </c>
      <c r="H1031">
        <v>206</v>
      </c>
      <c r="I1031" t="s">
        <v>114</v>
      </c>
      <c r="J1031" t="s">
        <v>115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>"19:21:23.914"</f>
        <v>19:21:23.914</v>
      </c>
      <c r="T1031" t="str">
        <f>"19:21:23.914"</f>
        <v>19:21:23.914</v>
      </c>
      <c r="U1031" t="str">
        <f t="shared" si="49"/>
        <v>AB63B2</v>
      </c>
      <c r="V1031">
        <v>0</v>
      </c>
      <c r="W1031">
        <v>0</v>
      </c>
      <c r="X1031">
        <v>6</v>
      </c>
      <c r="Z1031">
        <v>0</v>
      </c>
      <c r="AA1031">
        <v>9</v>
      </c>
      <c r="AB1031">
        <v>3</v>
      </c>
      <c r="AC1031">
        <v>0</v>
      </c>
      <c r="AD1031">
        <v>10</v>
      </c>
      <c r="AE1031">
        <v>0</v>
      </c>
      <c r="AF1031">
        <v>0</v>
      </c>
      <c r="AG1031">
        <v>2</v>
      </c>
      <c r="AH1031">
        <v>0</v>
      </c>
      <c r="AI1031" t="s">
        <v>967</v>
      </c>
      <c r="AJ1031">
        <v>41.988394</v>
      </c>
      <c r="AK1031" t="s">
        <v>921</v>
      </c>
      <c r="AL1031">
        <v>-87.890388999999999</v>
      </c>
      <c r="AS1031">
        <v>1</v>
      </c>
      <c r="AT1031" t="s">
        <v>118</v>
      </c>
      <c r="AU1031" t="b">
        <v>1</v>
      </c>
      <c r="AV1031">
        <v>0</v>
      </c>
      <c r="AW1031">
        <v>12.125</v>
      </c>
      <c r="AX1031">
        <v>1</v>
      </c>
      <c r="AZ1031">
        <v>7205</v>
      </c>
      <c r="BA1031">
        <v>1</v>
      </c>
      <c r="BB1031" t="str">
        <f t="shared" si="50"/>
        <v xml:space="preserve">KAP400  </v>
      </c>
      <c r="BC1031">
        <v>1</v>
      </c>
      <c r="BE1031">
        <v>0</v>
      </c>
      <c r="BF1031">
        <v>0</v>
      </c>
      <c r="BG1031">
        <v>0</v>
      </c>
      <c r="BI1031">
        <v>1</v>
      </c>
      <c r="BJ1031">
        <v>1</v>
      </c>
      <c r="BK1031">
        <v>1</v>
      </c>
      <c r="BL1031">
        <v>0</v>
      </c>
      <c r="BO1031">
        <v>0</v>
      </c>
      <c r="BP1031">
        <v>0</v>
      </c>
      <c r="BW1031" t="str">
        <f>"19:21:23.914"</f>
        <v>19:21:23.914</v>
      </c>
      <c r="BX1031" t="s">
        <v>119</v>
      </c>
      <c r="BY1031" t="s">
        <v>120</v>
      </c>
      <c r="CJ1031">
        <v>0</v>
      </c>
      <c r="CK1031">
        <v>0</v>
      </c>
      <c r="CL1031">
        <v>0</v>
      </c>
      <c r="CM1031">
        <v>2</v>
      </c>
      <c r="CN1031">
        <v>0</v>
      </c>
      <c r="CO1031">
        <v>7</v>
      </c>
      <c r="CP1031" t="s">
        <v>121</v>
      </c>
      <c r="CQ1031">
        <v>581</v>
      </c>
      <c r="CR1031">
        <v>0</v>
      </c>
      <c r="CW1031">
        <v>16005292</v>
      </c>
      <c r="CY1031">
        <v>0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</row>
    <row r="1032" spans="1:113" x14ac:dyDescent="0.3">
      <c r="A1032" t="str">
        <f>"06/16/2022 19:21:25.067"</f>
        <v>06/16/2022 19:21:25.067</v>
      </c>
      <c r="C1032" t="str">
        <f t="shared" si="48"/>
        <v>FFBF5BC0</v>
      </c>
      <c r="D1032" t="s">
        <v>113</v>
      </c>
      <c r="E1032">
        <v>8</v>
      </c>
      <c r="H1032">
        <v>206</v>
      </c>
      <c r="I1032" t="s">
        <v>114</v>
      </c>
      <c r="J1032" t="s">
        <v>115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>"19:21:24.813"</f>
        <v>19:21:24.813</v>
      </c>
      <c r="T1032" t="str">
        <f>"19:21:24.813"</f>
        <v>19:21:24.813</v>
      </c>
      <c r="U1032" t="str">
        <f t="shared" si="49"/>
        <v>AB63B2</v>
      </c>
      <c r="V1032">
        <v>0</v>
      </c>
      <c r="W1032">
        <v>0</v>
      </c>
      <c r="X1032">
        <v>6</v>
      </c>
      <c r="Z1032">
        <v>0</v>
      </c>
      <c r="AA1032">
        <v>9</v>
      </c>
      <c r="AB1032">
        <v>3</v>
      </c>
      <c r="AC1032">
        <v>0</v>
      </c>
      <c r="AD1032">
        <v>10</v>
      </c>
      <c r="AE1032">
        <v>0</v>
      </c>
      <c r="AF1032">
        <v>0</v>
      </c>
      <c r="AG1032">
        <v>2</v>
      </c>
      <c r="AH1032">
        <v>0</v>
      </c>
      <c r="AI1032" t="s">
        <v>201</v>
      </c>
      <c r="AJ1032">
        <v>41.988436999999998</v>
      </c>
      <c r="AK1032" t="s">
        <v>921</v>
      </c>
      <c r="AL1032">
        <v>-87.890388999999999</v>
      </c>
      <c r="AS1032">
        <v>1</v>
      </c>
      <c r="AT1032" t="s">
        <v>118</v>
      </c>
      <c r="AU1032" t="b">
        <v>1</v>
      </c>
      <c r="AV1032">
        <v>0</v>
      </c>
      <c r="AW1032">
        <v>12.125</v>
      </c>
      <c r="AX1032">
        <v>1</v>
      </c>
      <c r="AZ1032">
        <v>7205</v>
      </c>
      <c r="BA1032">
        <v>1</v>
      </c>
      <c r="BB1032" t="str">
        <f t="shared" si="50"/>
        <v xml:space="preserve">KAP400  </v>
      </c>
      <c r="BC1032">
        <v>1</v>
      </c>
      <c r="BE1032">
        <v>0</v>
      </c>
      <c r="BF1032">
        <v>0</v>
      </c>
      <c r="BG1032">
        <v>0</v>
      </c>
      <c r="BI1032">
        <v>1</v>
      </c>
      <c r="BJ1032">
        <v>1</v>
      </c>
      <c r="BK1032">
        <v>1</v>
      </c>
      <c r="BL1032">
        <v>0</v>
      </c>
      <c r="BO1032">
        <v>0</v>
      </c>
      <c r="BP1032">
        <v>0</v>
      </c>
      <c r="BW1032" t="str">
        <f>"19:21:24.817"</f>
        <v>19:21:24.817</v>
      </c>
      <c r="BX1032" t="s">
        <v>119</v>
      </c>
      <c r="BY1032" t="s">
        <v>120</v>
      </c>
      <c r="CJ1032">
        <v>0</v>
      </c>
      <c r="CK1032">
        <v>0</v>
      </c>
      <c r="CL1032">
        <v>0</v>
      </c>
      <c r="CM1032">
        <v>2</v>
      </c>
      <c r="CN1032">
        <v>0</v>
      </c>
      <c r="CO1032">
        <v>7</v>
      </c>
      <c r="CP1032" t="s">
        <v>121</v>
      </c>
      <c r="CQ1032">
        <v>581</v>
      </c>
      <c r="CR1032">
        <v>0</v>
      </c>
      <c r="CW1032">
        <v>16006394</v>
      </c>
      <c r="CY1032">
        <v>0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</row>
    <row r="1033" spans="1:113" x14ac:dyDescent="0.3">
      <c r="A1033" t="str">
        <f>"06/16/2022 19:21:26.004"</f>
        <v>06/16/2022 19:21:26.004</v>
      </c>
      <c r="C1033" t="str">
        <f t="shared" si="48"/>
        <v>FFBF5BC0</v>
      </c>
      <c r="D1033" t="s">
        <v>113</v>
      </c>
      <c r="E1033">
        <v>8</v>
      </c>
      <c r="H1033">
        <v>206</v>
      </c>
      <c r="I1033" t="s">
        <v>114</v>
      </c>
      <c r="J1033" t="s">
        <v>115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>"19:21:25.773"</f>
        <v>19:21:25.773</v>
      </c>
      <c r="T1033" t="str">
        <f>"19:21:25.773"</f>
        <v>19:21:25.773</v>
      </c>
      <c r="U1033" t="str">
        <f t="shared" si="49"/>
        <v>AB63B2</v>
      </c>
      <c r="V1033">
        <v>0</v>
      </c>
      <c r="W1033">
        <v>0</v>
      </c>
      <c r="X1033">
        <v>6</v>
      </c>
      <c r="Z1033">
        <v>0</v>
      </c>
      <c r="AA1033">
        <v>9</v>
      </c>
      <c r="AB1033">
        <v>3</v>
      </c>
      <c r="AC1033">
        <v>0</v>
      </c>
      <c r="AD1033">
        <v>10</v>
      </c>
      <c r="AE1033">
        <v>0</v>
      </c>
      <c r="AF1033">
        <v>0</v>
      </c>
      <c r="AG1033">
        <v>2</v>
      </c>
      <c r="AH1033">
        <v>0</v>
      </c>
      <c r="AI1033" t="s">
        <v>968</v>
      </c>
      <c r="AJ1033">
        <v>41.988501999999997</v>
      </c>
      <c r="AK1033" t="s">
        <v>921</v>
      </c>
      <c r="AL1033">
        <v>-87.890388999999999</v>
      </c>
      <c r="AS1033">
        <v>1</v>
      </c>
      <c r="AT1033" t="s">
        <v>118</v>
      </c>
      <c r="AU1033" t="b">
        <v>1</v>
      </c>
      <c r="AV1033">
        <v>0</v>
      </c>
      <c r="AW1033">
        <v>12.125</v>
      </c>
      <c r="AX1033">
        <v>1</v>
      </c>
      <c r="AZ1033">
        <v>7205</v>
      </c>
      <c r="BA1033">
        <v>1</v>
      </c>
      <c r="BB1033" t="str">
        <f t="shared" si="50"/>
        <v xml:space="preserve">KAP400  </v>
      </c>
      <c r="BC1033">
        <v>1</v>
      </c>
      <c r="BE1033">
        <v>0</v>
      </c>
      <c r="BF1033">
        <v>0</v>
      </c>
      <c r="BG1033">
        <v>0</v>
      </c>
      <c r="BI1033">
        <v>1</v>
      </c>
      <c r="BJ1033">
        <v>1</v>
      </c>
      <c r="BK1033">
        <v>1</v>
      </c>
      <c r="BL1033">
        <v>0</v>
      </c>
      <c r="BO1033">
        <v>0</v>
      </c>
      <c r="BP1033">
        <v>0</v>
      </c>
      <c r="BW1033" t="str">
        <f>"19:21:25.777"</f>
        <v>19:21:25.777</v>
      </c>
      <c r="BX1033" t="s">
        <v>119</v>
      </c>
      <c r="BY1033" t="s">
        <v>120</v>
      </c>
      <c r="CJ1033">
        <v>0</v>
      </c>
      <c r="CK1033">
        <v>0</v>
      </c>
      <c r="CL1033">
        <v>0</v>
      </c>
      <c r="CM1033">
        <v>2</v>
      </c>
      <c r="CN1033">
        <v>0</v>
      </c>
      <c r="CO1033">
        <v>7</v>
      </c>
      <c r="CP1033" t="s">
        <v>121</v>
      </c>
      <c r="CQ1033">
        <v>582</v>
      </c>
      <c r="CR1033">
        <v>0</v>
      </c>
      <c r="CW1033">
        <v>6887251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</row>
    <row r="1034" spans="1:113" x14ac:dyDescent="0.3">
      <c r="A1034" t="str">
        <f>"06/16/2022 19:21:27.004"</f>
        <v>06/16/2022 19:21:27.004</v>
      </c>
      <c r="C1034" t="str">
        <f t="shared" si="48"/>
        <v>FFBF5BC0</v>
      </c>
      <c r="D1034" t="s">
        <v>113</v>
      </c>
      <c r="E1034">
        <v>8</v>
      </c>
      <c r="H1034">
        <v>206</v>
      </c>
      <c r="I1034" t="s">
        <v>114</v>
      </c>
      <c r="J1034" t="s">
        <v>115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>"19:21:26.773"</f>
        <v>19:21:26.773</v>
      </c>
      <c r="T1034" t="str">
        <f>"19:21:26.773"</f>
        <v>19:21:26.773</v>
      </c>
      <c r="U1034" t="str">
        <f t="shared" si="49"/>
        <v>AB63B2</v>
      </c>
      <c r="V1034">
        <v>0</v>
      </c>
      <c r="W1034">
        <v>0</v>
      </c>
      <c r="X1034">
        <v>6</v>
      </c>
      <c r="Z1034">
        <v>0</v>
      </c>
      <c r="AA1034">
        <v>9</v>
      </c>
      <c r="AB1034">
        <v>3</v>
      </c>
      <c r="AC1034">
        <v>0</v>
      </c>
      <c r="AD1034">
        <v>10</v>
      </c>
      <c r="AE1034">
        <v>0</v>
      </c>
      <c r="AF1034">
        <v>0</v>
      </c>
      <c r="AG1034">
        <v>2</v>
      </c>
      <c r="AH1034">
        <v>0</v>
      </c>
      <c r="AI1034" t="s">
        <v>969</v>
      </c>
      <c r="AJ1034">
        <v>41.988565999999999</v>
      </c>
      <c r="AK1034" t="s">
        <v>921</v>
      </c>
      <c r="AL1034">
        <v>-87.890388999999999</v>
      </c>
      <c r="AS1034">
        <v>1</v>
      </c>
      <c r="AT1034" t="s">
        <v>118</v>
      </c>
      <c r="AU1034" t="b">
        <v>1</v>
      </c>
      <c r="AV1034">
        <v>0</v>
      </c>
      <c r="AW1034">
        <v>12.125</v>
      </c>
      <c r="AX1034">
        <v>1</v>
      </c>
      <c r="AZ1034">
        <v>7205</v>
      </c>
      <c r="BA1034">
        <v>1</v>
      </c>
      <c r="BB1034" t="str">
        <f t="shared" si="50"/>
        <v xml:space="preserve">KAP400  </v>
      </c>
      <c r="BC1034">
        <v>1</v>
      </c>
      <c r="BE1034">
        <v>0</v>
      </c>
      <c r="BF1034">
        <v>0</v>
      </c>
      <c r="BG1034">
        <v>0</v>
      </c>
      <c r="BI1034">
        <v>1</v>
      </c>
      <c r="BJ1034">
        <v>1</v>
      </c>
      <c r="BK1034">
        <v>1</v>
      </c>
      <c r="BL1034">
        <v>0</v>
      </c>
      <c r="BO1034">
        <v>0</v>
      </c>
      <c r="BP1034">
        <v>0</v>
      </c>
      <c r="BW1034" t="str">
        <f>"19:21:26.780"</f>
        <v>19:21:26.780</v>
      </c>
      <c r="BX1034" t="s">
        <v>119</v>
      </c>
      <c r="BY1034" t="s">
        <v>120</v>
      </c>
      <c r="CJ1034">
        <v>0</v>
      </c>
      <c r="CK1034">
        <v>0</v>
      </c>
      <c r="CL1034">
        <v>0</v>
      </c>
      <c r="CM1034">
        <v>2</v>
      </c>
      <c r="CN1034">
        <v>0</v>
      </c>
      <c r="CO1034">
        <v>7</v>
      </c>
      <c r="CP1034" t="s">
        <v>121</v>
      </c>
      <c r="CQ1034">
        <v>582</v>
      </c>
      <c r="CR1034">
        <v>0</v>
      </c>
      <c r="CW1034">
        <v>6888446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</row>
    <row r="1035" spans="1:113" x14ac:dyDescent="0.3">
      <c r="A1035" t="str">
        <f>"06/16/2022 19:21:27.879"</f>
        <v>06/16/2022 19:21:27.879</v>
      </c>
      <c r="C1035" t="str">
        <f t="shared" si="48"/>
        <v>FFBF5BC0</v>
      </c>
      <c r="D1035" t="s">
        <v>113</v>
      </c>
      <c r="E1035">
        <v>8</v>
      </c>
      <c r="H1035">
        <v>206</v>
      </c>
      <c r="I1035" t="s">
        <v>114</v>
      </c>
      <c r="J1035" t="s">
        <v>115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>"19:21:27.680"</f>
        <v>19:21:27.680</v>
      </c>
      <c r="T1035" t="str">
        <f>"19:21:27.680"</f>
        <v>19:21:27.680</v>
      </c>
      <c r="U1035" t="str">
        <f t="shared" si="49"/>
        <v>AB63B2</v>
      </c>
      <c r="V1035">
        <v>0</v>
      </c>
      <c r="W1035">
        <v>0</v>
      </c>
      <c r="X1035">
        <v>6</v>
      </c>
      <c r="Z1035">
        <v>0</v>
      </c>
      <c r="AA1035">
        <v>9</v>
      </c>
      <c r="AB1035">
        <v>3</v>
      </c>
      <c r="AC1035">
        <v>0</v>
      </c>
      <c r="AD1035">
        <v>10</v>
      </c>
      <c r="AE1035">
        <v>0</v>
      </c>
      <c r="AF1035">
        <v>0</v>
      </c>
      <c r="AG1035">
        <v>2</v>
      </c>
      <c r="AH1035">
        <v>0</v>
      </c>
      <c r="AI1035" t="s">
        <v>199</v>
      </c>
      <c r="AJ1035">
        <v>41.988608999999997</v>
      </c>
      <c r="AK1035" t="s">
        <v>921</v>
      </c>
      <c r="AL1035">
        <v>-87.890388999999999</v>
      </c>
      <c r="AS1035">
        <v>1</v>
      </c>
      <c r="AT1035" t="s">
        <v>118</v>
      </c>
      <c r="AU1035" t="b">
        <v>1</v>
      </c>
      <c r="AV1035">
        <v>0</v>
      </c>
      <c r="AW1035">
        <v>12.125</v>
      </c>
      <c r="AX1035">
        <v>1</v>
      </c>
      <c r="AZ1035">
        <v>7205</v>
      </c>
      <c r="BA1035">
        <v>1</v>
      </c>
      <c r="BB1035" t="str">
        <f t="shared" si="50"/>
        <v xml:space="preserve">KAP400  </v>
      </c>
      <c r="BC1035">
        <v>1</v>
      </c>
      <c r="BE1035">
        <v>0</v>
      </c>
      <c r="BF1035">
        <v>0</v>
      </c>
      <c r="BG1035">
        <v>0</v>
      </c>
      <c r="BI1035">
        <v>1</v>
      </c>
      <c r="BJ1035">
        <v>1</v>
      </c>
      <c r="BK1035">
        <v>1</v>
      </c>
      <c r="BL1035">
        <v>0</v>
      </c>
      <c r="BO1035">
        <v>0</v>
      </c>
      <c r="BP1035">
        <v>0</v>
      </c>
      <c r="BW1035" t="str">
        <f>"19:21:27.681"</f>
        <v>19:21:27.681</v>
      </c>
      <c r="BX1035" t="s">
        <v>119</v>
      </c>
      <c r="BY1035" t="s">
        <v>120</v>
      </c>
      <c r="CJ1035">
        <v>0</v>
      </c>
      <c r="CK1035">
        <v>0</v>
      </c>
      <c r="CL1035">
        <v>0</v>
      </c>
      <c r="CM1035">
        <v>2</v>
      </c>
      <c r="CN1035">
        <v>0</v>
      </c>
      <c r="CO1035">
        <v>7</v>
      </c>
      <c r="CP1035" t="s">
        <v>121</v>
      </c>
      <c r="CQ1035">
        <v>581</v>
      </c>
      <c r="CR1035">
        <v>0</v>
      </c>
      <c r="CW1035">
        <v>16010089</v>
      </c>
      <c r="CY1035">
        <v>0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</row>
    <row r="1036" spans="1:113" x14ac:dyDescent="0.3">
      <c r="A1036" t="str">
        <f>"06/16/2022 19:21:28.786"</f>
        <v>06/16/2022 19:21:28.786</v>
      </c>
      <c r="C1036" t="str">
        <f t="shared" si="48"/>
        <v>FFBF5BC0</v>
      </c>
      <c r="D1036" t="s">
        <v>113</v>
      </c>
      <c r="E1036">
        <v>8</v>
      </c>
      <c r="H1036">
        <v>206</v>
      </c>
      <c r="I1036" t="s">
        <v>114</v>
      </c>
      <c r="J1036" t="s">
        <v>115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>"19:21:28.539"</f>
        <v>19:21:28.539</v>
      </c>
      <c r="T1036" t="str">
        <f>"19:21:28.539"</f>
        <v>19:21:28.539</v>
      </c>
      <c r="U1036" t="str">
        <f t="shared" si="49"/>
        <v>AB63B2</v>
      </c>
      <c r="V1036">
        <v>0</v>
      </c>
      <c r="W1036">
        <v>0</v>
      </c>
      <c r="X1036">
        <v>6</v>
      </c>
      <c r="Z1036">
        <v>0</v>
      </c>
      <c r="AA1036">
        <v>9</v>
      </c>
      <c r="AB1036">
        <v>3</v>
      </c>
      <c r="AC1036">
        <v>0</v>
      </c>
      <c r="AD1036">
        <v>10</v>
      </c>
      <c r="AE1036">
        <v>0</v>
      </c>
      <c r="AF1036">
        <v>0</v>
      </c>
      <c r="AG1036">
        <v>2</v>
      </c>
      <c r="AH1036">
        <v>0</v>
      </c>
      <c r="AI1036" t="s">
        <v>970</v>
      </c>
      <c r="AJ1036">
        <v>41.988652000000002</v>
      </c>
      <c r="AK1036" t="s">
        <v>921</v>
      </c>
      <c r="AL1036">
        <v>-87.890388999999999</v>
      </c>
      <c r="AS1036">
        <v>1</v>
      </c>
      <c r="AT1036" t="s">
        <v>118</v>
      </c>
      <c r="AU1036" t="b">
        <v>1</v>
      </c>
      <c r="AV1036">
        <v>0</v>
      </c>
      <c r="AW1036">
        <v>12.125</v>
      </c>
      <c r="AX1036">
        <v>1</v>
      </c>
      <c r="AZ1036">
        <v>7205</v>
      </c>
      <c r="BA1036">
        <v>1</v>
      </c>
      <c r="BB1036" t="str">
        <f t="shared" si="50"/>
        <v xml:space="preserve">KAP400  </v>
      </c>
      <c r="BC1036">
        <v>1</v>
      </c>
      <c r="BE1036">
        <v>0</v>
      </c>
      <c r="BF1036">
        <v>0</v>
      </c>
      <c r="BG1036">
        <v>0</v>
      </c>
      <c r="BI1036">
        <v>1</v>
      </c>
      <c r="BJ1036">
        <v>1</v>
      </c>
      <c r="BK1036">
        <v>1</v>
      </c>
      <c r="BL1036">
        <v>0</v>
      </c>
      <c r="BO1036">
        <v>0</v>
      </c>
      <c r="BP1036">
        <v>0</v>
      </c>
      <c r="BW1036" t="str">
        <f>"19:21:28.543"</f>
        <v>19:21:28.543</v>
      </c>
      <c r="BX1036" t="s">
        <v>119</v>
      </c>
      <c r="BY1036" t="s">
        <v>120</v>
      </c>
      <c r="CJ1036">
        <v>0</v>
      </c>
      <c r="CK1036">
        <v>0</v>
      </c>
      <c r="CL1036">
        <v>0</v>
      </c>
      <c r="CM1036">
        <v>2</v>
      </c>
      <c r="CN1036">
        <v>0</v>
      </c>
      <c r="CO1036">
        <v>7</v>
      </c>
      <c r="CP1036" t="s">
        <v>121</v>
      </c>
      <c r="CQ1036">
        <v>581</v>
      </c>
      <c r="CR1036">
        <v>0</v>
      </c>
      <c r="CW1036">
        <v>16011204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</row>
    <row r="1037" spans="1:113" x14ac:dyDescent="0.3">
      <c r="A1037" t="str">
        <f>"06/16/2022 19:21:29.756"</f>
        <v>06/16/2022 19:21:29.756</v>
      </c>
      <c r="C1037" t="str">
        <f t="shared" si="48"/>
        <v>FFBF5BC0</v>
      </c>
      <c r="D1037" t="s">
        <v>113</v>
      </c>
      <c r="E1037">
        <v>8</v>
      </c>
      <c r="H1037">
        <v>206</v>
      </c>
      <c r="I1037" t="s">
        <v>114</v>
      </c>
      <c r="J1037" t="s">
        <v>115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>"19:21:29.547"</f>
        <v>19:21:29.547</v>
      </c>
      <c r="T1037" t="str">
        <f>"19:21:29.547"</f>
        <v>19:21:29.547</v>
      </c>
      <c r="U1037" t="str">
        <f t="shared" si="49"/>
        <v>AB63B2</v>
      </c>
      <c r="V1037">
        <v>0</v>
      </c>
      <c r="W1037">
        <v>0</v>
      </c>
      <c r="X1037">
        <v>6</v>
      </c>
      <c r="Z1037">
        <v>0</v>
      </c>
      <c r="AA1037">
        <v>9</v>
      </c>
      <c r="AB1037">
        <v>3</v>
      </c>
      <c r="AC1037">
        <v>0</v>
      </c>
      <c r="AD1037">
        <v>10</v>
      </c>
      <c r="AE1037">
        <v>0</v>
      </c>
      <c r="AF1037">
        <v>0</v>
      </c>
      <c r="AG1037">
        <v>2</v>
      </c>
      <c r="AH1037">
        <v>0</v>
      </c>
      <c r="AI1037" t="s">
        <v>971</v>
      </c>
      <c r="AJ1037">
        <v>41.988695</v>
      </c>
      <c r="AK1037" t="s">
        <v>921</v>
      </c>
      <c r="AL1037">
        <v>-87.890388999999999</v>
      </c>
      <c r="AS1037">
        <v>1</v>
      </c>
      <c r="AT1037" t="s">
        <v>118</v>
      </c>
      <c r="AU1037" t="b">
        <v>1</v>
      </c>
      <c r="AV1037">
        <v>0</v>
      </c>
      <c r="AW1037">
        <v>12.125</v>
      </c>
      <c r="AX1037">
        <v>1</v>
      </c>
      <c r="AZ1037">
        <v>7205</v>
      </c>
      <c r="BA1037">
        <v>1</v>
      </c>
      <c r="BB1037" t="str">
        <f t="shared" si="50"/>
        <v xml:space="preserve">KAP400  </v>
      </c>
      <c r="BC1037">
        <v>1</v>
      </c>
      <c r="BE1037">
        <v>0</v>
      </c>
      <c r="BF1037">
        <v>0</v>
      </c>
      <c r="BG1037">
        <v>0</v>
      </c>
      <c r="BI1037">
        <v>1</v>
      </c>
      <c r="BJ1037">
        <v>1</v>
      </c>
      <c r="BK1037">
        <v>1</v>
      </c>
      <c r="BL1037">
        <v>0</v>
      </c>
      <c r="BO1037">
        <v>0</v>
      </c>
      <c r="BP1037">
        <v>0</v>
      </c>
      <c r="BW1037" t="str">
        <f>"19:21:29.554"</f>
        <v>19:21:29.554</v>
      </c>
      <c r="BX1037" t="s">
        <v>119</v>
      </c>
      <c r="BY1037" t="s">
        <v>120</v>
      </c>
      <c r="CJ1037">
        <v>0</v>
      </c>
      <c r="CK1037">
        <v>0</v>
      </c>
      <c r="CL1037">
        <v>0</v>
      </c>
      <c r="CM1037">
        <v>2</v>
      </c>
      <c r="CN1037">
        <v>0</v>
      </c>
      <c r="CO1037">
        <v>7</v>
      </c>
      <c r="CP1037" t="s">
        <v>121</v>
      </c>
      <c r="CQ1037">
        <v>581</v>
      </c>
      <c r="CR1037">
        <v>0</v>
      </c>
      <c r="CW1037">
        <v>16012493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</row>
    <row r="1038" spans="1:113" x14ac:dyDescent="0.3">
      <c r="A1038" t="str">
        <f>"06/16/2022 19:21:30.928"</f>
        <v>06/16/2022 19:21:30.928</v>
      </c>
      <c r="C1038" t="str">
        <f t="shared" si="48"/>
        <v>FFBF5BC0</v>
      </c>
      <c r="D1038" t="s">
        <v>113</v>
      </c>
      <c r="E1038">
        <v>8</v>
      </c>
      <c r="H1038">
        <v>206</v>
      </c>
      <c r="I1038" t="s">
        <v>114</v>
      </c>
      <c r="J1038" t="s">
        <v>115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>"19:21:30.648"</f>
        <v>19:21:30.648</v>
      </c>
      <c r="T1038" t="str">
        <f>"19:21:30.648"</f>
        <v>19:21:30.648</v>
      </c>
      <c r="U1038" t="str">
        <f t="shared" si="49"/>
        <v>AB63B2</v>
      </c>
      <c r="V1038">
        <v>0</v>
      </c>
      <c r="W1038">
        <v>0</v>
      </c>
      <c r="X1038">
        <v>6</v>
      </c>
      <c r="Z1038">
        <v>0</v>
      </c>
      <c r="AA1038">
        <v>9</v>
      </c>
      <c r="AB1038">
        <v>3</v>
      </c>
      <c r="AC1038">
        <v>0</v>
      </c>
      <c r="AD1038">
        <v>10</v>
      </c>
      <c r="AE1038">
        <v>0</v>
      </c>
      <c r="AF1038">
        <v>0</v>
      </c>
      <c r="AG1038">
        <v>2</v>
      </c>
      <c r="AH1038">
        <v>0</v>
      </c>
      <c r="AI1038" t="s">
        <v>197</v>
      </c>
      <c r="AJ1038">
        <v>41.988759000000002</v>
      </c>
      <c r="AK1038" t="s">
        <v>921</v>
      </c>
      <c r="AL1038">
        <v>-87.890388999999999</v>
      </c>
      <c r="AS1038">
        <v>1</v>
      </c>
      <c r="AT1038" t="s">
        <v>118</v>
      </c>
      <c r="AU1038" t="b">
        <v>1</v>
      </c>
      <c r="AV1038">
        <v>0</v>
      </c>
      <c r="AW1038">
        <v>12.125</v>
      </c>
      <c r="AX1038">
        <v>1</v>
      </c>
      <c r="AZ1038">
        <v>7205</v>
      </c>
      <c r="BA1038">
        <v>1</v>
      </c>
      <c r="BB1038" t="str">
        <f t="shared" si="50"/>
        <v xml:space="preserve">KAP400  </v>
      </c>
      <c r="BC1038">
        <v>1</v>
      </c>
      <c r="BE1038">
        <v>0</v>
      </c>
      <c r="BF1038">
        <v>0</v>
      </c>
      <c r="BG1038">
        <v>0</v>
      </c>
      <c r="BI1038">
        <v>1</v>
      </c>
      <c r="BJ1038">
        <v>1</v>
      </c>
      <c r="BK1038">
        <v>1</v>
      </c>
      <c r="BL1038">
        <v>0</v>
      </c>
      <c r="BO1038">
        <v>0</v>
      </c>
      <c r="BP1038">
        <v>0</v>
      </c>
      <c r="BW1038" t="str">
        <f>"19:21:30.655"</f>
        <v>19:21:30.655</v>
      </c>
      <c r="BX1038" t="s">
        <v>119</v>
      </c>
      <c r="BY1038" t="s">
        <v>120</v>
      </c>
      <c r="CJ1038">
        <v>0</v>
      </c>
      <c r="CK1038">
        <v>0</v>
      </c>
      <c r="CL1038">
        <v>0</v>
      </c>
      <c r="CM1038">
        <v>2</v>
      </c>
      <c r="CN1038">
        <v>0</v>
      </c>
      <c r="CO1038">
        <v>7</v>
      </c>
      <c r="CP1038" t="s">
        <v>121</v>
      </c>
      <c r="CQ1038">
        <v>581</v>
      </c>
      <c r="CR1038">
        <v>0</v>
      </c>
      <c r="CW1038">
        <v>16013885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</row>
    <row r="1039" spans="1:113" x14ac:dyDescent="0.3">
      <c r="A1039" t="str">
        <f>"06/16/2022 19:21:31.927"</f>
        <v>06/16/2022 19:21:31.927</v>
      </c>
      <c r="C1039" t="str">
        <f t="shared" si="48"/>
        <v>FFBF5BC0</v>
      </c>
      <c r="D1039" t="s">
        <v>113</v>
      </c>
      <c r="E1039">
        <v>8</v>
      </c>
      <c r="H1039">
        <v>206</v>
      </c>
      <c r="I1039" t="s">
        <v>114</v>
      </c>
      <c r="J1039" t="s">
        <v>115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>"19:21:31.680"</f>
        <v>19:21:31.680</v>
      </c>
      <c r="T1039" t="str">
        <f>"19:21:31.680"</f>
        <v>19:21:31.680</v>
      </c>
      <c r="U1039" t="str">
        <f t="shared" si="49"/>
        <v>AB63B2</v>
      </c>
      <c r="V1039">
        <v>0</v>
      </c>
      <c r="W1039">
        <v>0</v>
      </c>
      <c r="X1039">
        <v>6</v>
      </c>
      <c r="Z1039">
        <v>0</v>
      </c>
      <c r="AA1039">
        <v>9</v>
      </c>
      <c r="AB1039">
        <v>3</v>
      </c>
      <c r="AC1039">
        <v>0</v>
      </c>
      <c r="AD1039">
        <v>10</v>
      </c>
      <c r="AE1039">
        <v>0</v>
      </c>
      <c r="AF1039">
        <v>0</v>
      </c>
      <c r="AG1039">
        <v>2</v>
      </c>
      <c r="AH1039">
        <v>0</v>
      </c>
      <c r="AI1039" t="s">
        <v>972</v>
      </c>
      <c r="AJ1039">
        <v>41.988822999999996</v>
      </c>
      <c r="AK1039" t="s">
        <v>921</v>
      </c>
      <c r="AL1039">
        <v>-87.890388999999999</v>
      </c>
      <c r="AS1039">
        <v>1</v>
      </c>
      <c r="AT1039" t="s">
        <v>118</v>
      </c>
      <c r="AU1039" t="b">
        <v>1</v>
      </c>
      <c r="AV1039">
        <v>357.19</v>
      </c>
      <c r="AW1039">
        <v>12.625</v>
      </c>
      <c r="AX1039">
        <v>1</v>
      </c>
      <c r="AZ1039">
        <v>7205</v>
      </c>
      <c r="BA1039">
        <v>1</v>
      </c>
      <c r="BB1039" t="str">
        <f t="shared" si="50"/>
        <v xml:space="preserve">KAP400  </v>
      </c>
      <c r="BC1039">
        <v>1</v>
      </c>
      <c r="BE1039">
        <v>0</v>
      </c>
      <c r="BF1039">
        <v>0</v>
      </c>
      <c r="BG1039">
        <v>0</v>
      </c>
      <c r="BI1039">
        <v>1</v>
      </c>
      <c r="BJ1039">
        <v>1</v>
      </c>
      <c r="BK1039">
        <v>1</v>
      </c>
      <c r="BL1039">
        <v>0</v>
      </c>
      <c r="BO1039">
        <v>0</v>
      </c>
      <c r="BP1039">
        <v>0</v>
      </c>
      <c r="BW1039" t="str">
        <f>"19:21:31.684"</f>
        <v>19:21:31.684</v>
      </c>
      <c r="BX1039" t="s">
        <v>119</v>
      </c>
      <c r="BY1039" t="s">
        <v>120</v>
      </c>
      <c r="CJ1039">
        <v>0</v>
      </c>
      <c r="CK1039">
        <v>0</v>
      </c>
      <c r="CL1039">
        <v>0</v>
      </c>
      <c r="CM1039">
        <v>2</v>
      </c>
      <c r="CN1039">
        <v>0</v>
      </c>
      <c r="CO1039">
        <v>7</v>
      </c>
      <c r="CP1039" t="s">
        <v>121</v>
      </c>
      <c r="CQ1039">
        <v>581</v>
      </c>
      <c r="CR1039">
        <v>0</v>
      </c>
      <c r="CW1039">
        <v>16015188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</row>
    <row r="1040" spans="1:113" x14ac:dyDescent="0.3">
      <c r="A1040" t="str">
        <f>"06/16/2022 19:21:32.928"</f>
        <v>06/16/2022 19:21:32.928</v>
      </c>
      <c r="C1040" t="str">
        <f t="shared" ref="C1040:C1103" si="51">"FFBF5BC0"</f>
        <v>FFBF5BC0</v>
      </c>
      <c r="D1040" t="s">
        <v>113</v>
      </c>
      <c r="E1040">
        <v>8</v>
      </c>
      <c r="H1040">
        <v>206</v>
      </c>
      <c r="I1040" t="s">
        <v>114</v>
      </c>
      <c r="J1040" t="s">
        <v>115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>"19:21:32.695"</f>
        <v>19:21:32.695</v>
      </c>
      <c r="T1040" t="str">
        <f>"19:21:32.695"</f>
        <v>19:21:32.695</v>
      </c>
      <c r="U1040" t="str">
        <f t="shared" si="49"/>
        <v>AB63B2</v>
      </c>
      <c r="V1040">
        <v>0</v>
      </c>
      <c r="W1040">
        <v>0</v>
      </c>
      <c r="X1040">
        <v>6</v>
      </c>
      <c r="Z1040">
        <v>0</v>
      </c>
      <c r="AA1040">
        <v>9</v>
      </c>
      <c r="AB1040">
        <v>3</v>
      </c>
      <c r="AC1040">
        <v>0</v>
      </c>
      <c r="AD1040">
        <v>10</v>
      </c>
      <c r="AE1040">
        <v>0</v>
      </c>
      <c r="AF1040">
        <v>0</v>
      </c>
      <c r="AG1040">
        <v>2</v>
      </c>
      <c r="AH1040">
        <v>0</v>
      </c>
      <c r="AI1040" t="s">
        <v>973</v>
      </c>
      <c r="AJ1040">
        <v>41.988888000000003</v>
      </c>
      <c r="AK1040" t="s">
        <v>921</v>
      </c>
      <c r="AL1040">
        <v>-87.890388999999999</v>
      </c>
      <c r="AS1040">
        <v>1</v>
      </c>
      <c r="AT1040" t="s">
        <v>118</v>
      </c>
      <c r="AU1040" t="b">
        <v>1</v>
      </c>
      <c r="AV1040">
        <v>0</v>
      </c>
      <c r="AW1040">
        <v>12.625</v>
      </c>
      <c r="AX1040">
        <v>1</v>
      </c>
      <c r="AZ1040">
        <v>7205</v>
      </c>
      <c r="BA1040">
        <v>1</v>
      </c>
      <c r="BB1040" t="str">
        <f t="shared" si="50"/>
        <v xml:space="preserve">KAP400  </v>
      </c>
      <c r="BC1040">
        <v>1</v>
      </c>
      <c r="BE1040">
        <v>0</v>
      </c>
      <c r="BF1040">
        <v>0</v>
      </c>
      <c r="BG1040">
        <v>0</v>
      </c>
      <c r="BI1040">
        <v>1</v>
      </c>
      <c r="BJ1040">
        <v>1</v>
      </c>
      <c r="BK1040">
        <v>1</v>
      </c>
      <c r="BL1040">
        <v>0</v>
      </c>
      <c r="BO1040">
        <v>0</v>
      </c>
      <c r="BP1040">
        <v>0</v>
      </c>
      <c r="BW1040" t="str">
        <f>"19:21:32.703"</f>
        <v>19:21:32.703</v>
      </c>
      <c r="BX1040" t="s">
        <v>119</v>
      </c>
      <c r="BY1040" t="s">
        <v>120</v>
      </c>
      <c r="CJ1040">
        <v>0</v>
      </c>
      <c r="CK1040">
        <v>0</v>
      </c>
      <c r="CL1040">
        <v>0</v>
      </c>
      <c r="CM1040">
        <v>2</v>
      </c>
      <c r="CN1040">
        <v>0</v>
      </c>
      <c r="CO1040">
        <v>7</v>
      </c>
      <c r="CP1040" t="s">
        <v>121</v>
      </c>
      <c r="CQ1040">
        <v>581</v>
      </c>
      <c r="CR1040">
        <v>0</v>
      </c>
      <c r="CW1040">
        <v>16016548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</row>
    <row r="1041" spans="1:113" x14ac:dyDescent="0.3">
      <c r="A1041" t="str">
        <f>"06/16/2022 19:21:33.975"</f>
        <v>06/16/2022 19:21:33.975</v>
      </c>
      <c r="C1041" t="str">
        <f t="shared" si="51"/>
        <v>FFBF5BC0</v>
      </c>
      <c r="D1041" t="s">
        <v>113</v>
      </c>
      <c r="E1041">
        <v>8</v>
      </c>
      <c r="H1041">
        <v>206</v>
      </c>
      <c r="I1041" t="s">
        <v>114</v>
      </c>
      <c r="J1041" t="s">
        <v>115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>"19:21:33.750"</f>
        <v>19:21:33.750</v>
      </c>
      <c r="T1041" t="str">
        <f>"19:21:33.750"</f>
        <v>19:21:33.750</v>
      </c>
      <c r="U1041" t="str">
        <f t="shared" si="49"/>
        <v>AB63B2</v>
      </c>
      <c r="V1041">
        <v>0</v>
      </c>
      <c r="W1041">
        <v>0</v>
      </c>
      <c r="X1041">
        <v>6</v>
      </c>
      <c r="Z1041">
        <v>0</v>
      </c>
      <c r="AA1041">
        <v>9</v>
      </c>
      <c r="AB1041">
        <v>3</v>
      </c>
      <c r="AC1041">
        <v>0</v>
      </c>
      <c r="AD1041">
        <v>10</v>
      </c>
      <c r="AE1041">
        <v>0</v>
      </c>
      <c r="AF1041">
        <v>0</v>
      </c>
      <c r="AG1041">
        <v>2</v>
      </c>
      <c r="AH1041">
        <v>0</v>
      </c>
      <c r="AI1041" t="s">
        <v>974</v>
      </c>
      <c r="AJ1041">
        <v>41.988951999999998</v>
      </c>
      <c r="AK1041" t="s">
        <v>921</v>
      </c>
      <c r="AL1041">
        <v>-87.890388999999999</v>
      </c>
      <c r="AS1041">
        <v>1</v>
      </c>
      <c r="AT1041" t="s">
        <v>118</v>
      </c>
      <c r="AU1041" t="b">
        <v>1</v>
      </c>
      <c r="AV1041">
        <v>0</v>
      </c>
      <c r="AW1041">
        <v>12.625</v>
      </c>
      <c r="AX1041">
        <v>1</v>
      </c>
      <c r="AZ1041">
        <v>7205</v>
      </c>
      <c r="BA1041">
        <v>1</v>
      </c>
      <c r="BB1041" t="str">
        <f t="shared" si="50"/>
        <v xml:space="preserve">KAP400  </v>
      </c>
      <c r="BC1041">
        <v>1</v>
      </c>
      <c r="BE1041">
        <v>0</v>
      </c>
      <c r="BF1041">
        <v>0</v>
      </c>
      <c r="BG1041">
        <v>0</v>
      </c>
      <c r="BI1041">
        <v>1</v>
      </c>
      <c r="BJ1041">
        <v>1</v>
      </c>
      <c r="BK1041">
        <v>1</v>
      </c>
      <c r="BL1041">
        <v>0</v>
      </c>
      <c r="BO1041">
        <v>0</v>
      </c>
      <c r="BP1041">
        <v>0</v>
      </c>
      <c r="BW1041" t="str">
        <f>"19:21:33.756"</f>
        <v>19:21:33.756</v>
      </c>
      <c r="BX1041" t="s">
        <v>119</v>
      </c>
      <c r="BY1041" t="s">
        <v>120</v>
      </c>
      <c r="CJ1041">
        <v>0</v>
      </c>
      <c r="CK1041">
        <v>0</v>
      </c>
      <c r="CL1041">
        <v>0</v>
      </c>
      <c r="CM1041">
        <v>2</v>
      </c>
      <c r="CN1041">
        <v>0</v>
      </c>
      <c r="CO1041">
        <v>7</v>
      </c>
      <c r="CP1041" t="s">
        <v>121</v>
      </c>
      <c r="CQ1041">
        <v>581</v>
      </c>
      <c r="CR1041">
        <v>0</v>
      </c>
      <c r="CW1041">
        <v>16017888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</row>
    <row r="1042" spans="1:113" x14ac:dyDescent="0.3">
      <c r="A1042" t="str">
        <f>"06/16/2022 19:21:35.068"</f>
        <v>06/16/2022 19:21:35.068</v>
      </c>
      <c r="C1042" t="str">
        <f t="shared" si="51"/>
        <v>FFBF5BC0</v>
      </c>
      <c r="D1042" t="s">
        <v>113</v>
      </c>
      <c r="E1042">
        <v>8</v>
      </c>
      <c r="H1042">
        <v>206</v>
      </c>
      <c r="I1042" t="s">
        <v>114</v>
      </c>
      <c r="J1042" t="s">
        <v>115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>"19:21:34.672"</f>
        <v>19:21:34.672</v>
      </c>
      <c r="T1042" t="str">
        <f>"19:21:34.672"</f>
        <v>19:21:34.672</v>
      </c>
      <c r="U1042" t="str">
        <f t="shared" si="49"/>
        <v>AB63B2</v>
      </c>
      <c r="V1042">
        <v>0</v>
      </c>
      <c r="W1042">
        <v>0</v>
      </c>
      <c r="X1042">
        <v>6</v>
      </c>
      <c r="Z1042">
        <v>0</v>
      </c>
      <c r="AA1042">
        <v>9</v>
      </c>
      <c r="AB1042">
        <v>3</v>
      </c>
      <c r="AC1042">
        <v>0</v>
      </c>
      <c r="AD1042">
        <v>10</v>
      </c>
      <c r="AE1042">
        <v>0</v>
      </c>
      <c r="AF1042">
        <v>0</v>
      </c>
      <c r="AG1042">
        <v>2</v>
      </c>
      <c r="AH1042">
        <v>0</v>
      </c>
      <c r="AI1042" t="s">
        <v>975</v>
      </c>
      <c r="AJ1042">
        <v>41.988995000000003</v>
      </c>
      <c r="AK1042" t="s">
        <v>921</v>
      </c>
      <c r="AL1042">
        <v>-87.890388999999999</v>
      </c>
      <c r="AS1042">
        <v>1</v>
      </c>
      <c r="AT1042" t="s">
        <v>118</v>
      </c>
      <c r="AU1042" t="b">
        <v>1</v>
      </c>
      <c r="AV1042">
        <v>0</v>
      </c>
      <c r="AW1042">
        <v>13.125</v>
      </c>
      <c r="AX1042">
        <v>1</v>
      </c>
      <c r="AZ1042">
        <v>7205</v>
      </c>
      <c r="BA1042">
        <v>1</v>
      </c>
      <c r="BB1042" t="str">
        <f t="shared" si="50"/>
        <v xml:space="preserve">KAP400  </v>
      </c>
      <c r="BC1042">
        <v>1</v>
      </c>
      <c r="BE1042">
        <v>0</v>
      </c>
      <c r="BF1042">
        <v>0</v>
      </c>
      <c r="BG1042">
        <v>0</v>
      </c>
      <c r="BI1042">
        <v>1</v>
      </c>
      <c r="BJ1042">
        <v>1</v>
      </c>
      <c r="BK1042">
        <v>1</v>
      </c>
      <c r="BL1042">
        <v>0</v>
      </c>
      <c r="BO1042">
        <v>0</v>
      </c>
      <c r="BP1042">
        <v>0</v>
      </c>
      <c r="BW1042" t="str">
        <f>"19:21:34.677"</f>
        <v>19:21:34.677</v>
      </c>
      <c r="BX1042" t="s">
        <v>119</v>
      </c>
      <c r="BY1042" t="s">
        <v>120</v>
      </c>
      <c r="CJ1042">
        <v>0</v>
      </c>
      <c r="CK1042">
        <v>0</v>
      </c>
      <c r="CL1042">
        <v>0</v>
      </c>
      <c r="CM1042">
        <v>2</v>
      </c>
      <c r="CN1042">
        <v>0</v>
      </c>
      <c r="CO1042">
        <v>7</v>
      </c>
      <c r="CP1042" t="s">
        <v>121</v>
      </c>
      <c r="CQ1042">
        <v>581</v>
      </c>
      <c r="CR1042">
        <v>0</v>
      </c>
      <c r="CW1042">
        <v>16019070</v>
      </c>
      <c r="CY1042">
        <v>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</row>
    <row r="1043" spans="1:113" x14ac:dyDescent="0.3">
      <c r="A1043" t="str">
        <f>"06/16/2022 19:21:35.990"</f>
        <v>06/16/2022 19:21:35.990</v>
      </c>
      <c r="C1043" t="str">
        <f t="shared" si="51"/>
        <v>FFBF5BC0</v>
      </c>
      <c r="D1043" t="s">
        <v>113</v>
      </c>
      <c r="E1043">
        <v>8</v>
      </c>
      <c r="H1043">
        <v>206</v>
      </c>
      <c r="I1043" t="s">
        <v>114</v>
      </c>
      <c r="J1043" t="s">
        <v>115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>"19:21:35.703"</f>
        <v>19:21:35.703</v>
      </c>
      <c r="T1043" t="str">
        <f>"19:21:35.703"</f>
        <v>19:21:35.703</v>
      </c>
      <c r="U1043" t="str">
        <f t="shared" si="49"/>
        <v>AB63B2</v>
      </c>
      <c r="V1043">
        <v>0</v>
      </c>
      <c r="W1043">
        <v>0</v>
      </c>
      <c r="X1043">
        <v>6</v>
      </c>
      <c r="Z1043">
        <v>0</v>
      </c>
      <c r="AA1043">
        <v>9</v>
      </c>
      <c r="AB1043">
        <v>3</v>
      </c>
      <c r="AC1043">
        <v>0</v>
      </c>
      <c r="AD1043">
        <v>10</v>
      </c>
      <c r="AE1043">
        <v>0</v>
      </c>
      <c r="AF1043">
        <v>0</v>
      </c>
      <c r="AG1043">
        <v>2</v>
      </c>
      <c r="AH1043">
        <v>0</v>
      </c>
      <c r="AI1043" t="s">
        <v>976</v>
      </c>
      <c r="AJ1043">
        <v>41.989058999999997</v>
      </c>
      <c r="AK1043" t="s">
        <v>921</v>
      </c>
      <c r="AL1043">
        <v>-87.890388999999999</v>
      </c>
      <c r="AS1043">
        <v>1</v>
      </c>
      <c r="AT1043" t="s">
        <v>118</v>
      </c>
      <c r="AU1043" t="b">
        <v>1</v>
      </c>
      <c r="AV1043">
        <v>0</v>
      </c>
      <c r="AW1043">
        <v>13.625</v>
      </c>
      <c r="AX1043">
        <v>1</v>
      </c>
      <c r="AZ1043">
        <v>7205</v>
      </c>
      <c r="BA1043">
        <v>1</v>
      </c>
      <c r="BB1043" t="str">
        <f t="shared" si="50"/>
        <v xml:space="preserve">KAP400  </v>
      </c>
      <c r="BC1043">
        <v>1</v>
      </c>
      <c r="BE1043">
        <v>0</v>
      </c>
      <c r="BF1043">
        <v>0</v>
      </c>
      <c r="BG1043">
        <v>0</v>
      </c>
      <c r="BI1043">
        <v>1</v>
      </c>
      <c r="BJ1043">
        <v>1</v>
      </c>
      <c r="BK1043">
        <v>1</v>
      </c>
      <c r="BL1043">
        <v>0</v>
      </c>
      <c r="BO1043">
        <v>0</v>
      </c>
      <c r="BP1043">
        <v>0</v>
      </c>
      <c r="BW1043" t="str">
        <f>"19:21:35.704"</f>
        <v>19:21:35.704</v>
      </c>
      <c r="BX1043" t="s">
        <v>119</v>
      </c>
      <c r="BY1043" t="s">
        <v>120</v>
      </c>
      <c r="CJ1043">
        <v>0</v>
      </c>
      <c r="CK1043">
        <v>0</v>
      </c>
      <c r="CL1043">
        <v>0</v>
      </c>
      <c r="CM1043">
        <v>2</v>
      </c>
      <c r="CN1043">
        <v>0</v>
      </c>
      <c r="CO1043">
        <v>7</v>
      </c>
      <c r="CP1043" t="s">
        <v>121</v>
      </c>
      <c r="CQ1043">
        <v>581</v>
      </c>
      <c r="CR1043">
        <v>0</v>
      </c>
      <c r="CW1043">
        <v>16020385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</row>
    <row r="1044" spans="1:113" x14ac:dyDescent="0.3">
      <c r="A1044" t="str">
        <f>"06/16/2022 19:21:36.926"</f>
        <v>06/16/2022 19:21:36.926</v>
      </c>
      <c r="C1044" t="str">
        <f t="shared" si="51"/>
        <v>FFBF5BC0</v>
      </c>
      <c r="D1044" t="s">
        <v>113</v>
      </c>
      <c r="E1044">
        <v>8</v>
      </c>
      <c r="H1044">
        <v>206</v>
      </c>
      <c r="I1044" t="s">
        <v>114</v>
      </c>
      <c r="J1044" t="s">
        <v>115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>"19:21:36.688"</f>
        <v>19:21:36.688</v>
      </c>
      <c r="T1044" t="str">
        <f>"19:21:36.688"</f>
        <v>19:21:36.688</v>
      </c>
      <c r="U1044" t="str">
        <f t="shared" si="49"/>
        <v>AB63B2</v>
      </c>
      <c r="V1044">
        <v>0</v>
      </c>
      <c r="W1044">
        <v>0</v>
      </c>
      <c r="X1044">
        <v>6</v>
      </c>
      <c r="Z1044">
        <v>0</v>
      </c>
      <c r="AA1044">
        <v>9</v>
      </c>
      <c r="AB1044">
        <v>3</v>
      </c>
      <c r="AC1044">
        <v>0</v>
      </c>
      <c r="AD1044">
        <v>10</v>
      </c>
      <c r="AE1044">
        <v>0</v>
      </c>
      <c r="AF1044">
        <v>0</v>
      </c>
      <c r="AG1044">
        <v>2</v>
      </c>
      <c r="AH1044">
        <v>0</v>
      </c>
      <c r="AI1044" t="s">
        <v>192</v>
      </c>
      <c r="AJ1044">
        <v>41.989123999999997</v>
      </c>
      <c r="AK1044" t="s">
        <v>921</v>
      </c>
      <c r="AL1044">
        <v>-87.890388999999999</v>
      </c>
      <c r="AS1044">
        <v>1</v>
      </c>
      <c r="AT1044" t="s">
        <v>118</v>
      </c>
      <c r="AU1044" t="b">
        <v>1</v>
      </c>
      <c r="AV1044">
        <v>0</v>
      </c>
      <c r="AW1044">
        <v>13.625</v>
      </c>
      <c r="AX1044">
        <v>1</v>
      </c>
      <c r="AZ1044">
        <v>7205</v>
      </c>
      <c r="BA1044">
        <v>1</v>
      </c>
      <c r="BB1044" t="str">
        <f t="shared" si="50"/>
        <v xml:space="preserve">KAP400  </v>
      </c>
      <c r="BC1044">
        <v>1</v>
      </c>
      <c r="BE1044">
        <v>0</v>
      </c>
      <c r="BF1044">
        <v>0</v>
      </c>
      <c r="BG1044">
        <v>0</v>
      </c>
      <c r="BI1044">
        <v>1</v>
      </c>
      <c r="BJ1044">
        <v>1</v>
      </c>
      <c r="BK1044">
        <v>1</v>
      </c>
      <c r="BL1044">
        <v>0</v>
      </c>
      <c r="BO1044">
        <v>0</v>
      </c>
      <c r="BP1044">
        <v>0</v>
      </c>
      <c r="BW1044" t="str">
        <f>"19:21:36.694"</f>
        <v>19:21:36.694</v>
      </c>
      <c r="BX1044" t="s">
        <v>119</v>
      </c>
      <c r="BY1044" t="s">
        <v>120</v>
      </c>
      <c r="CJ1044">
        <v>0</v>
      </c>
      <c r="CK1044">
        <v>0</v>
      </c>
      <c r="CL1044">
        <v>0</v>
      </c>
      <c r="CM1044">
        <v>2</v>
      </c>
      <c r="CN1044">
        <v>0</v>
      </c>
      <c r="CO1044">
        <v>7</v>
      </c>
      <c r="CP1044" t="s">
        <v>121</v>
      </c>
      <c r="CQ1044">
        <v>581</v>
      </c>
      <c r="CR1044">
        <v>0</v>
      </c>
      <c r="CW1044">
        <v>16021631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</row>
    <row r="1045" spans="1:113" x14ac:dyDescent="0.3">
      <c r="A1045" t="str">
        <f>"06/16/2022 19:21:38.051"</f>
        <v>06/16/2022 19:21:38.051</v>
      </c>
      <c r="C1045" t="str">
        <f t="shared" si="51"/>
        <v>FFBF5BC0</v>
      </c>
      <c r="D1045" t="s">
        <v>113</v>
      </c>
      <c r="E1045">
        <v>8</v>
      </c>
      <c r="H1045">
        <v>206</v>
      </c>
      <c r="I1045" t="s">
        <v>114</v>
      </c>
      <c r="J1045" t="s">
        <v>115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>"19:21:37.805"</f>
        <v>19:21:37.805</v>
      </c>
      <c r="T1045" t="str">
        <f>"19:21:37.805"</f>
        <v>19:21:37.805</v>
      </c>
      <c r="U1045" t="str">
        <f t="shared" si="49"/>
        <v>AB63B2</v>
      </c>
      <c r="V1045">
        <v>0</v>
      </c>
      <c r="W1045">
        <v>0</v>
      </c>
      <c r="X1045">
        <v>6</v>
      </c>
      <c r="Z1045">
        <v>0</v>
      </c>
      <c r="AA1045">
        <v>9</v>
      </c>
      <c r="AB1045">
        <v>3</v>
      </c>
      <c r="AC1045">
        <v>0</v>
      </c>
      <c r="AD1045">
        <v>10</v>
      </c>
      <c r="AE1045">
        <v>0</v>
      </c>
      <c r="AF1045">
        <v>0</v>
      </c>
      <c r="AG1045">
        <v>2</v>
      </c>
      <c r="AH1045">
        <v>0</v>
      </c>
      <c r="AI1045" t="s">
        <v>977</v>
      </c>
      <c r="AJ1045">
        <v>41.989187999999999</v>
      </c>
      <c r="AK1045" t="s">
        <v>921</v>
      </c>
      <c r="AL1045">
        <v>-87.890388999999999</v>
      </c>
      <c r="AS1045">
        <v>1</v>
      </c>
      <c r="AT1045" t="s">
        <v>118</v>
      </c>
      <c r="AU1045" t="b">
        <v>1</v>
      </c>
      <c r="AV1045">
        <v>0</v>
      </c>
      <c r="AW1045">
        <v>13.125</v>
      </c>
      <c r="AX1045">
        <v>1</v>
      </c>
      <c r="AZ1045">
        <v>7205</v>
      </c>
      <c r="BA1045">
        <v>1</v>
      </c>
      <c r="BB1045" t="str">
        <f t="shared" si="50"/>
        <v xml:space="preserve">KAP400  </v>
      </c>
      <c r="BC1045">
        <v>1</v>
      </c>
      <c r="BE1045">
        <v>0</v>
      </c>
      <c r="BF1045">
        <v>0</v>
      </c>
      <c r="BG1045">
        <v>0</v>
      </c>
      <c r="BI1045">
        <v>1</v>
      </c>
      <c r="BJ1045">
        <v>1</v>
      </c>
      <c r="BK1045">
        <v>1</v>
      </c>
      <c r="BL1045">
        <v>0</v>
      </c>
      <c r="BO1045">
        <v>0</v>
      </c>
      <c r="BP1045">
        <v>0</v>
      </c>
      <c r="BW1045" t="str">
        <f>"19:21:37.805"</f>
        <v>19:21:37.805</v>
      </c>
      <c r="BX1045" t="s">
        <v>119</v>
      </c>
      <c r="BY1045" t="s">
        <v>120</v>
      </c>
      <c r="CJ1045">
        <v>0</v>
      </c>
      <c r="CK1045">
        <v>0</v>
      </c>
      <c r="CL1045">
        <v>0</v>
      </c>
      <c r="CM1045">
        <v>2</v>
      </c>
      <c r="CN1045">
        <v>0</v>
      </c>
      <c r="CO1045">
        <v>7</v>
      </c>
      <c r="CP1045" t="s">
        <v>121</v>
      </c>
      <c r="CQ1045">
        <v>582</v>
      </c>
      <c r="CR1045">
        <v>0</v>
      </c>
      <c r="CW1045">
        <v>6901346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</row>
    <row r="1046" spans="1:113" x14ac:dyDescent="0.3">
      <c r="A1046" t="str">
        <f>"06/16/2022 19:21:38.926"</f>
        <v>06/16/2022 19:21:38.926</v>
      </c>
      <c r="C1046" t="str">
        <f t="shared" si="51"/>
        <v>FFBF5BC0</v>
      </c>
      <c r="D1046" t="s">
        <v>113</v>
      </c>
      <c r="E1046">
        <v>8</v>
      </c>
      <c r="H1046">
        <v>206</v>
      </c>
      <c r="I1046" t="s">
        <v>114</v>
      </c>
      <c r="J1046" t="s">
        <v>115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>"19:21:38.688"</f>
        <v>19:21:38.688</v>
      </c>
      <c r="T1046" t="str">
        <f>"19:21:38.688"</f>
        <v>19:21:38.688</v>
      </c>
      <c r="U1046" t="str">
        <f t="shared" si="49"/>
        <v>AB63B2</v>
      </c>
      <c r="V1046">
        <v>0</v>
      </c>
      <c r="W1046">
        <v>0</v>
      </c>
      <c r="X1046">
        <v>6</v>
      </c>
      <c r="Z1046">
        <v>0</v>
      </c>
      <c r="AA1046">
        <v>9</v>
      </c>
      <c r="AB1046">
        <v>3</v>
      </c>
      <c r="AC1046">
        <v>0</v>
      </c>
      <c r="AD1046">
        <v>10</v>
      </c>
      <c r="AE1046">
        <v>0</v>
      </c>
      <c r="AF1046">
        <v>0</v>
      </c>
      <c r="AG1046">
        <v>2</v>
      </c>
      <c r="AH1046">
        <v>0</v>
      </c>
      <c r="AI1046" t="s">
        <v>978</v>
      </c>
      <c r="AJ1046">
        <v>41.989252999999998</v>
      </c>
      <c r="AK1046" t="s">
        <v>921</v>
      </c>
      <c r="AL1046">
        <v>-87.890388999999999</v>
      </c>
      <c r="AS1046">
        <v>1</v>
      </c>
      <c r="AT1046" t="s">
        <v>118</v>
      </c>
      <c r="AU1046" t="b">
        <v>1</v>
      </c>
      <c r="AV1046">
        <v>0</v>
      </c>
      <c r="AW1046">
        <v>13.125</v>
      </c>
      <c r="AX1046">
        <v>1</v>
      </c>
      <c r="AZ1046">
        <v>7205</v>
      </c>
      <c r="BA1046">
        <v>1</v>
      </c>
      <c r="BB1046" t="str">
        <f t="shared" si="50"/>
        <v xml:space="preserve">KAP400  </v>
      </c>
      <c r="BC1046">
        <v>1</v>
      </c>
      <c r="BE1046">
        <v>0</v>
      </c>
      <c r="BF1046">
        <v>0</v>
      </c>
      <c r="BG1046">
        <v>0</v>
      </c>
      <c r="BI1046">
        <v>1</v>
      </c>
      <c r="BJ1046">
        <v>1</v>
      </c>
      <c r="BK1046">
        <v>1</v>
      </c>
      <c r="BL1046">
        <v>0</v>
      </c>
      <c r="BO1046">
        <v>0</v>
      </c>
      <c r="BP1046">
        <v>0</v>
      </c>
      <c r="BW1046" t="str">
        <f>"19:21:38.694"</f>
        <v>19:21:38.694</v>
      </c>
      <c r="BX1046" t="s">
        <v>119</v>
      </c>
      <c r="BY1046" t="s">
        <v>120</v>
      </c>
      <c r="CJ1046">
        <v>0</v>
      </c>
      <c r="CK1046">
        <v>0</v>
      </c>
      <c r="CL1046">
        <v>0</v>
      </c>
      <c r="CM1046">
        <v>2</v>
      </c>
      <c r="CN1046">
        <v>0</v>
      </c>
      <c r="CO1046">
        <v>7</v>
      </c>
      <c r="CP1046" t="s">
        <v>121</v>
      </c>
      <c r="CQ1046">
        <v>582</v>
      </c>
      <c r="CR1046">
        <v>0</v>
      </c>
      <c r="CW1046">
        <v>6902390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</row>
    <row r="1047" spans="1:113" x14ac:dyDescent="0.3">
      <c r="A1047" t="str">
        <f>"06/16/2022 19:21:39.989"</f>
        <v>06/16/2022 19:21:39.989</v>
      </c>
      <c r="C1047" t="str">
        <f t="shared" si="51"/>
        <v>FFBF5BC0</v>
      </c>
      <c r="D1047" t="s">
        <v>113</v>
      </c>
      <c r="E1047">
        <v>8</v>
      </c>
      <c r="H1047">
        <v>206</v>
      </c>
      <c r="I1047" t="s">
        <v>114</v>
      </c>
      <c r="J1047" t="s">
        <v>115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>"19:21:39.758"</f>
        <v>19:21:39.758</v>
      </c>
      <c r="T1047" t="str">
        <f>"19:21:39.758"</f>
        <v>19:21:39.758</v>
      </c>
      <c r="U1047" t="str">
        <f t="shared" si="49"/>
        <v>AB63B2</v>
      </c>
      <c r="V1047">
        <v>0</v>
      </c>
      <c r="W1047">
        <v>0</v>
      </c>
      <c r="X1047">
        <v>6</v>
      </c>
      <c r="Z1047">
        <v>0</v>
      </c>
      <c r="AA1047">
        <v>9</v>
      </c>
      <c r="AB1047">
        <v>3</v>
      </c>
      <c r="AC1047">
        <v>0</v>
      </c>
      <c r="AD1047">
        <v>10</v>
      </c>
      <c r="AE1047">
        <v>0</v>
      </c>
      <c r="AF1047">
        <v>0</v>
      </c>
      <c r="AG1047">
        <v>2</v>
      </c>
      <c r="AH1047">
        <v>0</v>
      </c>
      <c r="AI1047" t="s">
        <v>188</v>
      </c>
      <c r="AJ1047">
        <v>41.989294999999998</v>
      </c>
      <c r="AK1047" t="s">
        <v>921</v>
      </c>
      <c r="AL1047">
        <v>-87.890388999999999</v>
      </c>
      <c r="AS1047">
        <v>1</v>
      </c>
      <c r="AT1047" t="s">
        <v>118</v>
      </c>
      <c r="AU1047" t="b">
        <v>1</v>
      </c>
      <c r="AV1047">
        <v>0</v>
      </c>
      <c r="AW1047">
        <v>12.625</v>
      </c>
      <c r="AX1047">
        <v>1</v>
      </c>
      <c r="AZ1047">
        <v>7205</v>
      </c>
      <c r="BA1047">
        <v>1</v>
      </c>
      <c r="BB1047" t="str">
        <f t="shared" si="50"/>
        <v xml:space="preserve">KAP400  </v>
      </c>
      <c r="BC1047">
        <v>1</v>
      </c>
      <c r="BE1047">
        <v>0</v>
      </c>
      <c r="BF1047">
        <v>0</v>
      </c>
      <c r="BG1047">
        <v>0</v>
      </c>
      <c r="BI1047">
        <v>1</v>
      </c>
      <c r="BJ1047">
        <v>1</v>
      </c>
      <c r="BK1047">
        <v>1</v>
      </c>
      <c r="BL1047">
        <v>0</v>
      </c>
      <c r="BO1047">
        <v>0</v>
      </c>
      <c r="BP1047">
        <v>0</v>
      </c>
      <c r="BW1047" t="str">
        <f>"19:21:39.764"</f>
        <v>19:21:39.764</v>
      </c>
      <c r="BX1047" t="s">
        <v>119</v>
      </c>
      <c r="BY1047" t="s">
        <v>120</v>
      </c>
      <c r="CJ1047">
        <v>0</v>
      </c>
      <c r="CK1047">
        <v>0</v>
      </c>
      <c r="CL1047">
        <v>0</v>
      </c>
      <c r="CM1047">
        <v>2</v>
      </c>
      <c r="CN1047">
        <v>0</v>
      </c>
      <c r="CO1047">
        <v>7</v>
      </c>
      <c r="CP1047" t="s">
        <v>121</v>
      </c>
      <c r="CQ1047">
        <v>581</v>
      </c>
      <c r="CR1047">
        <v>0</v>
      </c>
      <c r="CW1047">
        <v>16025520</v>
      </c>
      <c r="CY1047">
        <v>0</v>
      </c>
      <c r="CZ1047">
        <v>0</v>
      </c>
      <c r="DA1047">
        <v>0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</row>
    <row r="1048" spans="1:113" x14ac:dyDescent="0.3">
      <c r="A1048" t="str">
        <f>"06/16/2022 19:21:41.035"</f>
        <v>06/16/2022 19:21:41.035</v>
      </c>
      <c r="C1048" t="str">
        <f t="shared" si="51"/>
        <v>FFBF5BC0</v>
      </c>
      <c r="D1048" t="s">
        <v>113</v>
      </c>
      <c r="E1048">
        <v>8</v>
      </c>
      <c r="H1048">
        <v>206</v>
      </c>
      <c r="I1048" t="s">
        <v>114</v>
      </c>
      <c r="J1048" t="s">
        <v>115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>"19:21:40.781"</f>
        <v>19:21:40.781</v>
      </c>
      <c r="T1048" t="str">
        <f>"19:21:40.781"</f>
        <v>19:21:40.781</v>
      </c>
      <c r="U1048" t="str">
        <f t="shared" si="49"/>
        <v>AB63B2</v>
      </c>
      <c r="V1048">
        <v>0</v>
      </c>
      <c r="W1048">
        <v>0</v>
      </c>
      <c r="X1048">
        <v>6</v>
      </c>
      <c r="Z1048">
        <v>0</v>
      </c>
      <c r="AA1048">
        <v>9</v>
      </c>
      <c r="AB1048">
        <v>3</v>
      </c>
      <c r="AC1048">
        <v>0</v>
      </c>
      <c r="AD1048">
        <v>10</v>
      </c>
      <c r="AE1048">
        <v>0</v>
      </c>
      <c r="AF1048">
        <v>0</v>
      </c>
      <c r="AG1048">
        <v>2</v>
      </c>
      <c r="AH1048">
        <v>0</v>
      </c>
      <c r="AI1048" t="s">
        <v>979</v>
      </c>
      <c r="AJ1048">
        <v>41.989359999999998</v>
      </c>
      <c r="AK1048" t="s">
        <v>921</v>
      </c>
      <c r="AL1048">
        <v>-87.890388999999999</v>
      </c>
      <c r="AS1048">
        <v>1</v>
      </c>
      <c r="AT1048" t="s">
        <v>118</v>
      </c>
      <c r="AU1048" t="b">
        <v>1</v>
      </c>
      <c r="AV1048">
        <v>0</v>
      </c>
      <c r="AW1048">
        <v>12.625</v>
      </c>
      <c r="AX1048">
        <v>1</v>
      </c>
      <c r="AZ1048">
        <v>7205</v>
      </c>
      <c r="BA1048">
        <v>1</v>
      </c>
      <c r="BB1048" t="str">
        <f t="shared" si="50"/>
        <v xml:space="preserve">KAP400  </v>
      </c>
      <c r="BC1048">
        <v>1</v>
      </c>
      <c r="BE1048">
        <v>0</v>
      </c>
      <c r="BF1048">
        <v>0</v>
      </c>
      <c r="BG1048">
        <v>0</v>
      </c>
      <c r="BI1048">
        <v>1</v>
      </c>
      <c r="BJ1048">
        <v>1</v>
      </c>
      <c r="BK1048">
        <v>1</v>
      </c>
      <c r="BL1048">
        <v>0</v>
      </c>
      <c r="BO1048">
        <v>0</v>
      </c>
      <c r="BP1048">
        <v>0</v>
      </c>
      <c r="BW1048" t="str">
        <f>"19:21:40.787"</f>
        <v>19:21:40.787</v>
      </c>
      <c r="BX1048" t="s">
        <v>119</v>
      </c>
      <c r="BY1048" t="s">
        <v>120</v>
      </c>
      <c r="CJ1048">
        <v>0</v>
      </c>
      <c r="CK1048">
        <v>0</v>
      </c>
      <c r="CL1048">
        <v>0</v>
      </c>
      <c r="CM1048">
        <v>2</v>
      </c>
      <c r="CN1048">
        <v>0</v>
      </c>
      <c r="CO1048">
        <v>7</v>
      </c>
      <c r="CP1048" t="s">
        <v>121</v>
      </c>
      <c r="CQ1048">
        <v>582</v>
      </c>
      <c r="CR1048">
        <v>0</v>
      </c>
      <c r="CW1048">
        <v>6904695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</row>
    <row r="1049" spans="1:113" x14ac:dyDescent="0.3">
      <c r="A1049" t="str">
        <f>"06/16/2022 19:21:42.239"</f>
        <v>06/16/2022 19:21:42.239</v>
      </c>
      <c r="C1049" t="str">
        <f t="shared" si="51"/>
        <v>FFBF5BC0</v>
      </c>
      <c r="D1049" t="s">
        <v>113</v>
      </c>
      <c r="E1049">
        <v>8</v>
      </c>
      <c r="H1049">
        <v>206</v>
      </c>
      <c r="I1049" t="s">
        <v>114</v>
      </c>
      <c r="J1049" t="s">
        <v>115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>"19:21:41.969"</f>
        <v>19:21:41.969</v>
      </c>
      <c r="T1049" t="str">
        <f>"19:21:41.969"</f>
        <v>19:21:41.969</v>
      </c>
      <c r="U1049" t="str">
        <f t="shared" si="49"/>
        <v>AB63B2</v>
      </c>
      <c r="V1049">
        <v>0</v>
      </c>
      <c r="W1049">
        <v>0</v>
      </c>
      <c r="X1049">
        <v>6</v>
      </c>
      <c r="Z1049">
        <v>0</v>
      </c>
      <c r="AA1049">
        <v>9</v>
      </c>
      <c r="AB1049">
        <v>3</v>
      </c>
      <c r="AC1049">
        <v>0</v>
      </c>
      <c r="AD1049">
        <v>10</v>
      </c>
      <c r="AE1049">
        <v>0</v>
      </c>
      <c r="AF1049">
        <v>0</v>
      </c>
      <c r="AG1049">
        <v>2</v>
      </c>
      <c r="AH1049">
        <v>0</v>
      </c>
      <c r="AI1049" t="s">
        <v>186</v>
      </c>
      <c r="AJ1049">
        <v>41.989424</v>
      </c>
      <c r="AK1049" t="s">
        <v>921</v>
      </c>
      <c r="AL1049">
        <v>-87.890388999999999</v>
      </c>
      <c r="AS1049">
        <v>1</v>
      </c>
      <c r="AT1049" t="s">
        <v>118</v>
      </c>
      <c r="AU1049" t="b">
        <v>1</v>
      </c>
      <c r="AV1049">
        <v>0</v>
      </c>
      <c r="AW1049">
        <v>12.625</v>
      </c>
      <c r="AX1049">
        <v>1</v>
      </c>
      <c r="AZ1049">
        <v>7205</v>
      </c>
      <c r="BA1049">
        <v>1</v>
      </c>
      <c r="BB1049" t="str">
        <f t="shared" si="50"/>
        <v xml:space="preserve">KAP400  </v>
      </c>
      <c r="BC1049">
        <v>1</v>
      </c>
      <c r="BE1049">
        <v>0</v>
      </c>
      <c r="BF1049">
        <v>0</v>
      </c>
      <c r="BG1049">
        <v>0</v>
      </c>
      <c r="BI1049">
        <v>1</v>
      </c>
      <c r="BJ1049">
        <v>1</v>
      </c>
      <c r="BK1049">
        <v>1</v>
      </c>
      <c r="BL1049">
        <v>0</v>
      </c>
      <c r="BO1049">
        <v>0</v>
      </c>
      <c r="BP1049">
        <v>0</v>
      </c>
      <c r="BW1049" t="str">
        <f>"19:21:41.970"</f>
        <v>19:21:41.970</v>
      </c>
      <c r="BX1049" t="s">
        <v>119</v>
      </c>
      <c r="BY1049" t="s">
        <v>120</v>
      </c>
      <c r="CJ1049">
        <v>0</v>
      </c>
      <c r="CK1049">
        <v>0</v>
      </c>
      <c r="CL1049">
        <v>0</v>
      </c>
      <c r="CM1049">
        <v>2</v>
      </c>
      <c r="CN1049">
        <v>0</v>
      </c>
      <c r="CO1049">
        <v>7</v>
      </c>
      <c r="CP1049" t="s">
        <v>121</v>
      </c>
      <c r="CQ1049">
        <v>582</v>
      </c>
      <c r="CR1049">
        <v>0</v>
      </c>
      <c r="CW1049">
        <v>6906060</v>
      </c>
      <c r="CY1049">
        <v>0</v>
      </c>
      <c r="CZ1049">
        <v>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</row>
    <row r="1050" spans="1:113" x14ac:dyDescent="0.3">
      <c r="A1050" t="str">
        <f>"06/16/2022 19:21:43.207"</f>
        <v>06/16/2022 19:21:43.207</v>
      </c>
      <c r="C1050" t="str">
        <f t="shared" si="51"/>
        <v>FFBF5BC0</v>
      </c>
      <c r="D1050" t="s">
        <v>113</v>
      </c>
      <c r="E1050">
        <v>8</v>
      </c>
      <c r="H1050">
        <v>206</v>
      </c>
      <c r="I1050" t="s">
        <v>114</v>
      </c>
      <c r="J1050" t="s">
        <v>115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>"19:21:42.977"</f>
        <v>19:21:42.977</v>
      </c>
      <c r="T1050" t="str">
        <f>"19:21:42.977"</f>
        <v>19:21:42.977</v>
      </c>
      <c r="U1050" t="str">
        <f t="shared" si="49"/>
        <v>AB63B2</v>
      </c>
      <c r="V1050">
        <v>0</v>
      </c>
      <c r="W1050">
        <v>0</v>
      </c>
      <c r="X1050">
        <v>6</v>
      </c>
      <c r="Z1050">
        <v>0</v>
      </c>
      <c r="AA1050">
        <v>9</v>
      </c>
      <c r="AB1050">
        <v>3</v>
      </c>
      <c r="AC1050">
        <v>0</v>
      </c>
      <c r="AD1050">
        <v>10</v>
      </c>
      <c r="AE1050">
        <v>0</v>
      </c>
      <c r="AF1050">
        <v>0</v>
      </c>
      <c r="AG1050">
        <v>2</v>
      </c>
      <c r="AH1050">
        <v>0</v>
      </c>
      <c r="AI1050" t="s">
        <v>183</v>
      </c>
      <c r="AJ1050">
        <v>41.989488999999999</v>
      </c>
      <c r="AK1050" t="s">
        <v>930</v>
      </c>
      <c r="AL1050">
        <v>-87.890410000000003</v>
      </c>
      <c r="AS1050">
        <v>1</v>
      </c>
      <c r="AT1050" t="s">
        <v>118</v>
      </c>
      <c r="AU1050" t="b">
        <v>1</v>
      </c>
      <c r="AV1050">
        <v>0</v>
      </c>
      <c r="AW1050">
        <v>12.125</v>
      </c>
      <c r="AX1050">
        <v>1</v>
      </c>
      <c r="AZ1050">
        <v>7205</v>
      </c>
      <c r="BA1050">
        <v>1</v>
      </c>
      <c r="BB1050" t="str">
        <f t="shared" si="50"/>
        <v xml:space="preserve">KAP400  </v>
      </c>
      <c r="BC1050">
        <v>1</v>
      </c>
      <c r="BE1050">
        <v>0</v>
      </c>
      <c r="BF1050">
        <v>0</v>
      </c>
      <c r="BG1050">
        <v>0</v>
      </c>
      <c r="BI1050">
        <v>1</v>
      </c>
      <c r="BJ1050">
        <v>1</v>
      </c>
      <c r="BK1050">
        <v>1</v>
      </c>
      <c r="BL1050">
        <v>0</v>
      </c>
      <c r="BO1050">
        <v>0</v>
      </c>
      <c r="BP1050">
        <v>0</v>
      </c>
      <c r="BW1050" t="str">
        <f>"19:21:42.979"</f>
        <v>19:21:42.979</v>
      </c>
      <c r="BX1050" t="s">
        <v>119</v>
      </c>
      <c r="BY1050" t="s">
        <v>120</v>
      </c>
      <c r="CJ1050">
        <v>0</v>
      </c>
      <c r="CK1050">
        <v>0</v>
      </c>
      <c r="CL1050">
        <v>0</v>
      </c>
      <c r="CM1050">
        <v>2</v>
      </c>
      <c r="CN1050">
        <v>0</v>
      </c>
      <c r="CO1050">
        <v>7</v>
      </c>
      <c r="CP1050" t="s">
        <v>121</v>
      </c>
      <c r="CQ1050">
        <v>582</v>
      </c>
      <c r="CR1050">
        <v>0</v>
      </c>
      <c r="CW1050">
        <v>6907202</v>
      </c>
      <c r="CY1050">
        <v>0</v>
      </c>
      <c r="CZ1050">
        <v>0</v>
      </c>
      <c r="DA1050">
        <v>0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</row>
    <row r="1051" spans="1:113" x14ac:dyDescent="0.3">
      <c r="A1051" t="str">
        <f>"06/16/2022 19:21:44.363"</f>
        <v>06/16/2022 19:21:44.363</v>
      </c>
      <c r="C1051" t="str">
        <f t="shared" si="51"/>
        <v>FFBF5BC0</v>
      </c>
      <c r="D1051" t="s">
        <v>113</v>
      </c>
      <c r="E1051">
        <v>8</v>
      </c>
      <c r="H1051">
        <v>206</v>
      </c>
      <c r="I1051" t="s">
        <v>114</v>
      </c>
      <c r="J1051" t="s">
        <v>115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>"19:21:44.117"</f>
        <v>19:21:44.117</v>
      </c>
      <c r="T1051" t="str">
        <f>"19:21:44.117"</f>
        <v>19:21:44.117</v>
      </c>
      <c r="U1051" t="str">
        <f t="shared" si="49"/>
        <v>AB63B2</v>
      </c>
      <c r="V1051">
        <v>0</v>
      </c>
      <c r="W1051">
        <v>0</v>
      </c>
      <c r="X1051">
        <v>6</v>
      </c>
      <c r="Z1051">
        <v>0</v>
      </c>
      <c r="AA1051">
        <v>9</v>
      </c>
      <c r="AB1051">
        <v>3</v>
      </c>
      <c r="AC1051">
        <v>0</v>
      </c>
      <c r="AD1051">
        <v>10</v>
      </c>
      <c r="AE1051">
        <v>0</v>
      </c>
      <c r="AF1051">
        <v>0</v>
      </c>
      <c r="AG1051">
        <v>2</v>
      </c>
      <c r="AH1051">
        <v>0</v>
      </c>
      <c r="AI1051" t="s">
        <v>181</v>
      </c>
      <c r="AJ1051">
        <v>41.989531999999997</v>
      </c>
      <c r="AK1051" t="s">
        <v>921</v>
      </c>
      <c r="AL1051">
        <v>-87.890388999999999</v>
      </c>
      <c r="AS1051">
        <v>1</v>
      </c>
      <c r="AT1051" t="s">
        <v>118</v>
      </c>
      <c r="AU1051" t="b">
        <v>1</v>
      </c>
      <c r="AV1051">
        <v>0</v>
      </c>
      <c r="AW1051">
        <v>12.125</v>
      </c>
      <c r="AX1051">
        <v>1</v>
      </c>
      <c r="AZ1051">
        <v>7205</v>
      </c>
      <c r="BA1051">
        <v>1</v>
      </c>
      <c r="BB1051" t="str">
        <f t="shared" si="50"/>
        <v xml:space="preserve">KAP400  </v>
      </c>
      <c r="BC1051">
        <v>1</v>
      </c>
      <c r="BE1051">
        <v>0</v>
      </c>
      <c r="BF1051">
        <v>0</v>
      </c>
      <c r="BG1051">
        <v>0</v>
      </c>
      <c r="BI1051">
        <v>1</v>
      </c>
      <c r="BJ1051">
        <v>1</v>
      </c>
      <c r="BK1051">
        <v>1</v>
      </c>
      <c r="BL1051">
        <v>0</v>
      </c>
      <c r="BO1051">
        <v>0</v>
      </c>
      <c r="BP1051">
        <v>0</v>
      </c>
      <c r="BW1051" t="str">
        <f>"19:21:44.119"</f>
        <v>19:21:44.119</v>
      </c>
      <c r="BX1051" t="s">
        <v>119</v>
      </c>
      <c r="BY1051" t="s">
        <v>120</v>
      </c>
      <c r="CJ1051">
        <v>0</v>
      </c>
      <c r="CK1051">
        <v>0</v>
      </c>
      <c r="CL1051">
        <v>0</v>
      </c>
      <c r="CM1051">
        <v>2</v>
      </c>
      <c r="CN1051">
        <v>0</v>
      </c>
      <c r="CO1051">
        <v>7</v>
      </c>
      <c r="CP1051" t="s">
        <v>121</v>
      </c>
      <c r="CQ1051">
        <v>581</v>
      </c>
      <c r="CR1051">
        <v>0</v>
      </c>
      <c r="CW1051">
        <v>16031154</v>
      </c>
      <c r="CY1051">
        <v>0</v>
      </c>
      <c r="CZ1051">
        <v>0</v>
      </c>
      <c r="DA1051">
        <v>0</v>
      </c>
      <c r="DB1051">
        <v>1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</row>
    <row r="1052" spans="1:113" x14ac:dyDescent="0.3">
      <c r="A1052" t="str">
        <f>"06/16/2022 19:21:45.457"</f>
        <v>06/16/2022 19:21:45.457</v>
      </c>
      <c r="C1052" t="str">
        <f t="shared" si="51"/>
        <v>FFBF5BC0</v>
      </c>
      <c r="D1052" t="s">
        <v>113</v>
      </c>
      <c r="E1052">
        <v>8</v>
      </c>
      <c r="H1052">
        <v>206</v>
      </c>
      <c r="I1052" t="s">
        <v>114</v>
      </c>
      <c r="J1052" t="s">
        <v>115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>"19:21:45.250"</f>
        <v>19:21:45.250</v>
      </c>
      <c r="T1052" t="str">
        <f>"19:21:45.250"</f>
        <v>19:21:45.250</v>
      </c>
      <c r="U1052" t="str">
        <f t="shared" si="49"/>
        <v>AB63B2</v>
      </c>
      <c r="V1052">
        <v>0</v>
      </c>
      <c r="W1052">
        <v>0</v>
      </c>
      <c r="X1052">
        <v>6</v>
      </c>
      <c r="Z1052">
        <v>0</v>
      </c>
      <c r="AA1052">
        <v>9</v>
      </c>
      <c r="AB1052">
        <v>3</v>
      </c>
      <c r="AC1052">
        <v>0</v>
      </c>
      <c r="AD1052">
        <v>10</v>
      </c>
      <c r="AE1052">
        <v>0</v>
      </c>
      <c r="AF1052">
        <v>0</v>
      </c>
      <c r="AG1052">
        <v>2</v>
      </c>
      <c r="AH1052">
        <v>0</v>
      </c>
      <c r="AI1052" t="s">
        <v>178</v>
      </c>
      <c r="AJ1052">
        <v>41.989595999999999</v>
      </c>
      <c r="AK1052" t="s">
        <v>930</v>
      </c>
      <c r="AL1052">
        <v>-87.890410000000003</v>
      </c>
      <c r="AS1052">
        <v>1</v>
      </c>
      <c r="AT1052" t="s">
        <v>118</v>
      </c>
      <c r="AU1052" t="b">
        <v>1</v>
      </c>
      <c r="AV1052">
        <v>0</v>
      </c>
      <c r="AW1052">
        <v>11.125</v>
      </c>
      <c r="AX1052">
        <v>1</v>
      </c>
      <c r="AZ1052">
        <v>7205</v>
      </c>
      <c r="BA1052">
        <v>1</v>
      </c>
      <c r="BB1052" t="str">
        <f t="shared" si="50"/>
        <v xml:space="preserve">KAP400  </v>
      </c>
      <c r="BC1052">
        <v>1</v>
      </c>
      <c r="BE1052">
        <v>0</v>
      </c>
      <c r="BF1052">
        <v>0</v>
      </c>
      <c r="BG1052">
        <v>0</v>
      </c>
      <c r="BI1052">
        <v>1</v>
      </c>
      <c r="BJ1052">
        <v>1</v>
      </c>
      <c r="BK1052">
        <v>1</v>
      </c>
      <c r="BL1052">
        <v>0</v>
      </c>
      <c r="BO1052">
        <v>0</v>
      </c>
      <c r="BP1052">
        <v>0</v>
      </c>
      <c r="BW1052" t="str">
        <f>"19:21:45.255"</f>
        <v>19:21:45.255</v>
      </c>
      <c r="BX1052" t="s">
        <v>119</v>
      </c>
      <c r="BY1052" t="s">
        <v>120</v>
      </c>
      <c r="CJ1052">
        <v>0</v>
      </c>
      <c r="CK1052">
        <v>0</v>
      </c>
      <c r="CL1052">
        <v>0</v>
      </c>
      <c r="CM1052">
        <v>2</v>
      </c>
      <c r="CN1052">
        <v>0</v>
      </c>
      <c r="CO1052">
        <v>7</v>
      </c>
      <c r="CP1052" t="s">
        <v>121</v>
      </c>
      <c r="CQ1052">
        <v>582</v>
      </c>
      <c r="CR1052">
        <v>0</v>
      </c>
      <c r="CW1052">
        <v>6909752</v>
      </c>
      <c r="CY1052">
        <v>0</v>
      </c>
      <c r="CZ1052">
        <v>0</v>
      </c>
      <c r="DA1052">
        <v>0</v>
      </c>
      <c r="DB1052">
        <v>1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</row>
    <row r="1053" spans="1:113" x14ac:dyDescent="0.3">
      <c r="A1053" t="str">
        <f>"06/16/2022 19:21:46.363"</f>
        <v>06/16/2022 19:21:46.363</v>
      </c>
      <c r="C1053" t="str">
        <f t="shared" si="51"/>
        <v>FFBF5BC0</v>
      </c>
      <c r="D1053" t="s">
        <v>113</v>
      </c>
      <c r="E1053">
        <v>8</v>
      </c>
      <c r="H1053">
        <v>206</v>
      </c>
      <c r="I1053" t="s">
        <v>114</v>
      </c>
      <c r="J1053" t="s">
        <v>115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>"19:21:46.141"</f>
        <v>19:21:46.141</v>
      </c>
      <c r="T1053" t="str">
        <f>"19:21:46.141"</f>
        <v>19:21:46.141</v>
      </c>
      <c r="U1053" t="str">
        <f t="shared" si="49"/>
        <v>AB63B2</v>
      </c>
      <c r="V1053">
        <v>0</v>
      </c>
      <c r="W1053">
        <v>0</v>
      </c>
      <c r="X1053">
        <v>6</v>
      </c>
      <c r="Z1053">
        <v>0</v>
      </c>
      <c r="AA1053">
        <v>9</v>
      </c>
      <c r="AB1053">
        <v>3</v>
      </c>
      <c r="AC1053">
        <v>0</v>
      </c>
      <c r="AD1053">
        <v>10</v>
      </c>
      <c r="AE1053">
        <v>0</v>
      </c>
      <c r="AF1053">
        <v>0</v>
      </c>
      <c r="AG1053">
        <v>2</v>
      </c>
      <c r="AH1053">
        <v>0</v>
      </c>
      <c r="AI1053" t="s">
        <v>177</v>
      </c>
      <c r="AJ1053">
        <v>41.989638999999997</v>
      </c>
      <c r="AK1053" t="s">
        <v>921</v>
      </c>
      <c r="AL1053">
        <v>-87.890388999999999</v>
      </c>
      <c r="AS1053">
        <v>1</v>
      </c>
      <c r="AT1053" t="s">
        <v>118</v>
      </c>
      <c r="AU1053" t="b">
        <v>1</v>
      </c>
      <c r="AV1053">
        <v>0</v>
      </c>
      <c r="AW1053">
        <v>10.125</v>
      </c>
      <c r="AX1053">
        <v>1</v>
      </c>
      <c r="AZ1053">
        <v>7205</v>
      </c>
      <c r="BA1053">
        <v>1</v>
      </c>
      <c r="BB1053" t="str">
        <f t="shared" si="50"/>
        <v xml:space="preserve">KAP400  </v>
      </c>
      <c r="BC1053">
        <v>1</v>
      </c>
      <c r="BE1053">
        <v>0</v>
      </c>
      <c r="BF1053">
        <v>0</v>
      </c>
      <c r="BG1053">
        <v>0</v>
      </c>
      <c r="BI1053">
        <v>1</v>
      </c>
      <c r="BJ1053">
        <v>1</v>
      </c>
      <c r="BK1053">
        <v>1</v>
      </c>
      <c r="BL1053">
        <v>0</v>
      </c>
      <c r="BO1053">
        <v>0</v>
      </c>
      <c r="BP1053">
        <v>0</v>
      </c>
      <c r="BW1053" t="str">
        <f>"19:21:46.141"</f>
        <v>19:21:46.141</v>
      </c>
      <c r="BX1053" t="s">
        <v>119</v>
      </c>
      <c r="BY1053" t="s">
        <v>120</v>
      </c>
      <c r="CJ1053">
        <v>0</v>
      </c>
      <c r="CK1053">
        <v>0</v>
      </c>
      <c r="CL1053">
        <v>0</v>
      </c>
      <c r="CM1053">
        <v>2</v>
      </c>
      <c r="CN1053">
        <v>0</v>
      </c>
      <c r="CO1053">
        <v>7</v>
      </c>
      <c r="CP1053" t="s">
        <v>121</v>
      </c>
      <c r="CQ1053">
        <v>582</v>
      </c>
      <c r="CR1053">
        <v>0</v>
      </c>
      <c r="CW1053">
        <v>6910803</v>
      </c>
      <c r="CY1053">
        <v>0</v>
      </c>
      <c r="CZ1053">
        <v>0</v>
      </c>
      <c r="DA1053">
        <v>0</v>
      </c>
      <c r="DB1053">
        <v>1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</row>
    <row r="1054" spans="1:113" x14ac:dyDescent="0.3">
      <c r="A1054" t="str">
        <f>"06/16/2022 19:21:47.379"</f>
        <v>06/16/2022 19:21:47.379</v>
      </c>
      <c r="C1054" t="str">
        <f t="shared" si="51"/>
        <v>FFBF5BC0</v>
      </c>
      <c r="D1054" t="s">
        <v>113</v>
      </c>
      <c r="E1054">
        <v>8</v>
      </c>
      <c r="H1054">
        <v>206</v>
      </c>
      <c r="I1054" t="s">
        <v>114</v>
      </c>
      <c r="J1054" t="s">
        <v>115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>"19:21:47.117"</f>
        <v>19:21:47.117</v>
      </c>
      <c r="T1054" t="str">
        <f>"19:21:47.117"</f>
        <v>19:21:47.117</v>
      </c>
      <c r="U1054" t="str">
        <f t="shared" si="49"/>
        <v>AB63B2</v>
      </c>
      <c r="V1054">
        <v>0</v>
      </c>
      <c r="W1054">
        <v>0</v>
      </c>
      <c r="X1054">
        <v>6</v>
      </c>
      <c r="Z1054">
        <v>0</v>
      </c>
      <c r="AA1054">
        <v>9</v>
      </c>
      <c r="AB1054">
        <v>3</v>
      </c>
      <c r="AC1054">
        <v>0</v>
      </c>
      <c r="AD1054">
        <v>10</v>
      </c>
      <c r="AE1054">
        <v>0</v>
      </c>
      <c r="AF1054">
        <v>0</v>
      </c>
      <c r="AG1054">
        <v>2</v>
      </c>
      <c r="AH1054">
        <v>0</v>
      </c>
      <c r="AI1054" t="s">
        <v>176</v>
      </c>
      <c r="AJ1054">
        <v>41.989682000000002</v>
      </c>
      <c r="AK1054" t="s">
        <v>921</v>
      </c>
      <c r="AL1054">
        <v>-87.890388999999999</v>
      </c>
      <c r="AS1054">
        <v>1</v>
      </c>
      <c r="AT1054" t="s">
        <v>118</v>
      </c>
      <c r="AU1054" t="b">
        <v>1</v>
      </c>
      <c r="AV1054">
        <v>0</v>
      </c>
      <c r="AW1054">
        <v>9.625</v>
      </c>
      <c r="AX1054">
        <v>1</v>
      </c>
      <c r="AZ1054">
        <v>7205</v>
      </c>
      <c r="BA1054">
        <v>1</v>
      </c>
      <c r="BB1054" t="str">
        <f t="shared" si="50"/>
        <v xml:space="preserve">KAP400  </v>
      </c>
      <c r="BC1054">
        <v>1</v>
      </c>
      <c r="BE1054">
        <v>0</v>
      </c>
      <c r="BF1054">
        <v>0</v>
      </c>
      <c r="BG1054">
        <v>0</v>
      </c>
      <c r="BI1054">
        <v>1</v>
      </c>
      <c r="BJ1054">
        <v>1</v>
      </c>
      <c r="BK1054">
        <v>1</v>
      </c>
      <c r="BL1054">
        <v>0</v>
      </c>
      <c r="BO1054">
        <v>0</v>
      </c>
      <c r="BP1054">
        <v>0</v>
      </c>
      <c r="BW1054" t="str">
        <f>"19:21:47.119"</f>
        <v>19:21:47.119</v>
      </c>
      <c r="BX1054" t="s">
        <v>119</v>
      </c>
      <c r="BY1054" t="s">
        <v>120</v>
      </c>
      <c r="CJ1054">
        <v>0</v>
      </c>
      <c r="CK1054">
        <v>0</v>
      </c>
      <c r="CL1054">
        <v>0</v>
      </c>
      <c r="CM1054">
        <v>2</v>
      </c>
      <c r="CN1054">
        <v>0</v>
      </c>
      <c r="CO1054">
        <v>7</v>
      </c>
      <c r="CP1054" t="s">
        <v>121</v>
      </c>
      <c r="CQ1054">
        <v>582</v>
      </c>
      <c r="CR1054">
        <v>0</v>
      </c>
      <c r="CW1054">
        <v>6911994</v>
      </c>
      <c r="CY1054">
        <v>0</v>
      </c>
      <c r="CZ1054">
        <v>0</v>
      </c>
      <c r="DA1054">
        <v>0</v>
      </c>
      <c r="DB1054">
        <v>1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</row>
    <row r="1055" spans="1:113" x14ac:dyDescent="0.3">
      <c r="A1055" t="str">
        <f>"06/16/2022 19:21:48.285"</f>
        <v>06/16/2022 19:21:48.285</v>
      </c>
      <c r="C1055" t="str">
        <f t="shared" si="51"/>
        <v>FFBF5BC0</v>
      </c>
      <c r="D1055" t="s">
        <v>113</v>
      </c>
      <c r="E1055">
        <v>8</v>
      </c>
      <c r="H1055">
        <v>206</v>
      </c>
      <c r="I1055" t="s">
        <v>114</v>
      </c>
      <c r="J1055" t="s">
        <v>115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>"19:21:47.992"</f>
        <v>19:21:47.992</v>
      </c>
      <c r="T1055" t="str">
        <f>"19:21:47.992"</f>
        <v>19:21:47.992</v>
      </c>
      <c r="U1055" t="str">
        <f t="shared" si="49"/>
        <v>AB63B2</v>
      </c>
      <c r="V1055">
        <v>0</v>
      </c>
      <c r="W1055">
        <v>0</v>
      </c>
      <c r="X1055">
        <v>6</v>
      </c>
      <c r="Z1055">
        <v>0</v>
      </c>
      <c r="AA1055">
        <v>9</v>
      </c>
      <c r="AB1055">
        <v>3</v>
      </c>
      <c r="AC1055">
        <v>0</v>
      </c>
      <c r="AD1055">
        <v>10</v>
      </c>
      <c r="AE1055">
        <v>0</v>
      </c>
      <c r="AF1055">
        <v>0</v>
      </c>
      <c r="AG1055">
        <v>2</v>
      </c>
      <c r="AH1055">
        <v>0</v>
      </c>
      <c r="AI1055" t="s">
        <v>980</v>
      </c>
      <c r="AJ1055">
        <v>41.989725</v>
      </c>
      <c r="AK1055" t="s">
        <v>930</v>
      </c>
      <c r="AL1055">
        <v>-87.890410000000003</v>
      </c>
      <c r="AS1055">
        <v>1</v>
      </c>
      <c r="AT1055" t="s">
        <v>118</v>
      </c>
      <c r="AU1055" t="b">
        <v>1</v>
      </c>
      <c r="AV1055">
        <v>357.19</v>
      </c>
      <c r="AW1055">
        <v>8.625</v>
      </c>
      <c r="AX1055">
        <v>1</v>
      </c>
      <c r="AZ1055">
        <v>7205</v>
      </c>
      <c r="BA1055">
        <v>1</v>
      </c>
      <c r="BB1055" t="str">
        <f t="shared" si="50"/>
        <v xml:space="preserve">KAP400  </v>
      </c>
      <c r="BC1055">
        <v>1</v>
      </c>
      <c r="BE1055">
        <v>0</v>
      </c>
      <c r="BF1055">
        <v>0</v>
      </c>
      <c r="BG1055">
        <v>0</v>
      </c>
      <c r="BI1055">
        <v>1</v>
      </c>
      <c r="BJ1055">
        <v>1</v>
      </c>
      <c r="BK1055">
        <v>1</v>
      </c>
      <c r="BL1055">
        <v>0</v>
      </c>
      <c r="BO1055">
        <v>0</v>
      </c>
      <c r="BP1055">
        <v>0</v>
      </c>
      <c r="BW1055" t="str">
        <f>"19:21:47.999"</f>
        <v>19:21:47.999</v>
      </c>
      <c r="BX1055" t="s">
        <v>119</v>
      </c>
      <c r="BY1055" t="s">
        <v>120</v>
      </c>
      <c r="CJ1055">
        <v>0</v>
      </c>
      <c r="CK1055">
        <v>0</v>
      </c>
      <c r="CL1055">
        <v>0</v>
      </c>
      <c r="CM1055">
        <v>2</v>
      </c>
      <c r="CN1055">
        <v>0</v>
      </c>
      <c r="CO1055">
        <v>7</v>
      </c>
      <c r="CP1055" t="s">
        <v>121</v>
      </c>
      <c r="CQ1055">
        <v>582</v>
      </c>
      <c r="CR1055">
        <v>0</v>
      </c>
      <c r="CW1055">
        <v>6913048</v>
      </c>
      <c r="CY1055">
        <v>0</v>
      </c>
      <c r="CZ1055">
        <v>0</v>
      </c>
      <c r="DA1055">
        <v>0</v>
      </c>
      <c r="DB1055">
        <v>1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</row>
    <row r="1056" spans="1:113" x14ac:dyDescent="0.3">
      <c r="A1056" t="str">
        <f>"06/16/2022 19:21:49.285"</f>
        <v>06/16/2022 19:21:49.285</v>
      </c>
      <c r="C1056" t="str">
        <f t="shared" si="51"/>
        <v>FFBF5BC0</v>
      </c>
      <c r="D1056" t="s">
        <v>113</v>
      </c>
      <c r="E1056">
        <v>8</v>
      </c>
      <c r="H1056">
        <v>206</v>
      </c>
      <c r="I1056" t="s">
        <v>114</v>
      </c>
      <c r="J1056" t="s">
        <v>115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>"19:21:49.016"</f>
        <v>19:21:49.016</v>
      </c>
      <c r="T1056" t="str">
        <f>"19:21:49.016"</f>
        <v>19:21:49.016</v>
      </c>
      <c r="U1056" t="str">
        <f t="shared" si="49"/>
        <v>AB63B2</v>
      </c>
      <c r="V1056">
        <v>0</v>
      </c>
      <c r="W1056">
        <v>0</v>
      </c>
      <c r="X1056">
        <v>6</v>
      </c>
      <c r="Z1056">
        <v>0</v>
      </c>
      <c r="AA1056">
        <v>9</v>
      </c>
      <c r="AB1056">
        <v>3</v>
      </c>
      <c r="AC1056">
        <v>0</v>
      </c>
      <c r="AD1056">
        <v>10</v>
      </c>
      <c r="AE1056">
        <v>0</v>
      </c>
      <c r="AF1056">
        <v>0</v>
      </c>
      <c r="AG1056">
        <v>2</v>
      </c>
      <c r="AH1056">
        <v>0</v>
      </c>
      <c r="AI1056" t="s">
        <v>981</v>
      </c>
      <c r="AJ1056">
        <v>41.989767999999998</v>
      </c>
      <c r="AK1056" t="s">
        <v>930</v>
      </c>
      <c r="AL1056">
        <v>-87.890410000000003</v>
      </c>
      <c r="AS1056">
        <v>1</v>
      </c>
      <c r="AT1056" t="s">
        <v>118</v>
      </c>
      <c r="AU1056" t="b">
        <v>1</v>
      </c>
      <c r="AV1056">
        <v>351.56</v>
      </c>
      <c r="AW1056">
        <v>8.125</v>
      </c>
      <c r="AX1056">
        <v>1</v>
      </c>
      <c r="AZ1056">
        <v>7205</v>
      </c>
      <c r="BA1056">
        <v>1</v>
      </c>
      <c r="BB1056" t="str">
        <f t="shared" si="50"/>
        <v xml:space="preserve">KAP400  </v>
      </c>
      <c r="BC1056">
        <v>1</v>
      </c>
      <c r="BE1056">
        <v>0</v>
      </c>
      <c r="BF1056">
        <v>0</v>
      </c>
      <c r="BG1056">
        <v>0</v>
      </c>
      <c r="BI1056">
        <v>1</v>
      </c>
      <c r="BJ1056">
        <v>1</v>
      </c>
      <c r="BK1056">
        <v>1</v>
      </c>
      <c r="BL1056">
        <v>0</v>
      </c>
      <c r="BO1056">
        <v>0</v>
      </c>
      <c r="BP1056">
        <v>0</v>
      </c>
      <c r="BW1056" t="str">
        <f>"19:21:49.020"</f>
        <v>19:21:49.020</v>
      </c>
      <c r="BX1056" t="s">
        <v>119</v>
      </c>
      <c r="BY1056" t="s">
        <v>120</v>
      </c>
      <c r="CJ1056">
        <v>0</v>
      </c>
      <c r="CK1056">
        <v>0</v>
      </c>
      <c r="CL1056">
        <v>0</v>
      </c>
      <c r="CM1056">
        <v>2</v>
      </c>
      <c r="CN1056">
        <v>0</v>
      </c>
      <c r="CO1056">
        <v>7</v>
      </c>
      <c r="CP1056" t="s">
        <v>121</v>
      </c>
      <c r="CQ1056">
        <v>582</v>
      </c>
      <c r="CR1056">
        <v>0</v>
      </c>
      <c r="CW1056">
        <v>6914252</v>
      </c>
      <c r="CY1056">
        <v>0</v>
      </c>
      <c r="CZ1056">
        <v>0</v>
      </c>
      <c r="DA1056">
        <v>0</v>
      </c>
      <c r="DB1056">
        <v>1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</row>
    <row r="1057" spans="1:113" x14ac:dyDescent="0.3">
      <c r="A1057" t="str">
        <f>"06/16/2022 19:21:50.207"</f>
        <v>06/16/2022 19:21:50.207</v>
      </c>
      <c r="C1057" t="str">
        <f t="shared" si="51"/>
        <v>FFBF5BC0</v>
      </c>
      <c r="D1057" t="s">
        <v>113</v>
      </c>
      <c r="E1057">
        <v>8</v>
      </c>
      <c r="H1057">
        <v>206</v>
      </c>
      <c r="I1057" t="s">
        <v>114</v>
      </c>
      <c r="J1057" t="s">
        <v>115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>"19:21:49.984"</f>
        <v>19:21:49.984</v>
      </c>
      <c r="T1057" t="str">
        <f>"19:21:49.984"</f>
        <v>19:21:49.984</v>
      </c>
      <c r="U1057" t="str">
        <f t="shared" si="49"/>
        <v>AB63B2</v>
      </c>
      <c r="V1057">
        <v>0</v>
      </c>
      <c r="W1057">
        <v>0</v>
      </c>
      <c r="X1057">
        <v>6</v>
      </c>
      <c r="Z1057">
        <v>0</v>
      </c>
      <c r="AA1057">
        <v>9</v>
      </c>
      <c r="AB1057">
        <v>3</v>
      </c>
      <c r="AC1057">
        <v>0</v>
      </c>
      <c r="AD1057">
        <v>10</v>
      </c>
      <c r="AE1057">
        <v>0</v>
      </c>
      <c r="AF1057">
        <v>0</v>
      </c>
      <c r="AG1057">
        <v>2</v>
      </c>
      <c r="AH1057">
        <v>0</v>
      </c>
      <c r="AI1057" t="s">
        <v>173</v>
      </c>
      <c r="AJ1057">
        <v>41.989789000000002</v>
      </c>
      <c r="AK1057" t="s">
        <v>930</v>
      </c>
      <c r="AL1057">
        <v>-87.890410000000003</v>
      </c>
      <c r="AS1057">
        <v>1</v>
      </c>
      <c r="AT1057" t="s">
        <v>118</v>
      </c>
      <c r="AU1057" t="b">
        <v>1</v>
      </c>
      <c r="AV1057">
        <v>345.94</v>
      </c>
      <c r="AW1057">
        <v>7.125</v>
      </c>
      <c r="AX1057">
        <v>1</v>
      </c>
      <c r="AZ1057">
        <v>7205</v>
      </c>
      <c r="BA1057">
        <v>1</v>
      </c>
      <c r="BB1057" t="str">
        <f t="shared" si="50"/>
        <v xml:space="preserve">KAP400  </v>
      </c>
      <c r="BC1057">
        <v>1</v>
      </c>
      <c r="BE1057">
        <v>0</v>
      </c>
      <c r="BF1057">
        <v>0</v>
      </c>
      <c r="BG1057">
        <v>0</v>
      </c>
      <c r="BI1057">
        <v>1</v>
      </c>
      <c r="BJ1057">
        <v>1</v>
      </c>
      <c r="BK1057">
        <v>1</v>
      </c>
      <c r="BL1057">
        <v>0</v>
      </c>
      <c r="BO1057">
        <v>0</v>
      </c>
      <c r="BP1057">
        <v>0</v>
      </c>
      <c r="BW1057" t="str">
        <f>"19:21:49.987"</f>
        <v>19:21:49.987</v>
      </c>
      <c r="BX1057" t="s">
        <v>119</v>
      </c>
      <c r="BY1057" t="s">
        <v>120</v>
      </c>
      <c r="CJ1057">
        <v>0</v>
      </c>
      <c r="CK1057">
        <v>0</v>
      </c>
      <c r="CL1057">
        <v>0</v>
      </c>
      <c r="CM1057">
        <v>2</v>
      </c>
      <c r="CN1057">
        <v>0</v>
      </c>
      <c r="CO1057">
        <v>7</v>
      </c>
      <c r="CP1057" t="s">
        <v>121</v>
      </c>
      <c r="CQ1057">
        <v>579</v>
      </c>
      <c r="CR1057">
        <v>0</v>
      </c>
      <c r="CW1057">
        <v>2466949</v>
      </c>
      <c r="CY1057">
        <v>0</v>
      </c>
      <c r="CZ1057">
        <v>0</v>
      </c>
      <c r="DA1057">
        <v>0</v>
      </c>
      <c r="DB1057">
        <v>1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</row>
    <row r="1058" spans="1:113" x14ac:dyDescent="0.3">
      <c r="A1058" t="str">
        <f>"06/16/2022 19:21:51.255"</f>
        <v>06/16/2022 19:21:51.255</v>
      </c>
      <c r="C1058" t="str">
        <f t="shared" si="51"/>
        <v>FFBF5BC0</v>
      </c>
      <c r="D1058" t="s">
        <v>113</v>
      </c>
      <c r="E1058">
        <v>8</v>
      </c>
      <c r="H1058">
        <v>206</v>
      </c>
      <c r="I1058" t="s">
        <v>114</v>
      </c>
      <c r="J1058" t="s">
        <v>115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>"19:21:51.008"</f>
        <v>19:21:51.008</v>
      </c>
      <c r="T1058" t="str">
        <f>"19:21:51.008"</f>
        <v>19:21:51.008</v>
      </c>
      <c r="U1058" t="str">
        <f t="shared" si="49"/>
        <v>AB63B2</v>
      </c>
      <c r="V1058">
        <v>0</v>
      </c>
      <c r="W1058">
        <v>0</v>
      </c>
      <c r="X1058">
        <v>6</v>
      </c>
      <c r="Z1058">
        <v>0</v>
      </c>
      <c r="AA1058">
        <v>9</v>
      </c>
      <c r="AB1058">
        <v>3</v>
      </c>
      <c r="AC1058">
        <v>0</v>
      </c>
      <c r="AD1058">
        <v>10</v>
      </c>
      <c r="AE1058">
        <v>0</v>
      </c>
      <c r="AF1058">
        <v>0</v>
      </c>
      <c r="AG1058">
        <v>2</v>
      </c>
      <c r="AH1058">
        <v>0</v>
      </c>
      <c r="AI1058" t="s">
        <v>172</v>
      </c>
      <c r="AJ1058">
        <v>41.989809999999999</v>
      </c>
      <c r="AK1058" t="s">
        <v>930</v>
      </c>
      <c r="AL1058">
        <v>-87.890410000000003</v>
      </c>
      <c r="AS1058">
        <v>1</v>
      </c>
      <c r="AT1058" t="s">
        <v>118</v>
      </c>
      <c r="AU1058" t="b">
        <v>1</v>
      </c>
      <c r="AV1058">
        <v>340.31</v>
      </c>
      <c r="AW1058">
        <v>7.125</v>
      </c>
      <c r="AX1058">
        <v>1</v>
      </c>
      <c r="AZ1058">
        <v>7205</v>
      </c>
      <c r="BA1058">
        <v>1</v>
      </c>
      <c r="BB1058" t="str">
        <f t="shared" si="50"/>
        <v xml:space="preserve">KAP400  </v>
      </c>
      <c r="BC1058">
        <v>1</v>
      </c>
      <c r="BE1058">
        <v>0</v>
      </c>
      <c r="BF1058">
        <v>0</v>
      </c>
      <c r="BG1058">
        <v>0</v>
      </c>
      <c r="BI1058">
        <v>1</v>
      </c>
      <c r="BJ1058">
        <v>1</v>
      </c>
      <c r="BK1058">
        <v>1</v>
      </c>
      <c r="BL1058">
        <v>0</v>
      </c>
      <c r="BO1058">
        <v>0</v>
      </c>
      <c r="BP1058">
        <v>0</v>
      </c>
      <c r="BW1058" t="str">
        <f>"19:21:51.011"</f>
        <v>19:21:51.011</v>
      </c>
      <c r="BX1058" t="s">
        <v>119</v>
      </c>
      <c r="BY1058" t="s">
        <v>120</v>
      </c>
      <c r="CJ1058">
        <v>0</v>
      </c>
      <c r="CK1058">
        <v>0</v>
      </c>
      <c r="CL1058">
        <v>0</v>
      </c>
      <c r="CM1058">
        <v>2</v>
      </c>
      <c r="CN1058">
        <v>0</v>
      </c>
      <c r="CO1058">
        <v>7</v>
      </c>
      <c r="CP1058" t="s">
        <v>121</v>
      </c>
      <c r="CQ1058">
        <v>581</v>
      </c>
      <c r="CR1058">
        <v>0</v>
      </c>
      <c r="CW1058">
        <v>16040241</v>
      </c>
      <c r="CY1058">
        <v>0</v>
      </c>
      <c r="CZ1058">
        <v>0</v>
      </c>
      <c r="DA1058">
        <v>0</v>
      </c>
      <c r="DB1058">
        <v>1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0</v>
      </c>
    </row>
    <row r="1059" spans="1:113" x14ac:dyDescent="0.3">
      <c r="A1059" t="str">
        <f>"06/16/2022 19:21:52.336"</f>
        <v>06/16/2022 19:21:52.336</v>
      </c>
      <c r="C1059" t="str">
        <f t="shared" si="51"/>
        <v>FFBF5BC0</v>
      </c>
      <c r="D1059" t="s">
        <v>113</v>
      </c>
      <c r="E1059">
        <v>8</v>
      </c>
      <c r="H1059">
        <v>206</v>
      </c>
      <c r="I1059" t="s">
        <v>114</v>
      </c>
      <c r="J1059" t="s">
        <v>115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>"19:21:52.070"</f>
        <v>19:21:52.070</v>
      </c>
      <c r="T1059" t="str">
        <f>"19:21:52.070"</f>
        <v>19:21:52.070</v>
      </c>
      <c r="U1059" t="str">
        <f t="shared" si="49"/>
        <v>AB63B2</v>
      </c>
      <c r="V1059">
        <v>0</v>
      </c>
      <c r="W1059">
        <v>0</v>
      </c>
      <c r="X1059">
        <v>6</v>
      </c>
      <c r="Z1059">
        <v>0</v>
      </c>
      <c r="AA1059">
        <v>9</v>
      </c>
      <c r="AB1059">
        <v>3</v>
      </c>
      <c r="AC1059">
        <v>0</v>
      </c>
      <c r="AD1059">
        <v>10</v>
      </c>
      <c r="AE1059">
        <v>0</v>
      </c>
      <c r="AF1059">
        <v>0</v>
      </c>
      <c r="AG1059">
        <v>2</v>
      </c>
      <c r="AH1059">
        <v>0</v>
      </c>
      <c r="AI1059" t="s">
        <v>171</v>
      </c>
      <c r="AJ1059">
        <v>41.989852999999997</v>
      </c>
      <c r="AK1059" t="s">
        <v>982</v>
      </c>
      <c r="AL1059">
        <v>-87.890432000000004</v>
      </c>
      <c r="AS1059">
        <v>1</v>
      </c>
      <c r="AT1059" t="s">
        <v>118</v>
      </c>
      <c r="AU1059" t="b">
        <v>1</v>
      </c>
      <c r="AV1059">
        <v>334.69</v>
      </c>
      <c r="AW1059">
        <v>6.625</v>
      </c>
      <c r="AX1059">
        <v>1</v>
      </c>
      <c r="AZ1059">
        <v>7205</v>
      </c>
      <c r="BA1059">
        <v>1</v>
      </c>
      <c r="BB1059" t="str">
        <f t="shared" si="50"/>
        <v xml:space="preserve">KAP400  </v>
      </c>
      <c r="BC1059">
        <v>1</v>
      </c>
      <c r="BE1059">
        <v>0</v>
      </c>
      <c r="BF1059">
        <v>0</v>
      </c>
      <c r="BG1059">
        <v>0</v>
      </c>
      <c r="BI1059">
        <v>1</v>
      </c>
      <c r="BJ1059">
        <v>1</v>
      </c>
      <c r="BK1059">
        <v>1</v>
      </c>
      <c r="BL1059">
        <v>0</v>
      </c>
      <c r="BO1059">
        <v>0</v>
      </c>
      <c r="BP1059">
        <v>0</v>
      </c>
      <c r="BW1059" t="str">
        <f>"19:21:52.077"</f>
        <v>19:21:52.077</v>
      </c>
      <c r="BX1059" t="s">
        <v>119</v>
      </c>
      <c r="BY1059" t="s">
        <v>120</v>
      </c>
      <c r="CJ1059">
        <v>0</v>
      </c>
      <c r="CK1059">
        <v>0</v>
      </c>
      <c r="CL1059">
        <v>0</v>
      </c>
      <c r="CM1059">
        <v>2</v>
      </c>
      <c r="CN1059">
        <v>0</v>
      </c>
      <c r="CO1059">
        <v>7</v>
      </c>
      <c r="CP1059" t="s">
        <v>121</v>
      </c>
      <c r="CQ1059">
        <v>581</v>
      </c>
      <c r="CR1059">
        <v>0</v>
      </c>
      <c r="CW1059">
        <v>16041552</v>
      </c>
      <c r="CY1059">
        <v>0</v>
      </c>
      <c r="CZ1059">
        <v>0</v>
      </c>
      <c r="DA1059">
        <v>0</v>
      </c>
      <c r="DB1059">
        <v>1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</row>
    <row r="1060" spans="1:113" x14ac:dyDescent="0.3">
      <c r="A1060" t="str">
        <f>"06/16/2022 19:21:53.368"</f>
        <v>06/16/2022 19:21:53.368</v>
      </c>
      <c r="C1060" t="str">
        <f t="shared" si="51"/>
        <v>FFBF5BC0</v>
      </c>
      <c r="D1060" t="s">
        <v>113</v>
      </c>
      <c r="E1060">
        <v>8</v>
      </c>
      <c r="H1060">
        <v>206</v>
      </c>
      <c r="I1060" t="s">
        <v>114</v>
      </c>
      <c r="J1060" t="s">
        <v>115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>"19:21:53.109"</f>
        <v>19:21:53.109</v>
      </c>
      <c r="T1060" t="str">
        <f>"19:21:53.109"</f>
        <v>19:21:53.109</v>
      </c>
      <c r="U1060" t="str">
        <f t="shared" si="49"/>
        <v>AB63B2</v>
      </c>
      <c r="V1060">
        <v>0</v>
      </c>
      <c r="W1060">
        <v>0</v>
      </c>
      <c r="X1060">
        <v>6</v>
      </c>
      <c r="Z1060">
        <v>0</v>
      </c>
      <c r="AA1060">
        <v>9</v>
      </c>
      <c r="AB1060">
        <v>3</v>
      </c>
      <c r="AC1060">
        <v>0</v>
      </c>
      <c r="AD1060">
        <v>10</v>
      </c>
      <c r="AE1060">
        <v>0</v>
      </c>
      <c r="AF1060">
        <v>0</v>
      </c>
      <c r="AG1060">
        <v>2</v>
      </c>
      <c r="AH1060">
        <v>0</v>
      </c>
      <c r="AI1060" t="s">
        <v>983</v>
      </c>
      <c r="AJ1060">
        <v>41.989874999999998</v>
      </c>
      <c r="AK1060" t="s">
        <v>982</v>
      </c>
      <c r="AL1060">
        <v>-87.890432000000004</v>
      </c>
      <c r="AS1060">
        <v>1</v>
      </c>
      <c r="AT1060" t="s">
        <v>118</v>
      </c>
      <c r="AU1060" t="b">
        <v>1</v>
      </c>
      <c r="AV1060">
        <v>329.06</v>
      </c>
      <c r="AW1060">
        <v>6.125</v>
      </c>
      <c r="AX1060">
        <v>1</v>
      </c>
      <c r="AZ1060">
        <v>7205</v>
      </c>
      <c r="BA1060">
        <v>1</v>
      </c>
      <c r="BB1060" t="str">
        <f t="shared" si="50"/>
        <v xml:space="preserve">KAP400  </v>
      </c>
      <c r="BC1060">
        <v>1</v>
      </c>
      <c r="BE1060">
        <v>0</v>
      </c>
      <c r="BF1060">
        <v>0</v>
      </c>
      <c r="BG1060">
        <v>0</v>
      </c>
      <c r="BI1060">
        <v>1</v>
      </c>
      <c r="BJ1060">
        <v>1</v>
      </c>
      <c r="BK1060">
        <v>1</v>
      </c>
      <c r="BL1060">
        <v>0</v>
      </c>
      <c r="BO1060">
        <v>0</v>
      </c>
      <c r="BP1060">
        <v>0</v>
      </c>
      <c r="BW1060" t="str">
        <f>"19:21:53.114"</f>
        <v>19:21:53.114</v>
      </c>
      <c r="BX1060" t="s">
        <v>119</v>
      </c>
      <c r="BY1060" t="s">
        <v>120</v>
      </c>
      <c r="CJ1060">
        <v>0</v>
      </c>
      <c r="CK1060">
        <v>0</v>
      </c>
      <c r="CL1060">
        <v>0</v>
      </c>
      <c r="CM1060">
        <v>2</v>
      </c>
      <c r="CN1060">
        <v>0</v>
      </c>
      <c r="CO1060">
        <v>7</v>
      </c>
      <c r="CP1060" t="s">
        <v>121</v>
      </c>
      <c r="CQ1060">
        <v>582</v>
      </c>
      <c r="CR1060">
        <v>0</v>
      </c>
      <c r="CW1060">
        <v>6919042</v>
      </c>
      <c r="CY1060">
        <v>0</v>
      </c>
      <c r="CZ1060">
        <v>0</v>
      </c>
      <c r="DA1060">
        <v>0</v>
      </c>
      <c r="DB1060">
        <v>1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0</v>
      </c>
      <c r="DI1060">
        <v>0</v>
      </c>
    </row>
    <row r="1061" spans="1:113" x14ac:dyDescent="0.3">
      <c r="A1061" t="str">
        <f>"06/16/2022 19:21:54.243"</f>
        <v>06/16/2022 19:21:54.243</v>
      </c>
      <c r="C1061" t="str">
        <f t="shared" si="51"/>
        <v>FFBF5BC0</v>
      </c>
      <c r="D1061" t="s">
        <v>113</v>
      </c>
      <c r="E1061">
        <v>8</v>
      </c>
      <c r="H1061">
        <v>206</v>
      </c>
      <c r="I1061" t="s">
        <v>114</v>
      </c>
      <c r="J1061" t="s">
        <v>115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>"19:21:54.039"</f>
        <v>19:21:54.039</v>
      </c>
      <c r="T1061" t="str">
        <f>"19:21:54.039"</f>
        <v>19:21:54.039</v>
      </c>
      <c r="U1061" t="str">
        <f t="shared" si="49"/>
        <v>AB63B2</v>
      </c>
      <c r="V1061">
        <v>0</v>
      </c>
      <c r="W1061">
        <v>0</v>
      </c>
      <c r="X1061">
        <v>6</v>
      </c>
      <c r="Z1061">
        <v>0</v>
      </c>
      <c r="AA1061">
        <v>9</v>
      </c>
      <c r="AB1061">
        <v>3</v>
      </c>
      <c r="AC1061">
        <v>0</v>
      </c>
      <c r="AD1061">
        <v>10</v>
      </c>
      <c r="AE1061">
        <v>0</v>
      </c>
      <c r="AF1061">
        <v>0</v>
      </c>
      <c r="AG1061">
        <v>2</v>
      </c>
      <c r="AH1061">
        <v>0</v>
      </c>
      <c r="AI1061" t="s">
        <v>170</v>
      </c>
      <c r="AJ1061">
        <v>41.989896000000002</v>
      </c>
      <c r="AK1061" t="s">
        <v>984</v>
      </c>
      <c r="AL1061">
        <v>-87.890452999999994</v>
      </c>
      <c r="AS1061">
        <v>1</v>
      </c>
      <c r="AT1061" t="s">
        <v>118</v>
      </c>
      <c r="AU1061" t="b">
        <v>1</v>
      </c>
      <c r="AV1061">
        <v>320.63</v>
      </c>
      <c r="AW1061">
        <v>5.625</v>
      </c>
      <c r="AX1061">
        <v>1</v>
      </c>
      <c r="AZ1061">
        <v>7205</v>
      </c>
      <c r="BA1061">
        <v>1</v>
      </c>
      <c r="BB1061" t="str">
        <f t="shared" si="50"/>
        <v xml:space="preserve">KAP400  </v>
      </c>
      <c r="BC1061">
        <v>1</v>
      </c>
      <c r="BE1061">
        <v>0</v>
      </c>
      <c r="BF1061">
        <v>0</v>
      </c>
      <c r="BG1061">
        <v>0</v>
      </c>
      <c r="BI1061">
        <v>1</v>
      </c>
      <c r="BJ1061">
        <v>1</v>
      </c>
      <c r="BK1061">
        <v>1</v>
      </c>
      <c r="BL1061">
        <v>0</v>
      </c>
      <c r="BO1061">
        <v>0</v>
      </c>
      <c r="BP1061">
        <v>0</v>
      </c>
      <c r="BW1061" t="str">
        <f>"19:21:54.040"</f>
        <v>19:21:54.040</v>
      </c>
      <c r="BX1061" t="s">
        <v>119</v>
      </c>
      <c r="BY1061" t="s">
        <v>120</v>
      </c>
      <c r="CJ1061">
        <v>0</v>
      </c>
      <c r="CK1061">
        <v>0</v>
      </c>
      <c r="CL1061">
        <v>0</v>
      </c>
      <c r="CM1061">
        <v>2</v>
      </c>
      <c r="CN1061">
        <v>0</v>
      </c>
      <c r="CO1061">
        <v>7</v>
      </c>
      <c r="CP1061" t="s">
        <v>121</v>
      </c>
      <c r="CQ1061">
        <v>582</v>
      </c>
      <c r="CR1061">
        <v>0</v>
      </c>
      <c r="CW1061">
        <v>6920086</v>
      </c>
      <c r="CY1061">
        <v>0</v>
      </c>
      <c r="CZ1061">
        <v>0</v>
      </c>
      <c r="DA1061">
        <v>0</v>
      </c>
      <c r="DB1061">
        <v>1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</row>
    <row r="1062" spans="1:113" x14ac:dyDescent="0.3">
      <c r="A1062" t="str">
        <f>"06/16/2022 19:21:55.368"</f>
        <v>06/16/2022 19:21:55.368</v>
      </c>
      <c r="C1062" t="str">
        <f t="shared" si="51"/>
        <v>FFBF5BC0</v>
      </c>
      <c r="D1062" t="s">
        <v>113</v>
      </c>
      <c r="E1062">
        <v>8</v>
      </c>
      <c r="H1062">
        <v>206</v>
      </c>
      <c r="I1062" t="s">
        <v>114</v>
      </c>
      <c r="J1062" t="s">
        <v>115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>"19:21:55.125"</f>
        <v>19:21:55.125</v>
      </c>
      <c r="T1062" t="str">
        <f>"19:21:55.125"</f>
        <v>19:21:55.125</v>
      </c>
      <c r="U1062" t="str">
        <f t="shared" si="49"/>
        <v>AB63B2</v>
      </c>
      <c r="V1062">
        <v>0</v>
      </c>
      <c r="W1062">
        <v>0</v>
      </c>
      <c r="X1062">
        <v>6</v>
      </c>
      <c r="Z1062">
        <v>0</v>
      </c>
      <c r="AA1062">
        <v>9</v>
      </c>
      <c r="AB1062">
        <v>3</v>
      </c>
      <c r="AC1062">
        <v>0</v>
      </c>
      <c r="AD1062">
        <v>10</v>
      </c>
      <c r="AE1062">
        <v>0</v>
      </c>
      <c r="AF1062">
        <v>0</v>
      </c>
      <c r="AG1062">
        <v>2</v>
      </c>
      <c r="AH1062">
        <v>0</v>
      </c>
      <c r="AI1062" t="s">
        <v>169</v>
      </c>
      <c r="AJ1062">
        <v>41.989918000000003</v>
      </c>
      <c r="AK1062" t="s">
        <v>985</v>
      </c>
      <c r="AL1062">
        <v>-87.890474999999995</v>
      </c>
      <c r="AS1062">
        <v>1</v>
      </c>
      <c r="AT1062" t="s">
        <v>118</v>
      </c>
      <c r="AU1062" t="b">
        <v>1</v>
      </c>
      <c r="AV1062">
        <v>312.19</v>
      </c>
      <c r="AW1062">
        <v>5.625</v>
      </c>
      <c r="AX1062">
        <v>1</v>
      </c>
      <c r="AZ1062">
        <v>7205</v>
      </c>
      <c r="BA1062">
        <v>1</v>
      </c>
      <c r="BB1062" t="str">
        <f t="shared" si="50"/>
        <v xml:space="preserve">KAP400  </v>
      </c>
      <c r="BC1062">
        <v>1</v>
      </c>
      <c r="BE1062">
        <v>0</v>
      </c>
      <c r="BF1062">
        <v>0</v>
      </c>
      <c r="BG1062">
        <v>0</v>
      </c>
      <c r="BI1062">
        <v>1</v>
      </c>
      <c r="BJ1062">
        <v>1</v>
      </c>
      <c r="BK1062">
        <v>1</v>
      </c>
      <c r="BL1062">
        <v>0</v>
      </c>
      <c r="BO1062">
        <v>0</v>
      </c>
      <c r="BP1062">
        <v>0</v>
      </c>
      <c r="BW1062" t="str">
        <f>"19:21:55.128"</f>
        <v>19:21:55.128</v>
      </c>
      <c r="BX1062" t="s">
        <v>119</v>
      </c>
      <c r="BY1062" t="s">
        <v>120</v>
      </c>
      <c r="CJ1062">
        <v>0</v>
      </c>
      <c r="CK1062">
        <v>0</v>
      </c>
      <c r="CL1062">
        <v>0</v>
      </c>
      <c r="CM1062">
        <v>2</v>
      </c>
      <c r="CN1062">
        <v>0</v>
      </c>
      <c r="CO1062">
        <v>7</v>
      </c>
      <c r="CP1062" t="s">
        <v>121</v>
      </c>
      <c r="CQ1062">
        <v>581</v>
      </c>
      <c r="CR1062">
        <v>0</v>
      </c>
      <c r="CW1062">
        <v>16045387</v>
      </c>
      <c r="CY1062">
        <v>0</v>
      </c>
      <c r="CZ1062">
        <v>0</v>
      </c>
      <c r="DA1062">
        <v>0</v>
      </c>
      <c r="DB1062">
        <v>1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</row>
    <row r="1063" spans="1:113" x14ac:dyDescent="0.3">
      <c r="A1063" t="str">
        <f>"06/16/2022 19:21:56.477"</f>
        <v>06/16/2022 19:21:56.477</v>
      </c>
      <c r="C1063" t="str">
        <f t="shared" si="51"/>
        <v>FFBF5BC0</v>
      </c>
      <c r="D1063" t="s">
        <v>113</v>
      </c>
      <c r="E1063">
        <v>8</v>
      </c>
      <c r="H1063">
        <v>206</v>
      </c>
      <c r="I1063" t="s">
        <v>114</v>
      </c>
      <c r="J1063" t="s">
        <v>115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>"19:21:56.242"</f>
        <v>19:21:56.242</v>
      </c>
      <c r="T1063" t="str">
        <f>"19:21:56.242"</f>
        <v>19:21:56.242</v>
      </c>
      <c r="U1063" t="str">
        <f t="shared" si="49"/>
        <v>AB63B2</v>
      </c>
      <c r="V1063">
        <v>0</v>
      </c>
      <c r="W1063">
        <v>0</v>
      </c>
      <c r="X1063">
        <v>6</v>
      </c>
      <c r="Z1063">
        <v>0</v>
      </c>
      <c r="AA1063">
        <v>9</v>
      </c>
      <c r="AB1063">
        <v>3</v>
      </c>
      <c r="AC1063">
        <v>0</v>
      </c>
      <c r="AD1063">
        <v>10</v>
      </c>
      <c r="AE1063">
        <v>0</v>
      </c>
      <c r="AF1063">
        <v>0</v>
      </c>
      <c r="AG1063">
        <v>2</v>
      </c>
      <c r="AH1063">
        <v>0</v>
      </c>
      <c r="AI1063" t="s">
        <v>986</v>
      </c>
      <c r="AJ1063">
        <v>41.989939</v>
      </c>
      <c r="AK1063" t="s">
        <v>987</v>
      </c>
      <c r="AL1063">
        <v>-87.890495999999999</v>
      </c>
      <c r="AS1063">
        <v>1</v>
      </c>
      <c r="AT1063" t="s">
        <v>118</v>
      </c>
      <c r="AU1063" t="b">
        <v>1</v>
      </c>
      <c r="AV1063">
        <v>298.13</v>
      </c>
      <c r="AW1063">
        <v>5.625</v>
      </c>
      <c r="AX1063">
        <v>1</v>
      </c>
      <c r="AZ1063">
        <v>7205</v>
      </c>
      <c r="BA1063">
        <v>1</v>
      </c>
      <c r="BB1063" t="str">
        <f t="shared" si="50"/>
        <v xml:space="preserve">KAP400  </v>
      </c>
      <c r="BC1063">
        <v>1</v>
      </c>
      <c r="BE1063">
        <v>0</v>
      </c>
      <c r="BF1063">
        <v>0</v>
      </c>
      <c r="BG1063">
        <v>0</v>
      </c>
      <c r="BI1063">
        <v>1</v>
      </c>
      <c r="BJ1063">
        <v>1</v>
      </c>
      <c r="BK1063">
        <v>1</v>
      </c>
      <c r="BL1063">
        <v>0</v>
      </c>
      <c r="BO1063">
        <v>0</v>
      </c>
      <c r="BP1063">
        <v>0</v>
      </c>
      <c r="BW1063" t="str">
        <f>"19:21:56.247"</f>
        <v>19:21:56.247</v>
      </c>
      <c r="BX1063" t="s">
        <v>119</v>
      </c>
      <c r="BY1063" t="s">
        <v>120</v>
      </c>
      <c r="CJ1063">
        <v>0</v>
      </c>
      <c r="CK1063">
        <v>0</v>
      </c>
      <c r="CL1063">
        <v>0</v>
      </c>
      <c r="CM1063">
        <v>2</v>
      </c>
      <c r="CN1063">
        <v>0</v>
      </c>
      <c r="CO1063">
        <v>7</v>
      </c>
      <c r="CP1063" t="s">
        <v>121</v>
      </c>
      <c r="CQ1063">
        <v>582</v>
      </c>
      <c r="CR1063">
        <v>0</v>
      </c>
      <c r="CW1063">
        <v>6922581</v>
      </c>
      <c r="CY1063">
        <v>0</v>
      </c>
      <c r="CZ1063">
        <v>0</v>
      </c>
      <c r="DA1063">
        <v>0</v>
      </c>
      <c r="DB1063">
        <v>1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</row>
    <row r="1064" spans="1:113" x14ac:dyDescent="0.3">
      <c r="A1064" t="str">
        <f>"06/16/2022 19:21:57.629"</f>
        <v>06/16/2022 19:21:57.629</v>
      </c>
      <c r="C1064" t="str">
        <f t="shared" si="51"/>
        <v>FFBF5BC0</v>
      </c>
      <c r="D1064" t="s">
        <v>113</v>
      </c>
      <c r="E1064">
        <v>8</v>
      </c>
      <c r="H1064">
        <v>206</v>
      </c>
      <c r="I1064" t="s">
        <v>114</v>
      </c>
      <c r="J1064" t="s">
        <v>115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>"19:21:57.227"</f>
        <v>19:21:57.227</v>
      </c>
      <c r="T1064" t="str">
        <f>"19:21:57.227"</f>
        <v>19:21:57.227</v>
      </c>
      <c r="U1064" t="str">
        <f t="shared" si="49"/>
        <v>AB63B2</v>
      </c>
      <c r="V1064">
        <v>0</v>
      </c>
      <c r="W1064">
        <v>0</v>
      </c>
      <c r="X1064">
        <v>6</v>
      </c>
      <c r="Z1064">
        <v>0</v>
      </c>
      <c r="AA1064">
        <v>9</v>
      </c>
      <c r="AB1064">
        <v>3</v>
      </c>
      <c r="AC1064">
        <v>0</v>
      </c>
      <c r="AD1064">
        <v>10</v>
      </c>
      <c r="AE1064">
        <v>0</v>
      </c>
      <c r="AF1064">
        <v>0</v>
      </c>
      <c r="AG1064">
        <v>2</v>
      </c>
      <c r="AH1064">
        <v>0</v>
      </c>
      <c r="AI1064" t="s">
        <v>986</v>
      </c>
      <c r="AJ1064">
        <v>41.989939</v>
      </c>
      <c r="AK1064" t="s">
        <v>988</v>
      </c>
      <c r="AL1064">
        <v>-87.890539000000004</v>
      </c>
      <c r="AS1064">
        <v>1</v>
      </c>
      <c r="AT1064" t="s">
        <v>118</v>
      </c>
      <c r="AU1064" t="b">
        <v>1</v>
      </c>
      <c r="AV1064">
        <v>289.69</v>
      </c>
      <c r="AW1064">
        <v>5.625</v>
      </c>
      <c r="AX1064">
        <v>1</v>
      </c>
      <c r="AZ1064">
        <v>7205</v>
      </c>
      <c r="BA1064">
        <v>1</v>
      </c>
      <c r="BB1064" t="str">
        <f t="shared" si="50"/>
        <v xml:space="preserve">KAP400  </v>
      </c>
      <c r="BC1064">
        <v>1</v>
      </c>
      <c r="BE1064">
        <v>0</v>
      </c>
      <c r="BF1064">
        <v>0</v>
      </c>
      <c r="BG1064">
        <v>0</v>
      </c>
      <c r="BI1064">
        <v>1</v>
      </c>
      <c r="BJ1064">
        <v>1</v>
      </c>
      <c r="BK1064">
        <v>1</v>
      </c>
      <c r="BL1064">
        <v>0</v>
      </c>
      <c r="BO1064">
        <v>0</v>
      </c>
      <c r="BP1064">
        <v>0</v>
      </c>
      <c r="BW1064" t="str">
        <f>"19:21:57.230"</f>
        <v>19:21:57.230</v>
      </c>
      <c r="BX1064" t="s">
        <v>119</v>
      </c>
      <c r="BY1064" t="s">
        <v>120</v>
      </c>
      <c r="CJ1064">
        <v>0</v>
      </c>
      <c r="CK1064">
        <v>0</v>
      </c>
      <c r="CL1064">
        <v>0</v>
      </c>
      <c r="CM1064">
        <v>2</v>
      </c>
      <c r="CN1064">
        <v>0</v>
      </c>
      <c r="CO1064">
        <v>7</v>
      </c>
      <c r="CP1064" t="s">
        <v>121</v>
      </c>
      <c r="CQ1064">
        <v>582</v>
      </c>
      <c r="CR1064">
        <v>0</v>
      </c>
      <c r="CW1064">
        <v>6923674</v>
      </c>
      <c r="CY1064">
        <v>0</v>
      </c>
      <c r="CZ1064">
        <v>0</v>
      </c>
      <c r="DA1064">
        <v>0</v>
      </c>
      <c r="DB1064">
        <v>1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</row>
    <row r="1065" spans="1:113" x14ac:dyDescent="0.3">
      <c r="A1065" t="str">
        <f>"06/16/2022 19:21:58.676"</f>
        <v>06/16/2022 19:21:58.676</v>
      </c>
      <c r="C1065" t="str">
        <f t="shared" si="51"/>
        <v>FFBF5BC0</v>
      </c>
      <c r="D1065" t="s">
        <v>113</v>
      </c>
      <c r="E1065">
        <v>8</v>
      </c>
      <c r="H1065">
        <v>206</v>
      </c>
      <c r="I1065" t="s">
        <v>114</v>
      </c>
      <c r="J1065" t="s">
        <v>115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>"19:21:58.391"</f>
        <v>19:21:58.391</v>
      </c>
      <c r="T1065" t="str">
        <f>"19:21:58.391"</f>
        <v>19:21:58.391</v>
      </c>
      <c r="U1065" t="str">
        <f t="shared" si="49"/>
        <v>AB63B2</v>
      </c>
      <c r="V1065">
        <v>0</v>
      </c>
      <c r="W1065">
        <v>0</v>
      </c>
      <c r="X1065">
        <v>6</v>
      </c>
      <c r="Z1065">
        <v>0</v>
      </c>
      <c r="AA1065">
        <v>9</v>
      </c>
      <c r="AB1065">
        <v>3</v>
      </c>
      <c r="AC1065">
        <v>0</v>
      </c>
      <c r="AD1065">
        <v>10</v>
      </c>
      <c r="AE1065">
        <v>0</v>
      </c>
      <c r="AF1065">
        <v>0</v>
      </c>
      <c r="AG1065">
        <v>2</v>
      </c>
      <c r="AH1065">
        <v>0</v>
      </c>
      <c r="AI1065" t="s">
        <v>168</v>
      </c>
      <c r="AJ1065">
        <v>41.989961000000001</v>
      </c>
      <c r="AK1065" t="s">
        <v>989</v>
      </c>
      <c r="AL1065">
        <v>-87.890561000000005</v>
      </c>
      <c r="AS1065">
        <v>1</v>
      </c>
      <c r="AT1065" t="s">
        <v>118</v>
      </c>
      <c r="AU1065" t="b">
        <v>1</v>
      </c>
      <c r="AV1065">
        <v>284.06</v>
      </c>
      <c r="AW1065">
        <v>6.125</v>
      </c>
      <c r="AX1065">
        <v>1</v>
      </c>
      <c r="AZ1065">
        <v>7205</v>
      </c>
      <c r="BA1065">
        <v>1</v>
      </c>
      <c r="BB1065" t="str">
        <f t="shared" si="50"/>
        <v xml:space="preserve">KAP400  </v>
      </c>
      <c r="BC1065">
        <v>1</v>
      </c>
      <c r="BE1065">
        <v>0</v>
      </c>
      <c r="BF1065">
        <v>0</v>
      </c>
      <c r="BG1065">
        <v>0</v>
      </c>
      <c r="BI1065">
        <v>1</v>
      </c>
      <c r="BJ1065">
        <v>1</v>
      </c>
      <c r="BK1065">
        <v>1</v>
      </c>
      <c r="BL1065">
        <v>0</v>
      </c>
      <c r="BO1065">
        <v>0</v>
      </c>
      <c r="BP1065">
        <v>0</v>
      </c>
      <c r="BW1065" t="str">
        <f>"19:21:58.398"</f>
        <v>19:21:58.398</v>
      </c>
      <c r="BX1065" t="s">
        <v>119</v>
      </c>
      <c r="BY1065" t="s">
        <v>120</v>
      </c>
      <c r="CJ1065">
        <v>0</v>
      </c>
      <c r="CK1065">
        <v>0</v>
      </c>
      <c r="CL1065">
        <v>0</v>
      </c>
      <c r="CM1065">
        <v>2</v>
      </c>
      <c r="CN1065">
        <v>0</v>
      </c>
      <c r="CO1065">
        <v>7</v>
      </c>
      <c r="CP1065" t="s">
        <v>121</v>
      </c>
      <c r="CQ1065">
        <v>582</v>
      </c>
      <c r="CR1065">
        <v>0</v>
      </c>
      <c r="CW1065">
        <v>6925116</v>
      </c>
      <c r="CY1065">
        <v>0</v>
      </c>
      <c r="CZ1065">
        <v>0</v>
      </c>
      <c r="DA1065">
        <v>0</v>
      </c>
      <c r="DB1065">
        <v>1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</row>
    <row r="1066" spans="1:113" x14ac:dyDescent="0.3">
      <c r="A1066" t="str">
        <f>"06/16/2022 19:21:59.537"</f>
        <v>06/16/2022 19:21:59.537</v>
      </c>
      <c r="C1066" t="str">
        <f t="shared" si="51"/>
        <v>FFBF5BC0</v>
      </c>
      <c r="D1066" t="s">
        <v>113</v>
      </c>
      <c r="E1066">
        <v>8</v>
      </c>
      <c r="H1066">
        <v>206</v>
      </c>
      <c r="I1066" t="s">
        <v>114</v>
      </c>
      <c r="J1066" t="s">
        <v>115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>"19:21:59.352"</f>
        <v>19:21:59.352</v>
      </c>
      <c r="T1066" t="str">
        <f>"19:21:59.352"</f>
        <v>19:21:59.352</v>
      </c>
      <c r="U1066" t="str">
        <f t="shared" si="49"/>
        <v>AB63B2</v>
      </c>
      <c r="V1066">
        <v>0</v>
      </c>
      <c r="W1066">
        <v>0</v>
      </c>
      <c r="X1066">
        <v>6</v>
      </c>
      <c r="Z1066">
        <v>0</v>
      </c>
      <c r="AA1066">
        <v>9</v>
      </c>
      <c r="AB1066">
        <v>3</v>
      </c>
      <c r="AC1066">
        <v>0</v>
      </c>
      <c r="AD1066">
        <v>10</v>
      </c>
      <c r="AE1066">
        <v>0</v>
      </c>
      <c r="AF1066">
        <v>0</v>
      </c>
      <c r="AG1066">
        <v>2</v>
      </c>
      <c r="AH1066">
        <v>0</v>
      </c>
      <c r="AI1066" t="s">
        <v>168</v>
      </c>
      <c r="AJ1066">
        <v>41.989961000000001</v>
      </c>
      <c r="AK1066" t="s">
        <v>990</v>
      </c>
      <c r="AL1066">
        <v>-87.890603999999996</v>
      </c>
      <c r="AS1066">
        <v>1</v>
      </c>
      <c r="AT1066" t="s">
        <v>118</v>
      </c>
      <c r="AU1066" t="b">
        <v>1</v>
      </c>
      <c r="AV1066">
        <v>281.25</v>
      </c>
      <c r="AW1066">
        <v>6.125</v>
      </c>
      <c r="AX1066">
        <v>1</v>
      </c>
      <c r="AZ1066">
        <v>7205</v>
      </c>
      <c r="BA1066">
        <v>1</v>
      </c>
      <c r="BB1066" t="str">
        <f t="shared" si="50"/>
        <v xml:space="preserve">KAP400  </v>
      </c>
      <c r="BC1066">
        <v>1</v>
      </c>
      <c r="BE1066">
        <v>0</v>
      </c>
      <c r="BF1066">
        <v>0</v>
      </c>
      <c r="BG1066">
        <v>0</v>
      </c>
      <c r="BI1066">
        <v>1</v>
      </c>
      <c r="BJ1066">
        <v>1</v>
      </c>
      <c r="BK1066">
        <v>1</v>
      </c>
      <c r="BL1066">
        <v>0</v>
      </c>
      <c r="BO1066">
        <v>0</v>
      </c>
      <c r="BP1066">
        <v>0</v>
      </c>
      <c r="BW1066" t="str">
        <f>"19:21:59.352"</f>
        <v>19:21:59.352</v>
      </c>
      <c r="BX1066" t="s">
        <v>119</v>
      </c>
      <c r="BY1066" t="s">
        <v>120</v>
      </c>
      <c r="CJ1066">
        <v>0</v>
      </c>
      <c r="CK1066">
        <v>0</v>
      </c>
      <c r="CL1066">
        <v>0</v>
      </c>
      <c r="CM1066">
        <v>2</v>
      </c>
      <c r="CN1066">
        <v>0</v>
      </c>
      <c r="CO1066">
        <v>7</v>
      </c>
      <c r="CP1066" t="s">
        <v>121</v>
      </c>
      <c r="CQ1066">
        <v>582</v>
      </c>
      <c r="CR1066">
        <v>0</v>
      </c>
      <c r="CW1066">
        <v>6926229</v>
      </c>
      <c r="CY1066">
        <v>0</v>
      </c>
      <c r="CZ1066">
        <v>0</v>
      </c>
      <c r="DA1066">
        <v>0</v>
      </c>
      <c r="DB1066">
        <v>1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</row>
    <row r="1067" spans="1:113" x14ac:dyDescent="0.3">
      <c r="A1067" t="str">
        <f>"06/16/2022 19:22:00.975"</f>
        <v>06/16/2022 19:22:00.975</v>
      </c>
      <c r="C1067" t="str">
        <f t="shared" si="51"/>
        <v>FFBF5BC0</v>
      </c>
      <c r="D1067" t="s">
        <v>113</v>
      </c>
      <c r="E1067">
        <v>8</v>
      </c>
      <c r="H1067">
        <v>206</v>
      </c>
      <c r="I1067" t="s">
        <v>114</v>
      </c>
      <c r="J1067" t="s">
        <v>115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>"19:22:00.758"</f>
        <v>19:22:00.758</v>
      </c>
      <c r="T1067" t="str">
        <f>"19:22:00.758"</f>
        <v>19:22:00.758</v>
      </c>
      <c r="U1067" t="str">
        <f t="shared" si="49"/>
        <v>AB63B2</v>
      </c>
      <c r="V1067">
        <v>0</v>
      </c>
      <c r="W1067">
        <v>0</v>
      </c>
      <c r="X1067">
        <v>6</v>
      </c>
      <c r="Z1067">
        <v>0</v>
      </c>
      <c r="AA1067">
        <v>9</v>
      </c>
      <c r="AB1067">
        <v>3</v>
      </c>
      <c r="AC1067">
        <v>0</v>
      </c>
      <c r="AD1067">
        <v>10</v>
      </c>
      <c r="AE1067">
        <v>0</v>
      </c>
      <c r="AF1067">
        <v>0</v>
      </c>
      <c r="AG1067">
        <v>2</v>
      </c>
      <c r="AH1067">
        <v>0</v>
      </c>
      <c r="AI1067" t="s">
        <v>167</v>
      </c>
      <c r="AJ1067">
        <v>41.989981999999998</v>
      </c>
      <c r="AK1067" t="s">
        <v>991</v>
      </c>
      <c r="AL1067">
        <v>-87.890646000000004</v>
      </c>
      <c r="AS1067">
        <v>1</v>
      </c>
      <c r="AT1067" t="s">
        <v>118</v>
      </c>
      <c r="AU1067" t="b">
        <v>1</v>
      </c>
      <c r="AV1067">
        <v>278.44</v>
      </c>
      <c r="AW1067">
        <v>6.625</v>
      </c>
      <c r="AX1067">
        <v>1</v>
      </c>
      <c r="AZ1067">
        <v>7205</v>
      </c>
      <c r="BA1067">
        <v>1</v>
      </c>
      <c r="BB1067" t="str">
        <f t="shared" si="50"/>
        <v xml:space="preserve">KAP400  </v>
      </c>
      <c r="BC1067">
        <v>1</v>
      </c>
      <c r="BE1067">
        <v>0</v>
      </c>
      <c r="BF1067">
        <v>0</v>
      </c>
      <c r="BG1067">
        <v>0</v>
      </c>
      <c r="BI1067">
        <v>1</v>
      </c>
      <c r="BJ1067">
        <v>1</v>
      </c>
      <c r="BK1067">
        <v>1</v>
      </c>
      <c r="BL1067">
        <v>0</v>
      </c>
      <c r="BO1067">
        <v>0</v>
      </c>
      <c r="BP1067">
        <v>0</v>
      </c>
      <c r="BW1067" t="str">
        <f>"19:22:00.759"</f>
        <v>19:22:00.759</v>
      </c>
      <c r="BX1067" t="s">
        <v>119</v>
      </c>
      <c r="BY1067" t="s">
        <v>120</v>
      </c>
      <c r="CJ1067">
        <v>0</v>
      </c>
      <c r="CK1067">
        <v>0</v>
      </c>
      <c r="CL1067">
        <v>0</v>
      </c>
      <c r="CM1067">
        <v>2</v>
      </c>
      <c r="CN1067">
        <v>0</v>
      </c>
      <c r="CO1067">
        <v>7</v>
      </c>
      <c r="CP1067" t="s">
        <v>121</v>
      </c>
      <c r="CQ1067">
        <v>581</v>
      </c>
      <c r="CR1067">
        <v>0</v>
      </c>
      <c r="CW1067">
        <v>16052671</v>
      </c>
      <c r="CY1067">
        <v>0</v>
      </c>
      <c r="CZ1067">
        <v>0</v>
      </c>
      <c r="DA1067">
        <v>0</v>
      </c>
      <c r="DB1067">
        <v>1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</row>
    <row r="1068" spans="1:113" x14ac:dyDescent="0.3">
      <c r="A1068" t="str">
        <f>"06/16/2022 19:22:01.942"</f>
        <v>06/16/2022 19:22:01.942</v>
      </c>
      <c r="C1068" t="str">
        <f t="shared" si="51"/>
        <v>FFBF5BC0</v>
      </c>
      <c r="D1068" t="s">
        <v>113</v>
      </c>
      <c r="E1068">
        <v>8</v>
      </c>
      <c r="H1068">
        <v>206</v>
      </c>
      <c r="I1068" t="s">
        <v>114</v>
      </c>
      <c r="J1068" t="s">
        <v>115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>"19:22:01.688"</f>
        <v>19:22:01.688</v>
      </c>
      <c r="T1068" t="str">
        <f>"19:22:01.688"</f>
        <v>19:22:01.688</v>
      </c>
      <c r="U1068" t="str">
        <f t="shared" si="49"/>
        <v>AB63B2</v>
      </c>
      <c r="V1068">
        <v>0</v>
      </c>
      <c r="W1068">
        <v>0</v>
      </c>
      <c r="X1068">
        <v>6</v>
      </c>
      <c r="Z1068">
        <v>0</v>
      </c>
      <c r="AA1068">
        <v>9</v>
      </c>
      <c r="AB1068">
        <v>3</v>
      </c>
      <c r="AC1068">
        <v>0</v>
      </c>
      <c r="AD1068">
        <v>10</v>
      </c>
      <c r="AE1068">
        <v>0</v>
      </c>
      <c r="AF1068">
        <v>0</v>
      </c>
      <c r="AG1068">
        <v>2</v>
      </c>
      <c r="AH1068">
        <v>0</v>
      </c>
      <c r="AI1068" t="s">
        <v>167</v>
      </c>
      <c r="AJ1068">
        <v>41.989981999999998</v>
      </c>
      <c r="AK1068" t="s">
        <v>992</v>
      </c>
      <c r="AL1068">
        <v>-87.890688999999995</v>
      </c>
      <c r="AS1068">
        <v>1</v>
      </c>
      <c r="AT1068" t="s">
        <v>118</v>
      </c>
      <c r="AU1068" t="b">
        <v>1</v>
      </c>
      <c r="AV1068">
        <v>272.81</v>
      </c>
      <c r="AW1068">
        <v>6.625</v>
      </c>
      <c r="AX1068">
        <v>1</v>
      </c>
      <c r="AZ1068">
        <v>7205</v>
      </c>
      <c r="BA1068">
        <v>1</v>
      </c>
      <c r="BB1068" t="str">
        <f t="shared" si="50"/>
        <v xml:space="preserve">KAP400  </v>
      </c>
      <c r="BC1068">
        <v>1</v>
      </c>
      <c r="BE1068">
        <v>0</v>
      </c>
      <c r="BF1068">
        <v>0</v>
      </c>
      <c r="BG1068">
        <v>0</v>
      </c>
      <c r="BI1068">
        <v>1</v>
      </c>
      <c r="BJ1068">
        <v>1</v>
      </c>
      <c r="BK1068">
        <v>1</v>
      </c>
      <c r="BL1068">
        <v>0</v>
      </c>
      <c r="BO1068">
        <v>0</v>
      </c>
      <c r="BP1068">
        <v>0</v>
      </c>
      <c r="BW1068" t="str">
        <f>"19:22:01.688"</f>
        <v>19:22:01.688</v>
      </c>
      <c r="BX1068" t="s">
        <v>119</v>
      </c>
      <c r="BY1068" t="s">
        <v>120</v>
      </c>
      <c r="CJ1068">
        <v>0</v>
      </c>
      <c r="CK1068">
        <v>0</v>
      </c>
      <c r="CL1068">
        <v>0</v>
      </c>
      <c r="CM1068">
        <v>2</v>
      </c>
      <c r="CN1068">
        <v>0</v>
      </c>
      <c r="CO1068">
        <v>7</v>
      </c>
      <c r="CP1068" t="s">
        <v>121</v>
      </c>
      <c r="CQ1068">
        <v>579</v>
      </c>
      <c r="CR1068">
        <v>0</v>
      </c>
      <c r="CW1068">
        <v>2488602</v>
      </c>
      <c r="CY1068">
        <v>0</v>
      </c>
      <c r="CZ1068">
        <v>0</v>
      </c>
      <c r="DA1068">
        <v>0</v>
      </c>
      <c r="DB1068">
        <v>1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</row>
    <row r="1069" spans="1:113" x14ac:dyDescent="0.3">
      <c r="A1069" t="str">
        <f>"06/16/2022 19:22:02.989"</f>
        <v>06/16/2022 19:22:02.989</v>
      </c>
      <c r="C1069" t="str">
        <f t="shared" si="51"/>
        <v>FFBF5BC0</v>
      </c>
      <c r="D1069" t="s">
        <v>113</v>
      </c>
      <c r="E1069">
        <v>8</v>
      </c>
      <c r="H1069">
        <v>206</v>
      </c>
      <c r="I1069" t="s">
        <v>114</v>
      </c>
      <c r="J1069" t="s">
        <v>115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>"19:22:02.734"</f>
        <v>19:22:02.734</v>
      </c>
      <c r="T1069" t="str">
        <f>"19:22:02.734"</f>
        <v>19:22:02.734</v>
      </c>
      <c r="U1069" t="str">
        <f t="shared" si="49"/>
        <v>AB63B2</v>
      </c>
      <c r="V1069">
        <v>0</v>
      </c>
      <c r="W1069">
        <v>0</v>
      </c>
      <c r="X1069">
        <v>6</v>
      </c>
      <c r="Z1069">
        <v>0</v>
      </c>
      <c r="AA1069">
        <v>9</v>
      </c>
      <c r="AB1069">
        <v>3</v>
      </c>
      <c r="AC1069">
        <v>0</v>
      </c>
      <c r="AD1069">
        <v>10</v>
      </c>
      <c r="AE1069">
        <v>0</v>
      </c>
      <c r="AF1069">
        <v>0</v>
      </c>
      <c r="AG1069">
        <v>2</v>
      </c>
      <c r="AH1069">
        <v>0</v>
      </c>
      <c r="AI1069" t="s">
        <v>167</v>
      </c>
      <c r="AJ1069">
        <v>41.989981999999998</v>
      </c>
      <c r="AK1069" t="s">
        <v>993</v>
      </c>
      <c r="AL1069">
        <v>-87.890732</v>
      </c>
      <c r="AS1069">
        <v>1</v>
      </c>
      <c r="AT1069" t="s">
        <v>118</v>
      </c>
      <c r="AU1069" t="b">
        <v>1</v>
      </c>
      <c r="AV1069">
        <v>270</v>
      </c>
      <c r="AW1069">
        <v>7.125</v>
      </c>
      <c r="AX1069">
        <v>1</v>
      </c>
      <c r="AZ1069">
        <v>7205</v>
      </c>
      <c r="BA1069">
        <v>1</v>
      </c>
      <c r="BB1069" t="str">
        <f t="shared" si="50"/>
        <v xml:space="preserve">KAP400  </v>
      </c>
      <c r="BC1069">
        <v>1</v>
      </c>
      <c r="BE1069">
        <v>0</v>
      </c>
      <c r="BF1069">
        <v>0</v>
      </c>
      <c r="BG1069">
        <v>0</v>
      </c>
      <c r="BI1069">
        <v>1</v>
      </c>
      <c r="BJ1069">
        <v>1</v>
      </c>
      <c r="BK1069">
        <v>1</v>
      </c>
      <c r="BL1069">
        <v>0</v>
      </c>
      <c r="BO1069">
        <v>0</v>
      </c>
      <c r="BP1069">
        <v>0</v>
      </c>
      <c r="BW1069" t="str">
        <f>"19:22:02.740"</f>
        <v>19:22:02.740</v>
      </c>
      <c r="BX1069" t="s">
        <v>119</v>
      </c>
      <c r="BY1069" t="s">
        <v>120</v>
      </c>
      <c r="CJ1069">
        <v>0</v>
      </c>
      <c r="CK1069">
        <v>0</v>
      </c>
      <c r="CL1069">
        <v>0</v>
      </c>
      <c r="CM1069">
        <v>2</v>
      </c>
      <c r="CN1069">
        <v>0</v>
      </c>
      <c r="CO1069">
        <v>7</v>
      </c>
      <c r="CP1069" t="s">
        <v>121</v>
      </c>
      <c r="CQ1069">
        <v>579</v>
      </c>
      <c r="CR1069">
        <v>0</v>
      </c>
      <c r="CW1069">
        <v>2490526</v>
      </c>
      <c r="CY1069">
        <v>0</v>
      </c>
      <c r="CZ1069">
        <v>0</v>
      </c>
      <c r="DA1069">
        <v>0</v>
      </c>
      <c r="DB1069">
        <v>1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</row>
    <row r="1070" spans="1:113" x14ac:dyDescent="0.3">
      <c r="A1070" t="str">
        <f>"06/16/2022 19:22:04.130"</f>
        <v>06/16/2022 19:22:04.130</v>
      </c>
      <c r="C1070" t="str">
        <f t="shared" si="51"/>
        <v>FFBF5BC0</v>
      </c>
      <c r="D1070" t="s">
        <v>113</v>
      </c>
      <c r="E1070">
        <v>8</v>
      </c>
      <c r="H1070">
        <v>206</v>
      </c>
      <c r="I1070" t="s">
        <v>114</v>
      </c>
      <c r="J1070" t="s">
        <v>115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>"19:22:03.734"</f>
        <v>19:22:03.734</v>
      </c>
      <c r="T1070" t="str">
        <f>"19:22:03.734"</f>
        <v>19:22:03.734</v>
      </c>
      <c r="U1070" t="str">
        <f t="shared" si="49"/>
        <v>AB63B2</v>
      </c>
      <c r="V1070">
        <v>0</v>
      </c>
      <c r="W1070">
        <v>0</v>
      </c>
      <c r="X1070">
        <v>6</v>
      </c>
      <c r="Z1070">
        <v>0</v>
      </c>
      <c r="AA1070">
        <v>9</v>
      </c>
      <c r="AB1070">
        <v>3</v>
      </c>
      <c r="AC1070">
        <v>0</v>
      </c>
      <c r="AD1070">
        <v>10</v>
      </c>
      <c r="AE1070">
        <v>0</v>
      </c>
      <c r="AF1070">
        <v>0</v>
      </c>
      <c r="AG1070">
        <v>2</v>
      </c>
      <c r="AH1070">
        <v>0</v>
      </c>
      <c r="AI1070" t="s">
        <v>167</v>
      </c>
      <c r="AJ1070">
        <v>41.989981999999998</v>
      </c>
      <c r="AK1070" t="s">
        <v>994</v>
      </c>
      <c r="AL1070">
        <v>-87.890775000000005</v>
      </c>
      <c r="AS1070">
        <v>1</v>
      </c>
      <c r="AT1070" t="s">
        <v>118</v>
      </c>
      <c r="AU1070" t="b">
        <v>1</v>
      </c>
      <c r="AV1070">
        <v>270</v>
      </c>
      <c r="AW1070">
        <v>7.625</v>
      </c>
      <c r="AX1070">
        <v>1</v>
      </c>
      <c r="AZ1070">
        <v>7205</v>
      </c>
      <c r="BA1070">
        <v>1</v>
      </c>
      <c r="BB1070" t="str">
        <f t="shared" si="50"/>
        <v xml:space="preserve">KAP400  </v>
      </c>
      <c r="BC1070">
        <v>1</v>
      </c>
      <c r="BE1070">
        <v>0</v>
      </c>
      <c r="BF1070">
        <v>0</v>
      </c>
      <c r="BG1070">
        <v>0</v>
      </c>
      <c r="BI1070">
        <v>1</v>
      </c>
      <c r="BJ1070">
        <v>1</v>
      </c>
      <c r="BK1070">
        <v>1</v>
      </c>
      <c r="BL1070">
        <v>0</v>
      </c>
      <c r="BO1070">
        <v>0</v>
      </c>
      <c r="BP1070">
        <v>0</v>
      </c>
      <c r="BW1070" t="str">
        <f>"19:22:03.738"</f>
        <v>19:22:03.738</v>
      </c>
      <c r="BX1070" t="s">
        <v>119</v>
      </c>
      <c r="BY1070" t="s">
        <v>120</v>
      </c>
      <c r="CJ1070">
        <v>0</v>
      </c>
      <c r="CK1070">
        <v>0</v>
      </c>
      <c r="CL1070">
        <v>0</v>
      </c>
      <c r="CM1070">
        <v>2</v>
      </c>
      <c r="CN1070">
        <v>0</v>
      </c>
      <c r="CO1070">
        <v>7</v>
      </c>
      <c r="CP1070" t="s">
        <v>121</v>
      </c>
      <c r="CQ1070">
        <v>582</v>
      </c>
      <c r="CR1070">
        <v>0</v>
      </c>
      <c r="CW1070">
        <v>6931334</v>
      </c>
      <c r="CY1070">
        <v>0</v>
      </c>
      <c r="CZ1070">
        <v>0</v>
      </c>
      <c r="DA1070">
        <v>0</v>
      </c>
      <c r="DB1070">
        <v>1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</row>
    <row r="1071" spans="1:113" x14ac:dyDescent="0.3">
      <c r="A1071" t="str">
        <f>"06/16/2022 19:22:04.896"</f>
        <v>06/16/2022 19:22:04.896</v>
      </c>
      <c r="C1071" t="str">
        <f t="shared" si="51"/>
        <v>FFBF5BC0</v>
      </c>
      <c r="D1071" t="s">
        <v>113</v>
      </c>
      <c r="E1071">
        <v>8</v>
      </c>
      <c r="H1071">
        <v>206</v>
      </c>
      <c r="I1071" t="s">
        <v>114</v>
      </c>
      <c r="J1071" t="s">
        <v>115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>"19:22:04.625"</f>
        <v>19:22:04.625</v>
      </c>
      <c r="T1071" t="str">
        <f>"19:22:04.625"</f>
        <v>19:22:04.625</v>
      </c>
      <c r="U1071" t="str">
        <f t="shared" si="49"/>
        <v>AB63B2</v>
      </c>
      <c r="V1071">
        <v>0</v>
      </c>
      <c r="W1071">
        <v>0</v>
      </c>
      <c r="X1071">
        <v>6</v>
      </c>
      <c r="Z1071">
        <v>0</v>
      </c>
      <c r="AA1071">
        <v>9</v>
      </c>
      <c r="AB1071">
        <v>3</v>
      </c>
      <c r="AC1071">
        <v>0</v>
      </c>
      <c r="AD1071">
        <v>10</v>
      </c>
      <c r="AE1071">
        <v>0</v>
      </c>
      <c r="AF1071">
        <v>0</v>
      </c>
      <c r="AG1071">
        <v>2</v>
      </c>
      <c r="AH1071">
        <v>0</v>
      </c>
      <c r="AI1071" t="s">
        <v>167</v>
      </c>
      <c r="AJ1071">
        <v>41.989981999999998</v>
      </c>
      <c r="AK1071" t="s">
        <v>995</v>
      </c>
      <c r="AL1071">
        <v>-87.890817999999996</v>
      </c>
      <c r="AS1071">
        <v>1</v>
      </c>
      <c r="AT1071" t="s">
        <v>118</v>
      </c>
      <c r="AU1071" t="b">
        <v>1</v>
      </c>
      <c r="AV1071">
        <v>270</v>
      </c>
      <c r="AW1071">
        <v>7.625</v>
      </c>
      <c r="AX1071">
        <v>1</v>
      </c>
      <c r="AZ1071">
        <v>7205</v>
      </c>
      <c r="BA1071">
        <v>1</v>
      </c>
      <c r="BB1071" t="str">
        <f t="shared" si="50"/>
        <v xml:space="preserve">KAP400  </v>
      </c>
      <c r="BC1071">
        <v>1</v>
      </c>
      <c r="BE1071">
        <v>0</v>
      </c>
      <c r="BF1071">
        <v>0</v>
      </c>
      <c r="BG1071">
        <v>0</v>
      </c>
      <c r="BI1071">
        <v>1</v>
      </c>
      <c r="BJ1071">
        <v>1</v>
      </c>
      <c r="BK1071">
        <v>1</v>
      </c>
      <c r="BL1071">
        <v>0</v>
      </c>
      <c r="BO1071">
        <v>0</v>
      </c>
      <c r="BP1071">
        <v>0</v>
      </c>
      <c r="BW1071" t="str">
        <f>"19:22:04.626"</f>
        <v>19:22:04.626</v>
      </c>
      <c r="BX1071" t="s">
        <v>119</v>
      </c>
      <c r="BY1071" t="s">
        <v>120</v>
      </c>
      <c r="CJ1071">
        <v>0</v>
      </c>
      <c r="CK1071">
        <v>0</v>
      </c>
      <c r="CL1071">
        <v>0</v>
      </c>
      <c r="CM1071">
        <v>2</v>
      </c>
      <c r="CN1071">
        <v>0</v>
      </c>
      <c r="CO1071">
        <v>7</v>
      </c>
      <c r="CP1071" t="s">
        <v>121</v>
      </c>
      <c r="CQ1071">
        <v>579</v>
      </c>
      <c r="CR1071">
        <v>0</v>
      </c>
      <c r="CW1071">
        <v>2494050</v>
      </c>
      <c r="CY1071">
        <v>0</v>
      </c>
      <c r="CZ1071">
        <v>0</v>
      </c>
      <c r="DA1071">
        <v>0</v>
      </c>
      <c r="DB1071">
        <v>1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</row>
    <row r="1072" spans="1:113" x14ac:dyDescent="0.3">
      <c r="A1072" t="str">
        <f>"06/16/2022 19:22:05.927"</f>
        <v>06/16/2022 19:22:05.927</v>
      </c>
      <c r="C1072" t="str">
        <f t="shared" si="51"/>
        <v>FFBF5BC0</v>
      </c>
      <c r="D1072" t="s">
        <v>113</v>
      </c>
      <c r="E1072">
        <v>8</v>
      </c>
      <c r="H1072">
        <v>206</v>
      </c>
      <c r="I1072" t="s">
        <v>114</v>
      </c>
      <c r="J1072" t="s">
        <v>115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>"19:22:05.703"</f>
        <v>19:22:05.703</v>
      </c>
      <c r="T1072" t="str">
        <f>"19:22:05.703"</f>
        <v>19:22:05.703</v>
      </c>
      <c r="U1072" t="str">
        <f t="shared" si="49"/>
        <v>AB63B2</v>
      </c>
      <c r="V1072">
        <v>0</v>
      </c>
      <c r="W1072">
        <v>0</v>
      </c>
      <c r="X1072">
        <v>6</v>
      </c>
      <c r="Z1072">
        <v>0</v>
      </c>
      <c r="AA1072">
        <v>9</v>
      </c>
      <c r="AB1072">
        <v>3</v>
      </c>
      <c r="AC1072">
        <v>0</v>
      </c>
      <c r="AD1072">
        <v>10</v>
      </c>
      <c r="AE1072">
        <v>0</v>
      </c>
      <c r="AF1072">
        <v>0</v>
      </c>
      <c r="AG1072">
        <v>2</v>
      </c>
      <c r="AH1072">
        <v>0</v>
      </c>
      <c r="AI1072" t="s">
        <v>167</v>
      </c>
      <c r="AJ1072">
        <v>41.989981999999998</v>
      </c>
      <c r="AK1072" t="s">
        <v>996</v>
      </c>
      <c r="AL1072">
        <v>-87.890861000000001</v>
      </c>
      <c r="AS1072">
        <v>1</v>
      </c>
      <c r="AT1072" t="s">
        <v>118</v>
      </c>
      <c r="AU1072" t="b">
        <v>1</v>
      </c>
      <c r="AV1072">
        <v>267.19</v>
      </c>
      <c r="AW1072">
        <v>8.125</v>
      </c>
      <c r="AX1072">
        <v>1</v>
      </c>
      <c r="AZ1072">
        <v>7205</v>
      </c>
      <c r="BA1072">
        <v>1</v>
      </c>
      <c r="BB1072" t="str">
        <f t="shared" si="50"/>
        <v xml:space="preserve">KAP400  </v>
      </c>
      <c r="BC1072">
        <v>1</v>
      </c>
      <c r="BE1072">
        <v>0</v>
      </c>
      <c r="BF1072">
        <v>0</v>
      </c>
      <c r="BG1072">
        <v>0</v>
      </c>
      <c r="BI1072">
        <v>1</v>
      </c>
      <c r="BJ1072">
        <v>1</v>
      </c>
      <c r="BK1072">
        <v>1</v>
      </c>
      <c r="BL1072">
        <v>0</v>
      </c>
      <c r="BO1072">
        <v>0</v>
      </c>
      <c r="BP1072">
        <v>0</v>
      </c>
      <c r="BW1072" t="str">
        <f>"19:22:05.711"</f>
        <v>19:22:05.711</v>
      </c>
      <c r="BX1072" t="s">
        <v>119</v>
      </c>
      <c r="BY1072" t="s">
        <v>120</v>
      </c>
      <c r="CJ1072">
        <v>0</v>
      </c>
      <c r="CK1072">
        <v>0</v>
      </c>
      <c r="CL1072">
        <v>0</v>
      </c>
      <c r="CM1072">
        <v>2</v>
      </c>
      <c r="CN1072">
        <v>0</v>
      </c>
      <c r="CO1072">
        <v>7</v>
      </c>
      <c r="CP1072" t="s">
        <v>121</v>
      </c>
      <c r="CQ1072">
        <v>581</v>
      </c>
      <c r="CR1072">
        <v>0</v>
      </c>
      <c r="CW1072">
        <v>16058891</v>
      </c>
      <c r="CY1072">
        <v>0</v>
      </c>
      <c r="CZ1072">
        <v>0</v>
      </c>
      <c r="DA1072">
        <v>0</v>
      </c>
      <c r="DB1072">
        <v>1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</row>
    <row r="1073" spans="1:113" x14ac:dyDescent="0.3">
      <c r="A1073" t="str">
        <f>"06/16/2022 19:22:06.927"</f>
        <v>06/16/2022 19:22:06.927</v>
      </c>
      <c r="C1073" t="str">
        <f t="shared" si="51"/>
        <v>FFBF5BC0</v>
      </c>
      <c r="D1073" t="s">
        <v>113</v>
      </c>
      <c r="E1073">
        <v>8</v>
      </c>
      <c r="H1073">
        <v>206</v>
      </c>
      <c r="I1073" t="s">
        <v>114</v>
      </c>
      <c r="J1073" t="s">
        <v>115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>"19:22:06.695"</f>
        <v>19:22:06.695</v>
      </c>
      <c r="T1073" t="str">
        <f>"19:22:06.695"</f>
        <v>19:22:06.695</v>
      </c>
      <c r="U1073" t="str">
        <f t="shared" si="49"/>
        <v>AB63B2</v>
      </c>
      <c r="V1073">
        <v>0</v>
      </c>
      <c r="W1073">
        <v>0</v>
      </c>
      <c r="X1073">
        <v>6</v>
      </c>
      <c r="Z1073">
        <v>0</v>
      </c>
      <c r="AA1073">
        <v>9</v>
      </c>
      <c r="AB1073">
        <v>3</v>
      </c>
      <c r="AC1073">
        <v>0</v>
      </c>
      <c r="AD1073">
        <v>10</v>
      </c>
      <c r="AE1073">
        <v>0</v>
      </c>
      <c r="AF1073">
        <v>0</v>
      </c>
      <c r="AG1073">
        <v>2</v>
      </c>
      <c r="AH1073">
        <v>0</v>
      </c>
      <c r="AI1073" t="s">
        <v>167</v>
      </c>
      <c r="AJ1073">
        <v>41.989981999999998</v>
      </c>
      <c r="AK1073" t="s">
        <v>997</v>
      </c>
      <c r="AL1073">
        <v>-87.890924999999996</v>
      </c>
      <c r="AS1073">
        <v>1</v>
      </c>
      <c r="AT1073" t="s">
        <v>118</v>
      </c>
      <c r="AU1073" t="b">
        <v>1</v>
      </c>
      <c r="AV1073">
        <v>267.19</v>
      </c>
      <c r="AW1073">
        <v>8.625</v>
      </c>
      <c r="AX1073">
        <v>1</v>
      </c>
      <c r="AZ1073">
        <v>7205</v>
      </c>
      <c r="BA1073">
        <v>1</v>
      </c>
      <c r="BB1073" t="str">
        <f t="shared" si="50"/>
        <v xml:space="preserve">KAP400  </v>
      </c>
      <c r="BC1073">
        <v>1</v>
      </c>
      <c r="BE1073">
        <v>0</v>
      </c>
      <c r="BF1073">
        <v>0</v>
      </c>
      <c r="BG1073">
        <v>0</v>
      </c>
      <c r="BI1073">
        <v>1</v>
      </c>
      <c r="BJ1073">
        <v>1</v>
      </c>
      <c r="BK1073">
        <v>1</v>
      </c>
      <c r="BL1073">
        <v>0</v>
      </c>
      <c r="BO1073">
        <v>0</v>
      </c>
      <c r="BP1073">
        <v>0</v>
      </c>
      <c r="BW1073" t="str">
        <f>"19:22:06.702"</f>
        <v>19:22:06.702</v>
      </c>
      <c r="BX1073" t="s">
        <v>119</v>
      </c>
      <c r="BY1073" t="s">
        <v>120</v>
      </c>
      <c r="CJ1073">
        <v>0</v>
      </c>
      <c r="CK1073">
        <v>0</v>
      </c>
      <c r="CL1073">
        <v>0</v>
      </c>
      <c r="CM1073">
        <v>2</v>
      </c>
      <c r="CN1073">
        <v>0</v>
      </c>
      <c r="CO1073">
        <v>7</v>
      </c>
      <c r="CP1073" t="s">
        <v>121</v>
      </c>
      <c r="CQ1073">
        <v>579</v>
      </c>
      <c r="CR1073">
        <v>0</v>
      </c>
      <c r="CW1073">
        <v>2497763</v>
      </c>
      <c r="CY1073">
        <v>0</v>
      </c>
      <c r="CZ1073">
        <v>0</v>
      </c>
      <c r="DA1073">
        <v>0</v>
      </c>
      <c r="DB1073">
        <v>1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</row>
    <row r="1074" spans="1:113" x14ac:dyDescent="0.3">
      <c r="A1074" t="str">
        <f>"06/16/2022 19:22:21.725"</f>
        <v>06/16/2022 19:22:21.725</v>
      </c>
      <c r="C1074" t="str">
        <f t="shared" si="51"/>
        <v>FFBF5BC0</v>
      </c>
      <c r="D1074" t="s">
        <v>113</v>
      </c>
      <c r="E1074">
        <v>8</v>
      </c>
      <c r="H1074">
        <v>206</v>
      </c>
      <c r="I1074" t="s">
        <v>114</v>
      </c>
      <c r="J1074" t="s">
        <v>115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>"19:22:21.422"</f>
        <v>19:22:21.422</v>
      </c>
      <c r="T1074" t="str">
        <f>"19:22:21.422"</f>
        <v>19:22:21.422</v>
      </c>
      <c r="U1074" t="str">
        <f t="shared" si="49"/>
        <v>AB63B2</v>
      </c>
      <c r="V1074">
        <v>0</v>
      </c>
      <c r="W1074">
        <v>0</v>
      </c>
      <c r="X1074">
        <v>6</v>
      </c>
      <c r="Z1074">
        <v>0</v>
      </c>
      <c r="AA1074">
        <v>9</v>
      </c>
      <c r="AB1074">
        <v>3</v>
      </c>
      <c r="AC1074">
        <v>0</v>
      </c>
      <c r="AD1074">
        <v>10</v>
      </c>
      <c r="AE1074">
        <v>0</v>
      </c>
      <c r="AF1074">
        <v>0</v>
      </c>
      <c r="AG1074">
        <v>2</v>
      </c>
      <c r="AH1074">
        <v>0</v>
      </c>
      <c r="AI1074" t="s">
        <v>168</v>
      </c>
      <c r="AJ1074">
        <v>41.989961000000001</v>
      </c>
      <c r="AK1074" t="s">
        <v>998</v>
      </c>
      <c r="AL1074">
        <v>-87.891954999999996</v>
      </c>
      <c r="AS1074">
        <v>1</v>
      </c>
      <c r="AT1074" t="s">
        <v>118</v>
      </c>
      <c r="AU1074" t="b">
        <v>1</v>
      </c>
      <c r="AV1074">
        <v>270</v>
      </c>
      <c r="AW1074">
        <v>14.125</v>
      </c>
      <c r="AX1074">
        <v>1</v>
      </c>
      <c r="AZ1074">
        <v>7205</v>
      </c>
      <c r="BA1074">
        <v>1</v>
      </c>
      <c r="BB1074" t="str">
        <f t="shared" si="50"/>
        <v xml:space="preserve">KAP400  </v>
      </c>
      <c r="BC1074">
        <v>1</v>
      </c>
      <c r="BE1074">
        <v>0</v>
      </c>
      <c r="BF1074">
        <v>0</v>
      </c>
      <c r="BG1074">
        <v>0</v>
      </c>
      <c r="BI1074">
        <v>1</v>
      </c>
      <c r="BJ1074">
        <v>1</v>
      </c>
      <c r="BK1074">
        <v>1</v>
      </c>
      <c r="BL1074">
        <v>0</v>
      </c>
      <c r="BO1074">
        <v>0</v>
      </c>
      <c r="BP1074">
        <v>0</v>
      </c>
      <c r="BW1074" t="str">
        <f>"19:22:21.423"</f>
        <v>19:22:21.423</v>
      </c>
      <c r="BX1074" t="s">
        <v>119</v>
      </c>
      <c r="BY1074" t="s">
        <v>120</v>
      </c>
      <c r="CJ1074">
        <v>0</v>
      </c>
      <c r="CK1074">
        <v>0</v>
      </c>
      <c r="CL1074">
        <v>0</v>
      </c>
      <c r="CM1074">
        <v>2</v>
      </c>
      <c r="CN1074">
        <v>0</v>
      </c>
      <c r="CO1074">
        <v>7</v>
      </c>
      <c r="CP1074" t="s">
        <v>121</v>
      </c>
      <c r="CQ1074">
        <v>582</v>
      </c>
      <c r="CR1074">
        <v>0</v>
      </c>
      <c r="CW1074">
        <v>6951627</v>
      </c>
      <c r="CY1074">
        <v>0</v>
      </c>
      <c r="CZ1074">
        <v>0</v>
      </c>
      <c r="DA1074">
        <v>0</v>
      </c>
      <c r="DB1074">
        <v>1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</row>
    <row r="1075" spans="1:113" x14ac:dyDescent="0.3">
      <c r="A1075" t="str">
        <f>"06/16/2022 19:22:22.553"</f>
        <v>06/16/2022 19:22:22.553</v>
      </c>
      <c r="C1075" t="str">
        <f t="shared" si="51"/>
        <v>FFBF5BC0</v>
      </c>
      <c r="D1075" t="s">
        <v>113</v>
      </c>
      <c r="E1075">
        <v>8</v>
      </c>
      <c r="H1075">
        <v>206</v>
      </c>
      <c r="I1075" t="s">
        <v>114</v>
      </c>
      <c r="J1075" t="s">
        <v>115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>"19:22:22.313"</f>
        <v>19:22:22.313</v>
      </c>
      <c r="T1075" t="str">
        <f>"19:22:22.313"</f>
        <v>19:22:22.313</v>
      </c>
      <c r="U1075" t="str">
        <f t="shared" si="49"/>
        <v>AB63B2</v>
      </c>
      <c r="V1075">
        <v>0</v>
      </c>
      <c r="W1075">
        <v>0</v>
      </c>
      <c r="X1075">
        <v>6</v>
      </c>
      <c r="Z1075">
        <v>0</v>
      </c>
      <c r="AA1075">
        <v>9</v>
      </c>
      <c r="AB1075">
        <v>3</v>
      </c>
      <c r="AC1075">
        <v>0</v>
      </c>
      <c r="AD1075">
        <v>10</v>
      </c>
      <c r="AE1075">
        <v>0</v>
      </c>
      <c r="AF1075">
        <v>0</v>
      </c>
      <c r="AG1075">
        <v>2</v>
      </c>
      <c r="AH1075">
        <v>0</v>
      </c>
      <c r="AI1075" t="s">
        <v>167</v>
      </c>
      <c r="AJ1075">
        <v>41.989981999999998</v>
      </c>
      <c r="AK1075" t="s">
        <v>842</v>
      </c>
      <c r="AL1075">
        <v>-87.892020000000002</v>
      </c>
      <c r="AS1075">
        <v>1</v>
      </c>
      <c r="AT1075" t="s">
        <v>118</v>
      </c>
      <c r="AU1075" t="b">
        <v>1</v>
      </c>
      <c r="AV1075">
        <v>270</v>
      </c>
      <c r="AW1075">
        <v>14.125</v>
      </c>
      <c r="AX1075">
        <v>1</v>
      </c>
      <c r="AZ1075">
        <v>7205</v>
      </c>
      <c r="BA1075">
        <v>1</v>
      </c>
      <c r="BB1075" t="str">
        <f t="shared" si="50"/>
        <v xml:space="preserve">KAP400  </v>
      </c>
      <c r="BC1075">
        <v>1</v>
      </c>
      <c r="BE1075">
        <v>0</v>
      </c>
      <c r="BF1075">
        <v>0</v>
      </c>
      <c r="BG1075">
        <v>0</v>
      </c>
      <c r="BI1075">
        <v>1</v>
      </c>
      <c r="BJ1075">
        <v>1</v>
      </c>
      <c r="BK1075">
        <v>1</v>
      </c>
      <c r="BL1075">
        <v>0</v>
      </c>
      <c r="BO1075">
        <v>0</v>
      </c>
      <c r="BP1075">
        <v>0</v>
      </c>
      <c r="BW1075" t="str">
        <f>"19:22:22.314"</f>
        <v>19:22:22.314</v>
      </c>
      <c r="BX1075" t="s">
        <v>119</v>
      </c>
      <c r="BY1075" t="s">
        <v>120</v>
      </c>
      <c r="CJ1075">
        <v>0</v>
      </c>
      <c r="CK1075">
        <v>0</v>
      </c>
      <c r="CL1075">
        <v>0</v>
      </c>
      <c r="CM1075">
        <v>2</v>
      </c>
      <c r="CN1075">
        <v>0</v>
      </c>
      <c r="CO1075">
        <v>7</v>
      </c>
      <c r="CP1075" t="s">
        <v>121</v>
      </c>
      <c r="CQ1075">
        <v>582</v>
      </c>
      <c r="CR1075">
        <v>0</v>
      </c>
      <c r="CW1075">
        <v>6952671</v>
      </c>
      <c r="CY1075">
        <v>0</v>
      </c>
      <c r="CZ1075">
        <v>0</v>
      </c>
      <c r="DA1075">
        <v>0</v>
      </c>
      <c r="DB1075">
        <v>1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</row>
    <row r="1076" spans="1:113" x14ac:dyDescent="0.3">
      <c r="A1076" t="str">
        <f>"06/16/2022 19:22:24.194"</f>
        <v>06/16/2022 19:22:24.194</v>
      </c>
      <c r="C1076" t="str">
        <f t="shared" si="51"/>
        <v>FFBF5BC0</v>
      </c>
      <c r="D1076" t="s">
        <v>113</v>
      </c>
      <c r="E1076">
        <v>8</v>
      </c>
      <c r="H1076">
        <v>206</v>
      </c>
      <c r="I1076" t="s">
        <v>114</v>
      </c>
      <c r="J1076" t="s">
        <v>115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>"19:22:23.977"</f>
        <v>19:22:23.977</v>
      </c>
      <c r="T1076" t="str">
        <f>"19:22:23.977"</f>
        <v>19:22:23.977</v>
      </c>
      <c r="U1076" t="str">
        <f t="shared" si="49"/>
        <v>AB63B2</v>
      </c>
      <c r="V1076">
        <v>0</v>
      </c>
      <c r="W1076">
        <v>0</v>
      </c>
      <c r="X1076">
        <v>6</v>
      </c>
      <c r="Z1076">
        <v>0</v>
      </c>
      <c r="AA1076">
        <v>9</v>
      </c>
      <c r="AB1076">
        <v>3</v>
      </c>
      <c r="AC1076">
        <v>0</v>
      </c>
      <c r="AD1076">
        <v>10</v>
      </c>
      <c r="AE1076">
        <v>0</v>
      </c>
      <c r="AF1076">
        <v>0</v>
      </c>
      <c r="AG1076">
        <v>2</v>
      </c>
      <c r="AH1076">
        <v>0</v>
      </c>
      <c r="AI1076" t="s">
        <v>168</v>
      </c>
      <c r="AJ1076">
        <v>41.989961000000001</v>
      </c>
      <c r="AK1076" t="s">
        <v>999</v>
      </c>
      <c r="AL1076">
        <v>-87.892169999999993</v>
      </c>
      <c r="AS1076">
        <v>1</v>
      </c>
      <c r="AT1076" t="s">
        <v>118</v>
      </c>
      <c r="AU1076" t="b">
        <v>1</v>
      </c>
      <c r="AV1076">
        <v>270</v>
      </c>
      <c r="AW1076">
        <v>14.625</v>
      </c>
      <c r="AX1076">
        <v>1</v>
      </c>
      <c r="AZ1076">
        <v>7205</v>
      </c>
      <c r="BA1076">
        <v>1</v>
      </c>
      <c r="BB1076" t="str">
        <f t="shared" si="50"/>
        <v xml:space="preserve">KAP400  </v>
      </c>
      <c r="BC1076">
        <v>1</v>
      </c>
      <c r="BE1076">
        <v>0</v>
      </c>
      <c r="BF1076">
        <v>0</v>
      </c>
      <c r="BG1076">
        <v>0</v>
      </c>
      <c r="BI1076">
        <v>1</v>
      </c>
      <c r="BJ1076">
        <v>1</v>
      </c>
      <c r="BK1076">
        <v>1</v>
      </c>
      <c r="BL1076">
        <v>0</v>
      </c>
      <c r="BO1076">
        <v>0</v>
      </c>
      <c r="BP1076">
        <v>0</v>
      </c>
      <c r="BW1076" t="str">
        <f>"19:22:23.984"</f>
        <v>19:22:23.984</v>
      </c>
      <c r="BX1076" t="s">
        <v>119</v>
      </c>
      <c r="BY1076" t="s">
        <v>120</v>
      </c>
      <c r="CJ1076">
        <v>0</v>
      </c>
      <c r="CK1076">
        <v>0</v>
      </c>
      <c r="CL1076">
        <v>0</v>
      </c>
      <c r="CM1076">
        <v>2</v>
      </c>
      <c r="CN1076">
        <v>0</v>
      </c>
      <c r="CO1076">
        <v>7</v>
      </c>
      <c r="CP1076" t="s">
        <v>121</v>
      </c>
      <c r="CQ1076">
        <v>579</v>
      </c>
      <c r="CR1076">
        <v>0</v>
      </c>
      <c r="CW1076">
        <v>2529320</v>
      </c>
      <c r="CY1076">
        <v>0</v>
      </c>
      <c r="CZ1076">
        <v>0</v>
      </c>
      <c r="DA1076">
        <v>0</v>
      </c>
      <c r="DB1076">
        <v>1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</row>
    <row r="1077" spans="1:113" x14ac:dyDescent="0.3">
      <c r="A1077" t="str">
        <f>"06/16/2022 19:22:25.100"</f>
        <v>06/16/2022 19:22:25.100</v>
      </c>
      <c r="C1077" t="str">
        <f t="shared" si="51"/>
        <v>FFBF5BC0</v>
      </c>
      <c r="D1077" t="s">
        <v>113</v>
      </c>
      <c r="E1077">
        <v>8</v>
      </c>
      <c r="H1077">
        <v>206</v>
      </c>
      <c r="I1077" t="s">
        <v>114</v>
      </c>
      <c r="J1077" t="s">
        <v>115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>"19:22:24.813"</f>
        <v>19:22:24.813</v>
      </c>
      <c r="T1077" t="str">
        <f>"19:22:24.813"</f>
        <v>19:22:24.813</v>
      </c>
      <c r="U1077" t="str">
        <f t="shared" si="49"/>
        <v>AB63B2</v>
      </c>
      <c r="V1077">
        <v>0</v>
      </c>
      <c r="W1077">
        <v>0</v>
      </c>
      <c r="X1077">
        <v>6</v>
      </c>
      <c r="Z1077">
        <v>0</v>
      </c>
      <c r="AA1077">
        <v>9</v>
      </c>
      <c r="AB1077">
        <v>3</v>
      </c>
      <c r="AC1077">
        <v>0</v>
      </c>
      <c r="AD1077">
        <v>10</v>
      </c>
      <c r="AE1077">
        <v>0</v>
      </c>
      <c r="AF1077">
        <v>0</v>
      </c>
      <c r="AG1077">
        <v>2</v>
      </c>
      <c r="AH1077">
        <v>0</v>
      </c>
      <c r="AI1077" t="s">
        <v>168</v>
      </c>
      <c r="AJ1077">
        <v>41.989961000000001</v>
      </c>
      <c r="AK1077" t="s">
        <v>1000</v>
      </c>
      <c r="AL1077">
        <v>-87.892234000000002</v>
      </c>
      <c r="AS1077">
        <v>1</v>
      </c>
      <c r="AT1077" t="s">
        <v>118</v>
      </c>
      <c r="AU1077" t="b">
        <v>1</v>
      </c>
      <c r="AV1077">
        <v>270</v>
      </c>
      <c r="AW1077">
        <v>14.625</v>
      </c>
      <c r="AX1077">
        <v>1</v>
      </c>
      <c r="AZ1077">
        <v>7205</v>
      </c>
      <c r="BA1077">
        <v>1</v>
      </c>
      <c r="BB1077" t="str">
        <f t="shared" si="50"/>
        <v xml:space="preserve">KAP400  </v>
      </c>
      <c r="BC1077">
        <v>1</v>
      </c>
      <c r="BE1077">
        <v>0</v>
      </c>
      <c r="BF1077">
        <v>0</v>
      </c>
      <c r="BG1077">
        <v>0</v>
      </c>
      <c r="BI1077">
        <v>1</v>
      </c>
      <c r="BJ1077">
        <v>1</v>
      </c>
      <c r="BK1077">
        <v>1</v>
      </c>
      <c r="BL1077">
        <v>0</v>
      </c>
      <c r="BO1077">
        <v>0</v>
      </c>
      <c r="BP1077">
        <v>0</v>
      </c>
      <c r="BW1077" t="str">
        <f>"19:22:24.819"</f>
        <v>19:22:24.819</v>
      </c>
      <c r="BX1077" t="s">
        <v>119</v>
      </c>
      <c r="BY1077" t="s">
        <v>120</v>
      </c>
      <c r="CJ1077">
        <v>0</v>
      </c>
      <c r="CK1077">
        <v>0</v>
      </c>
      <c r="CL1077">
        <v>0</v>
      </c>
      <c r="CM1077">
        <v>2</v>
      </c>
      <c r="CN1077">
        <v>0</v>
      </c>
      <c r="CO1077">
        <v>7</v>
      </c>
      <c r="CP1077" t="s">
        <v>121</v>
      </c>
      <c r="CQ1077">
        <v>579</v>
      </c>
      <c r="CR1077">
        <v>0</v>
      </c>
      <c r="CW1077">
        <v>2530772</v>
      </c>
      <c r="CY1077">
        <v>0</v>
      </c>
      <c r="CZ1077">
        <v>0</v>
      </c>
      <c r="DA1077">
        <v>0</v>
      </c>
      <c r="DB1077">
        <v>1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</row>
    <row r="1078" spans="1:113" x14ac:dyDescent="0.3">
      <c r="A1078" t="str">
        <f>"06/16/2022 19:22:25.975"</f>
        <v>06/16/2022 19:22:25.975</v>
      </c>
      <c r="C1078" t="str">
        <f t="shared" si="51"/>
        <v>FFBF5BC0</v>
      </c>
      <c r="D1078" t="s">
        <v>113</v>
      </c>
      <c r="E1078">
        <v>8</v>
      </c>
      <c r="H1078">
        <v>206</v>
      </c>
      <c r="I1078" t="s">
        <v>114</v>
      </c>
      <c r="J1078" t="s">
        <v>115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>"19:22:25.719"</f>
        <v>19:22:25.719</v>
      </c>
      <c r="T1078" t="str">
        <f>"19:22:25.719"</f>
        <v>19:22:25.719</v>
      </c>
      <c r="U1078" t="str">
        <f t="shared" si="49"/>
        <v>AB63B2</v>
      </c>
      <c r="V1078">
        <v>0</v>
      </c>
      <c r="W1078">
        <v>0</v>
      </c>
      <c r="X1078">
        <v>6</v>
      </c>
      <c r="Z1078">
        <v>0</v>
      </c>
      <c r="AA1078">
        <v>9</v>
      </c>
      <c r="AB1078">
        <v>3</v>
      </c>
      <c r="AC1078">
        <v>0</v>
      </c>
      <c r="AD1078">
        <v>10</v>
      </c>
      <c r="AE1078">
        <v>0</v>
      </c>
      <c r="AF1078">
        <v>0</v>
      </c>
      <c r="AG1078">
        <v>2</v>
      </c>
      <c r="AH1078">
        <v>0</v>
      </c>
      <c r="AI1078" t="s">
        <v>168</v>
      </c>
      <c r="AJ1078">
        <v>41.989961000000001</v>
      </c>
      <c r="AK1078" t="s">
        <v>1001</v>
      </c>
      <c r="AL1078">
        <v>-87.892319999999998</v>
      </c>
      <c r="AS1078">
        <v>1</v>
      </c>
      <c r="AT1078" t="s">
        <v>118</v>
      </c>
      <c r="AU1078" t="b">
        <v>1</v>
      </c>
      <c r="AV1078">
        <v>270</v>
      </c>
      <c r="AW1078">
        <v>14.625</v>
      </c>
      <c r="AX1078">
        <v>1</v>
      </c>
      <c r="AZ1078">
        <v>7205</v>
      </c>
      <c r="BA1078">
        <v>1</v>
      </c>
      <c r="BB1078" t="str">
        <f t="shared" si="50"/>
        <v xml:space="preserve">KAP400  </v>
      </c>
      <c r="BC1078">
        <v>1</v>
      </c>
      <c r="BE1078">
        <v>0</v>
      </c>
      <c r="BF1078">
        <v>0</v>
      </c>
      <c r="BG1078">
        <v>0</v>
      </c>
      <c r="BI1078">
        <v>1</v>
      </c>
      <c r="BJ1078">
        <v>1</v>
      </c>
      <c r="BK1078">
        <v>1</v>
      </c>
      <c r="BL1078">
        <v>0</v>
      </c>
      <c r="BO1078">
        <v>0</v>
      </c>
      <c r="BP1078">
        <v>0</v>
      </c>
      <c r="BW1078" t="str">
        <f>"19:22:25.719"</f>
        <v>19:22:25.719</v>
      </c>
      <c r="BX1078" t="s">
        <v>119</v>
      </c>
      <c r="BY1078" t="s">
        <v>120</v>
      </c>
      <c r="CJ1078">
        <v>0</v>
      </c>
      <c r="CK1078">
        <v>0</v>
      </c>
      <c r="CL1078">
        <v>0</v>
      </c>
      <c r="CM1078">
        <v>2</v>
      </c>
      <c r="CN1078">
        <v>0</v>
      </c>
      <c r="CO1078">
        <v>7</v>
      </c>
      <c r="CP1078" t="s">
        <v>121</v>
      </c>
      <c r="CQ1078">
        <v>581</v>
      </c>
      <c r="CR1078">
        <v>0</v>
      </c>
      <c r="CW1078">
        <v>16084121</v>
      </c>
      <c r="CY1078">
        <v>0</v>
      </c>
      <c r="CZ1078">
        <v>0</v>
      </c>
      <c r="DA1078">
        <v>0</v>
      </c>
      <c r="DB1078">
        <v>1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</row>
    <row r="1079" spans="1:113" x14ac:dyDescent="0.3">
      <c r="A1079" t="str">
        <f>"06/16/2022 19:22:27.069"</f>
        <v>06/16/2022 19:22:27.069</v>
      </c>
      <c r="C1079" t="str">
        <f t="shared" si="51"/>
        <v>FFBF5BC0</v>
      </c>
      <c r="D1079" t="s">
        <v>113</v>
      </c>
      <c r="E1079">
        <v>8</v>
      </c>
      <c r="H1079">
        <v>206</v>
      </c>
      <c r="I1079" t="s">
        <v>114</v>
      </c>
      <c r="J1079" t="s">
        <v>115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>"19:22:26.773"</f>
        <v>19:22:26.773</v>
      </c>
      <c r="T1079" t="str">
        <f>"19:22:26.773"</f>
        <v>19:22:26.773</v>
      </c>
      <c r="U1079" t="str">
        <f t="shared" si="49"/>
        <v>AB63B2</v>
      </c>
      <c r="V1079">
        <v>0</v>
      </c>
      <c r="W1079">
        <v>0</v>
      </c>
      <c r="X1079">
        <v>6</v>
      </c>
      <c r="Z1079">
        <v>0</v>
      </c>
      <c r="AA1079">
        <v>9</v>
      </c>
      <c r="AB1079">
        <v>3</v>
      </c>
      <c r="AC1079">
        <v>0</v>
      </c>
      <c r="AD1079">
        <v>10</v>
      </c>
      <c r="AE1079">
        <v>0</v>
      </c>
      <c r="AF1079">
        <v>0</v>
      </c>
      <c r="AG1079">
        <v>2</v>
      </c>
      <c r="AH1079">
        <v>0</v>
      </c>
      <c r="AI1079" t="s">
        <v>168</v>
      </c>
      <c r="AJ1079">
        <v>41.989961000000001</v>
      </c>
      <c r="AK1079" t="s">
        <v>831</v>
      </c>
      <c r="AL1079">
        <v>-87.892405999999994</v>
      </c>
      <c r="AS1079">
        <v>1</v>
      </c>
      <c r="AT1079" t="s">
        <v>118</v>
      </c>
      <c r="AU1079" t="b">
        <v>1</v>
      </c>
      <c r="AV1079">
        <v>270</v>
      </c>
      <c r="AW1079">
        <v>15.125</v>
      </c>
      <c r="AX1079">
        <v>1</v>
      </c>
      <c r="AZ1079">
        <v>7205</v>
      </c>
      <c r="BA1079">
        <v>1</v>
      </c>
      <c r="BB1079" t="str">
        <f t="shared" si="50"/>
        <v xml:space="preserve">KAP400  </v>
      </c>
      <c r="BC1079">
        <v>1</v>
      </c>
      <c r="BE1079">
        <v>0</v>
      </c>
      <c r="BF1079">
        <v>0</v>
      </c>
      <c r="BG1079">
        <v>0</v>
      </c>
      <c r="BI1079">
        <v>1</v>
      </c>
      <c r="BJ1079">
        <v>1</v>
      </c>
      <c r="BK1079">
        <v>1</v>
      </c>
      <c r="BL1079">
        <v>0</v>
      </c>
      <c r="BO1079">
        <v>0</v>
      </c>
      <c r="BP1079">
        <v>0</v>
      </c>
      <c r="BW1079" t="str">
        <f>"19:22:26.779"</f>
        <v>19:22:26.779</v>
      </c>
      <c r="BX1079" t="s">
        <v>119</v>
      </c>
      <c r="BY1079" t="s">
        <v>120</v>
      </c>
      <c r="CJ1079">
        <v>0</v>
      </c>
      <c r="CK1079">
        <v>0</v>
      </c>
      <c r="CL1079">
        <v>0</v>
      </c>
      <c r="CM1079">
        <v>2</v>
      </c>
      <c r="CN1079">
        <v>0</v>
      </c>
      <c r="CO1079">
        <v>7</v>
      </c>
      <c r="CP1079" t="s">
        <v>121</v>
      </c>
      <c r="CQ1079">
        <v>579</v>
      </c>
      <c r="CR1079">
        <v>0</v>
      </c>
      <c r="CW1079">
        <v>2534386</v>
      </c>
      <c r="CY1079">
        <v>0</v>
      </c>
      <c r="CZ1079">
        <v>0</v>
      </c>
      <c r="DA1079">
        <v>0</v>
      </c>
      <c r="DB1079">
        <v>1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</row>
    <row r="1080" spans="1:113" x14ac:dyDescent="0.3">
      <c r="A1080" t="str">
        <f>"06/16/2022 19:22:27.960"</f>
        <v>06/16/2022 19:22:27.960</v>
      </c>
      <c r="C1080" t="str">
        <f t="shared" si="51"/>
        <v>FFBF5BC0</v>
      </c>
      <c r="D1080" t="s">
        <v>113</v>
      </c>
      <c r="E1080">
        <v>8</v>
      </c>
      <c r="H1080">
        <v>206</v>
      </c>
      <c r="I1080" t="s">
        <v>114</v>
      </c>
      <c r="J1080" t="s">
        <v>115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>"19:22:27.758"</f>
        <v>19:22:27.758</v>
      </c>
      <c r="T1080" t="str">
        <f>"19:22:27.758"</f>
        <v>19:22:27.758</v>
      </c>
      <c r="U1080" t="str">
        <f t="shared" si="49"/>
        <v>AB63B2</v>
      </c>
      <c r="V1080">
        <v>0</v>
      </c>
      <c r="W1080">
        <v>0</v>
      </c>
      <c r="X1080">
        <v>6</v>
      </c>
      <c r="Z1080">
        <v>0</v>
      </c>
      <c r="AA1080">
        <v>9</v>
      </c>
      <c r="AB1080">
        <v>3</v>
      </c>
      <c r="AC1080">
        <v>0</v>
      </c>
      <c r="AD1080">
        <v>10</v>
      </c>
      <c r="AE1080">
        <v>0</v>
      </c>
      <c r="AF1080">
        <v>0</v>
      </c>
      <c r="AG1080">
        <v>2</v>
      </c>
      <c r="AH1080">
        <v>0</v>
      </c>
      <c r="AI1080" t="s">
        <v>167</v>
      </c>
      <c r="AJ1080">
        <v>41.989981999999998</v>
      </c>
      <c r="AK1080" t="s">
        <v>1002</v>
      </c>
      <c r="AL1080">
        <v>-87.892492000000004</v>
      </c>
      <c r="AS1080">
        <v>1</v>
      </c>
      <c r="AT1080" t="s">
        <v>118</v>
      </c>
      <c r="AU1080" t="b">
        <v>1</v>
      </c>
      <c r="AV1080">
        <v>270</v>
      </c>
      <c r="AW1080">
        <v>15.125</v>
      </c>
      <c r="AX1080">
        <v>1</v>
      </c>
      <c r="AZ1080">
        <v>7205</v>
      </c>
      <c r="BA1080">
        <v>1</v>
      </c>
      <c r="BB1080" t="str">
        <f t="shared" si="50"/>
        <v xml:space="preserve">KAP400  </v>
      </c>
      <c r="BC1080">
        <v>1</v>
      </c>
      <c r="BE1080">
        <v>0</v>
      </c>
      <c r="BF1080">
        <v>0</v>
      </c>
      <c r="BG1080">
        <v>0</v>
      </c>
      <c r="BI1080">
        <v>1</v>
      </c>
      <c r="BJ1080">
        <v>1</v>
      </c>
      <c r="BK1080">
        <v>1</v>
      </c>
      <c r="BL1080">
        <v>0</v>
      </c>
      <c r="BO1080">
        <v>0</v>
      </c>
      <c r="BP1080">
        <v>0</v>
      </c>
      <c r="BW1080" t="str">
        <f>"19:22:27.759"</f>
        <v>19:22:27.759</v>
      </c>
      <c r="BX1080" t="s">
        <v>119</v>
      </c>
      <c r="BY1080" t="s">
        <v>120</v>
      </c>
      <c r="CJ1080">
        <v>0</v>
      </c>
      <c r="CK1080">
        <v>0</v>
      </c>
      <c r="CL1080">
        <v>0</v>
      </c>
      <c r="CM1080">
        <v>2</v>
      </c>
      <c r="CN1080">
        <v>0</v>
      </c>
      <c r="CO1080">
        <v>7</v>
      </c>
      <c r="CP1080" t="s">
        <v>121</v>
      </c>
      <c r="CQ1080">
        <v>579</v>
      </c>
      <c r="CR1080">
        <v>0</v>
      </c>
      <c r="CW1080">
        <v>2536248</v>
      </c>
      <c r="CY1080">
        <v>0</v>
      </c>
      <c r="CZ1080">
        <v>0</v>
      </c>
      <c r="DA1080">
        <v>0</v>
      </c>
      <c r="DB1080">
        <v>1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</row>
    <row r="1081" spans="1:113" x14ac:dyDescent="0.3">
      <c r="A1081" t="str">
        <f>"06/16/2022 19:22:28.975"</f>
        <v>06/16/2022 19:22:28.975</v>
      </c>
      <c r="C1081" t="str">
        <f t="shared" si="51"/>
        <v>FFBF5BC0</v>
      </c>
      <c r="D1081" t="s">
        <v>113</v>
      </c>
      <c r="E1081">
        <v>8</v>
      </c>
      <c r="H1081">
        <v>206</v>
      </c>
      <c r="I1081" t="s">
        <v>114</v>
      </c>
      <c r="J1081" t="s">
        <v>115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>"19:22:28.703"</f>
        <v>19:22:28.703</v>
      </c>
      <c r="T1081" t="str">
        <f>"19:22:28.703"</f>
        <v>19:22:28.703</v>
      </c>
      <c r="U1081" t="str">
        <f t="shared" si="49"/>
        <v>AB63B2</v>
      </c>
      <c r="V1081">
        <v>0</v>
      </c>
      <c r="W1081">
        <v>0</v>
      </c>
      <c r="X1081">
        <v>6</v>
      </c>
      <c r="Z1081">
        <v>0</v>
      </c>
      <c r="AA1081">
        <v>9</v>
      </c>
      <c r="AB1081">
        <v>3</v>
      </c>
      <c r="AC1081">
        <v>0</v>
      </c>
      <c r="AD1081">
        <v>10</v>
      </c>
      <c r="AE1081">
        <v>0</v>
      </c>
      <c r="AF1081">
        <v>0</v>
      </c>
      <c r="AG1081">
        <v>2</v>
      </c>
      <c r="AH1081">
        <v>0</v>
      </c>
      <c r="AI1081" t="s">
        <v>168</v>
      </c>
      <c r="AJ1081">
        <v>41.989961000000001</v>
      </c>
      <c r="AK1081" t="s">
        <v>826</v>
      </c>
      <c r="AL1081">
        <v>-87.892599000000004</v>
      </c>
      <c r="AS1081">
        <v>1</v>
      </c>
      <c r="AT1081" t="s">
        <v>118</v>
      </c>
      <c r="AU1081" t="b">
        <v>1</v>
      </c>
      <c r="AV1081">
        <v>270</v>
      </c>
      <c r="AW1081">
        <v>15.125</v>
      </c>
      <c r="AX1081">
        <v>1</v>
      </c>
      <c r="AZ1081">
        <v>7205</v>
      </c>
      <c r="BA1081">
        <v>1</v>
      </c>
      <c r="BB1081" t="str">
        <f t="shared" si="50"/>
        <v xml:space="preserve">KAP400  </v>
      </c>
      <c r="BC1081">
        <v>1</v>
      </c>
      <c r="BE1081">
        <v>0</v>
      </c>
      <c r="BF1081">
        <v>0</v>
      </c>
      <c r="BG1081">
        <v>0</v>
      </c>
      <c r="BI1081">
        <v>1</v>
      </c>
      <c r="BJ1081">
        <v>1</v>
      </c>
      <c r="BK1081">
        <v>1</v>
      </c>
      <c r="BL1081">
        <v>0</v>
      </c>
      <c r="BO1081">
        <v>0</v>
      </c>
      <c r="BP1081">
        <v>0</v>
      </c>
      <c r="BW1081" t="str">
        <f>"19:22:28.711"</f>
        <v>19:22:28.711</v>
      </c>
      <c r="BX1081" t="s">
        <v>119</v>
      </c>
      <c r="BY1081" t="s">
        <v>120</v>
      </c>
      <c r="CJ1081">
        <v>0</v>
      </c>
      <c r="CK1081">
        <v>0</v>
      </c>
      <c r="CL1081">
        <v>0</v>
      </c>
      <c r="CM1081">
        <v>2</v>
      </c>
      <c r="CN1081">
        <v>0</v>
      </c>
      <c r="CO1081">
        <v>7</v>
      </c>
      <c r="CP1081" t="s">
        <v>121</v>
      </c>
      <c r="CQ1081">
        <v>581</v>
      </c>
      <c r="CR1081">
        <v>0</v>
      </c>
      <c r="CW1081">
        <v>16087929</v>
      </c>
      <c r="CY1081">
        <v>0</v>
      </c>
      <c r="CZ1081">
        <v>0</v>
      </c>
      <c r="DA1081">
        <v>0</v>
      </c>
      <c r="DB1081">
        <v>1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</row>
    <row r="1082" spans="1:113" x14ac:dyDescent="0.3">
      <c r="A1082" t="str">
        <f>"06/16/2022 19:22:30.054"</f>
        <v>06/16/2022 19:22:30.054</v>
      </c>
      <c r="C1082" t="str">
        <f t="shared" si="51"/>
        <v>FFBF5BC0</v>
      </c>
      <c r="D1082" t="s">
        <v>113</v>
      </c>
      <c r="E1082">
        <v>8</v>
      </c>
      <c r="H1082">
        <v>206</v>
      </c>
      <c r="I1082" t="s">
        <v>114</v>
      </c>
      <c r="J1082" t="s">
        <v>115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>"19:22:29.766"</f>
        <v>19:22:29.766</v>
      </c>
      <c r="T1082" t="str">
        <f>"19:22:29.766"</f>
        <v>19:22:29.766</v>
      </c>
      <c r="U1082" t="str">
        <f t="shared" si="49"/>
        <v>AB63B2</v>
      </c>
      <c r="V1082">
        <v>0</v>
      </c>
      <c r="W1082">
        <v>0</v>
      </c>
      <c r="X1082">
        <v>6</v>
      </c>
      <c r="Z1082">
        <v>0</v>
      </c>
      <c r="AA1082">
        <v>9</v>
      </c>
      <c r="AB1082">
        <v>3</v>
      </c>
      <c r="AC1082">
        <v>0</v>
      </c>
      <c r="AD1082">
        <v>10</v>
      </c>
      <c r="AE1082">
        <v>0</v>
      </c>
      <c r="AF1082">
        <v>0</v>
      </c>
      <c r="AG1082">
        <v>2</v>
      </c>
      <c r="AH1082">
        <v>0</v>
      </c>
      <c r="AI1082" t="s">
        <v>168</v>
      </c>
      <c r="AJ1082">
        <v>41.989961000000001</v>
      </c>
      <c r="AK1082" t="s">
        <v>1003</v>
      </c>
      <c r="AL1082">
        <v>-87.892685</v>
      </c>
      <c r="AS1082">
        <v>1</v>
      </c>
      <c r="AT1082" t="s">
        <v>118</v>
      </c>
      <c r="AU1082" t="b">
        <v>1</v>
      </c>
      <c r="AV1082">
        <v>270</v>
      </c>
      <c r="AW1082">
        <v>16.125</v>
      </c>
      <c r="AX1082">
        <v>1</v>
      </c>
      <c r="AZ1082">
        <v>7205</v>
      </c>
      <c r="BA1082">
        <v>1</v>
      </c>
      <c r="BB1082" t="str">
        <f t="shared" si="50"/>
        <v xml:space="preserve">KAP400  </v>
      </c>
      <c r="BC1082">
        <v>1</v>
      </c>
      <c r="BE1082">
        <v>0</v>
      </c>
      <c r="BF1082">
        <v>0</v>
      </c>
      <c r="BG1082">
        <v>0</v>
      </c>
      <c r="BI1082">
        <v>1</v>
      </c>
      <c r="BJ1082">
        <v>1</v>
      </c>
      <c r="BK1082">
        <v>1</v>
      </c>
      <c r="BL1082">
        <v>0</v>
      </c>
      <c r="BO1082">
        <v>0</v>
      </c>
      <c r="BP1082">
        <v>0</v>
      </c>
      <c r="BW1082" t="str">
        <f>"19:22:29.771"</f>
        <v>19:22:29.771</v>
      </c>
      <c r="BX1082" t="s">
        <v>119</v>
      </c>
      <c r="BY1082" t="s">
        <v>120</v>
      </c>
      <c r="CJ1082">
        <v>0</v>
      </c>
      <c r="CK1082">
        <v>0</v>
      </c>
      <c r="CL1082">
        <v>0</v>
      </c>
      <c r="CM1082">
        <v>2</v>
      </c>
      <c r="CN1082">
        <v>0</v>
      </c>
      <c r="CO1082">
        <v>7</v>
      </c>
      <c r="CP1082" t="s">
        <v>121</v>
      </c>
      <c r="CQ1082">
        <v>581</v>
      </c>
      <c r="CR1082">
        <v>0</v>
      </c>
      <c r="CW1082">
        <v>16089131</v>
      </c>
      <c r="CY1082">
        <v>0</v>
      </c>
      <c r="CZ1082">
        <v>0</v>
      </c>
      <c r="DA1082">
        <v>0</v>
      </c>
      <c r="DB1082">
        <v>1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</row>
    <row r="1083" spans="1:113" x14ac:dyDescent="0.3">
      <c r="A1083" t="str">
        <f>"06/16/2022 19:22:30.960"</f>
        <v>06/16/2022 19:22:30.960</v>
      </c>
      <c r="C1083" t="str">
        <f t="shared" si="51"/>
        <v>FFBF5BC0</v>
      </c>
      <c r="D1083" t="s">
        <v>113</v>
      </c>
      <c r="E1083">
        <v>8</v>
      </c>
      <c r="H1083">
        <v>206</v>
      </c>
      <c r="I1083" t="s">
        <v>114</v>
      </c>
      <c r="J1083" t="s">
        <v>115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>"19:22:30.711"</f>
        <v>19:22:30.711</v>
      </c>
      <c r="T1083" t="str">
        <f>"19:22:30.711"</f>
        <v>19:22:30.711</v>
      </c>
      <c r="U1083" t="str">
        <f t="shared" si="49"/>
        <v>AB63B2</v>
      </c>
      <c r="V1083">
        <v>0</v>
      </c>
      <c r="W1083">
        <v>0</v>
      </c>
      <c r="X1083">
        <v>6</v>
      </c>
      <c r="Z1083">
        <v>0</v>
      </c>
      <c r="AA1083">
        <v>9</v>
      </c>
      <c r="AB1083">
        <v>3</v>
      </c>
      <c r="AC1083">
        <v>0</v>
      </c>
      <c r="AD1083">
        <v>10</v>
      </c>
      <c r="AE1083">
        <v>0</v>
      </c>
      <c r="AF1083">
        <v>0</v>
      </c>
      <c r="AG1083">
        <v>2</v>
      </c>
      <c r="AH1083">
        <v>0</v>
      </c>
      <c r="AI1083" t="s">
        <v>167</v>
      </c>
      <c r="AJ1083">
        <v>41.989981999999998</v>
      </c>
      <c r="AK1083" t="s">
        <v>821</v>
      </c>
      <c r="AL1083">
        <v>-87.892770999999996</v>
      </c>
      <c r="AS1083">
        <v>1</v>
      </c>
      <c r="AT1083" t="s">
        <v>118</v>
      </c>
      <c r="AU1083" t="b">
        <v>1</v>
      </c>
      <c r="AV1083">
        <v>270</v>
      </c>
      <c r="AW1083">
        <v>16.125</v>
      </c>
      <c r="AX1083">
        <v>1</v>
      </c>
      <c r="AZ1083">
        <v>7205</v>
      </c>
      <c r="BA1083">
        <v>1</v>
      </c>
      <c r="BB1083" t="str">
        <f t="shared" si="50"/>
        <v xml:space="preserve">KAP400  </v>
      </c>
      <c r="BC1083">
        <v>1</v>
      </c>
      <c r="BE1083">
        <v>0</v>
      </c>
      <c r="BF1083">
        <v>0</v>
      </c>
      <c r="BG1083">
        <v>0</v>
      </c>
      <c r="BI1083">
        <v>1</v>
      </c>
      <c r="BJ1083">
        <v>1</v>
      </c>
      <c r="BK1083">
        <v>1</v>
      </c>
      <c r="BL1083">
        <v>0</v>
      </c>
      <c r="BO1083">
        <v>0</v>
      </c>
      <c r="BP1083">
        <v>0</v>
      </c>
      <c r="BW1083" t="str">
        <f>"19:22:30.715"</f>
        <v>19:22:30.715</v>
      </c>
      <c r="BX1083" t="s">
        <v>119</v>
      </c>
      <c r="BY1083" t="s">
        <v>120</v>
      </c>
      <c r="CJ1083">
        <v>0</v>
      </c>
      <c r="CK1083">
        <v>0</v>
      </c>
      <c r="CL1083">
        <v>0</v>
      </c>
      <c r="CM1083">
        <v>2</v>
      </c>
      <c r="CN1083">
        <v>0</v>
      </c>
      <c r="CO1083">
        <v>7</v>
      </c>
      <c r="CP1083" t="s">
        <v>121</v>
      </c>
      <c r="CQ1083">
        <v>579</v>
      </c>
      <c r="CR1083">
        <v>0</v>
      </c>
      <c r="CW1083">
        <v>2541442</v>
      </c>
      <c r="CY1083">
        <v>0</v>
      </c>
      <c r="CZ1083">
        <v>0</v>
      </c>
      <c r="DA1083">
        <v>0</v>
      </c>
      <c r="DB1083">
        <v>1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</row>
    <row r="1084" spans="1:113" x14ac:dyDescent="0.3">
      <c r="A1084" t="str">
        <f>"06/16/2022 19:22:31.839"</f>
        <v>06/16/2022 19:22:31.839</v>
      </c>
      <c r="C1084" t="str">
        <f t="shared" si="51"/>
        <v>FFBF5BC0</v>
      </c>
      <c r="D1084" t="s">
        <v>113</v>
      </c>
      <c r="E1084">
        <v>8</v>
      </c>
      <c r="H1084">
        <v>206</v>
      </c>
      <c r="I1084" t="s">
        <v>114</v>
      </c>
      <c r="J1084" t="s">
        <v>115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>"19:22:31.648"</f>
        <v>19:22:31.648</v>
      </c>
      <c r="T1084" t="str">
        <f>"19:22:31.648"</f>
        <v>19:22:31.648</v>
      </c>
      <c r="U1084" t="str">
        <f t="shared" si="49"/>
        <v>AB63B2</v>
      </c>
      <c r="V1084">
        <v>0</v>
      </c>
      <c r="W1084">
        <v>0</v>
      </c>
      <c r="X1084">
        <v>6</v>
      </c>
      <c r="Z1084">
        <v>0</v>
      </c>
      <c r="AA1084">
        <v>9</v>
      </c>
      <c r="AB1084">
        <v>3</v>
      </c>
      <c r="AC1084">
        <v>0</v>
      </c>
      <c r="AD1084">
        <v>10</v>
      </c>
      <c r="AE1084">
        <v>0</v>
      </c>
      <c r="AF1084">
        <v>0</v>
      </c>
      <c r="AG1084">
        <v>2</v>
      </c>
      <c r="AH1084">
        <v>0</v>
      </c>
      <c r="AI1084" t="s">
        <v>168</v>
      </c>
      <c r="AJ1084">
        <v>41.989961000000001</v>
      </c>
      <c r="AK1084" t="s">
        <v>1004</v>
      </c>
      <c r="AL1084">
        <v>-87.892857000000006</v>
      </c>
      <c r="AS1084">
        <v>1</v>
      </c>
      <c r="AT1084" t="s">
        <v>118</v>
      </c>
      <c r="AU1084" t="b">
        <v>1</v>
      </c>
      <c r="AV1084">
        <v>270</v>
      </c>
      <c r="AW1084">
        <v>16.125</v>
      </c>
      <c r="AX1084">
        <v>1</v>
      </c>
      <c r="AZ1084">
        <v>7205</v>
      </c>
      <c r="BA1084">
        <v>1</v>
      </c>
      <c r="BB1084" t="str">
        <f t="shared" si="50"/>
        <v xml:space="preserve">KAP400  </v>
      </c>
      <c r="BC1084">
        <v>1</v>
      </c>
      <c r="BE1084">
        <v>0</v>
      </c>
      <c r="BF1084">
        <v>0</v>
      </c>
      <c r="BG1084">
        <v>0</v>
      </c>
      <c r="BI1084">
        <v>1</v>
      </c>
      <c r="BJ1084">
        <v>1</v>
      </c>
      <c r="BK1084">
        <v>1</v>
      </c>
      <c r="BL1084">
        <v>0</v>
      </c>
      <c r="BO1084">
        <v>0</v>
      </c>
      <c r="BP1084">
        <v>0</v>
      </c>
      <c r="BW1084" t="str">
        <f>"19:22:31.652"</f>
        <v>19:22:31.652</v>
      </c>
      <c r="BX1084" t="s">
        <v>119</v>
      </c>
      <c r="BY1084" t="s">
        <v>120</v>
      </c>
      <c r="CJ1084">
        <v>0</v>
      </c>
      <c r="CK1084">
        <v>0</v>
      </c>
      <c r="CL1084">
        <v>0</v>
      </c>
      <c r="CM1084">
        <v>2</v>
      </c>
      <c r="CN1084">
        <v>0</v>
      </c>
      <c r="CO1084">
        <v>7</v>
      </c>
      <c r="CP1084" t="s">
        <v>121</v>
      </c>
      <c r="CQ1084">
        <v>581</v>
      </c>
      <c r="CR1084">
        <v>0</v>
      </c>
      <c r="CW1084">
        <v>16091363</v>
      </c>
      <c r="CY1084">
        <v>0</v>
      </c>
      <c r="CZ1084">
        <v>0</v>
      </c>
      <c r="DA1084">
        <v>0</v>
      </c>
      <c r="DB1084">
        <v>1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</row>
    <row r="1085" spans="1:113" x14ac:dyDescent="0.3">
      <c r="A1085" t="str">
        <f>"06/16/2022 19:22:33.382"</f>
        <v>06/16/2022 19:22:33.382</v>
      </c>
      <c r="C1085" t="str">
        <f t="shared" si="51"/>
        <v>FFBF5BC0</v>
      </c>
      <c r="D1085" t="s">
        <v>113</v>
      </c>
      <c r="E1085">
        <v>8</v>
      </c>
      <c r="H1085">
        <v>206</v>
      </c>
      <c r="I1085" t="s">
        <v>114</v>
      </c>
      <c r="J1085" t="s">
        <v>115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>"19:22:33.180"</f>
        <v>19:22:33.180</v>
      </c>
      <c r="T1085" t="str">
        <f>"19:22:33.180"</f>
        <v>19:22:33.180</v>
      </c>
      <c r="U1085" t="str">
        <f t="shared" si="49"/>
        <v>AB63B2</v>
      </c>
      <c r="V1085">
        <v>0</v>
      </c>
      <c r="W1085">
        <v>0</v>
      </c>
      <c r="X1085">
        <v>6</v>
      </c>
      <c r="Z1085">
        <v>0</v>
      </c>
      <c r="AA1085">
        <v>9</v>
      </c>
      <c r="AB1085">
        <v>3</v>
      </c>
      <c r="AC1085">
        <v>0</v>
      </c>
      <c r="AD1085">
        <v>10</v>
      </c>
      <c r="AE1085">
        <v>0</v>
      </c>
      <c r="AF1085">
        <v>0</v>
      </c>
      <c r="AG1085">
        <v>2</v>
      </c>
      <c r="AH1085">
        <v>0</v>
      </c>
      <c r="AI1085" t="s">
        <v>168</v>
      </c>
      <c r="AJ1085">
        <v>41.989961000000001</v>
      </c>
      <c r="AK1085" t="s">
        <v>1005</v>
      </c>
      <c r="AL1085">
        <v>-87.893028000000001</v>
      </c>
      <c r="AS1085">
        <v>1</v>
      </c>
      <c r="AT1085" t="s">
        <v>118</v>
      </c>
      <c r="AU1085" t="b">
        <v>1</v>
      </c>
      <c r="AV1085">
        <v>270</v>
      </c>
      <c r="AW1085">
        <v>16.125</v>
      </c>
      <c r="AX1085">
        <v>1</v>
      </c>
      <c r="AZ1085">
        <v>7205</v>
      </c>
      <c r="BA1085">
        <v>1</v>
      </c>
      <c r="BB1085" t="str">
        <f t="shared" si="50"/>
        <v xml:space="preserve">KAP400  </v>
      </c>
      <c r="BC1085">
        <v>1</v>
      </c>
      <c r="BE1085">
        <v>0</v>
      </c>
      <c r="BF1085">
        <v>0</v>
      </c>
      <c r="BG1085">
        <v>0</v>
      </c>
      <c r="BI1085">
        <v>1</v>
      </c>
      <c r="BJ1085">
        <v>1</v>
      </c>
      <c r="BK1085">
        <v>1</v>
      </c>
      <c r="BL1085">
        <v>0</v>
      </c>
      <c r="BO1085">
        <v>0</v>
      </c>
      <c r="BP1085">
        <v>0</v>
      </c>
      <c r="BW1085" t="str">
        <f>"19:22:33.184"</f>
        <v>19:22:33.184</v>
      </c>
      <c r="BX1085" t="s">
        <v>119</v>
      </c>
      <c r="BY1085" t="s">
        <v>120</v>
      </c>
      <c r="CJ1085">
        <v>0</v>
      </c>
      <c r="CK1085">
        <v>0</v>
      </c>
      <c r="CL1085">
        <v>0</v>
      </c>
      <c r="CM1085">
        <v>2</v>
      </c>
      <c r="CN1085">
        <v>0</v>
      </c>
      <c r="CO1085">
        <v>7</v>
      </c>
      <c r="CP1085" t="s">
        <v>121</v>
      </c>
      <c r="CQ1085">
        <v>581</v>
      </c>
      <c r="CR1085">
        <v>0</v>
      </c>
      <c r="CW1085">
        <v>16093295</v>
      </c>
      <c r="CY1085">
        <v>0</v>
      </c>
      <c r="CZ1085">
        <v>0</v>
      </c>
      <c r="DA1085">
        <v>0</v>
      </c>
      <c r="DB1085">
        <v>1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</row>
    <row r="1086" spans="1:113" x14ac:dyDescent="0.3">
      <c r="A1086" t="str">
        <f>"06/16/2022 19:22:34.476"</f>
        <v>06/16/2022 19:22:34.476</v>
      </c>
      <c r="C1086" t="str">
        <f t="shared" si="51"/>
        <v>FFBF5BC0</v>
      </c>
      <c r="D1086" t="s">
        <v>113</v>
      </c>
      <c r="E1086">
        <v>8</v>
      </c>
      <c r="H1086">
        <v>206</v>
      </c>
      <c r="I1086" t="s">
        <v>114</v>
      </c>
      <c r="J1086" t="s">
        <v>115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>"19:22:34.258"</f>
        <v>19:22:34.258</v>
      </c>
      <c r="T1086" t="str">
        <f>"19:22:34.258"</f>
        <v>19:22:34.258</v>
      </c>
      <c r="U1086" t="str">
        <f t="shared" si="49"/>
        <v>AB63B2</v>
      </c>
      <c r="V1086">
        <v>0</v>
      </c>
      <c r="W1086">
        <v>0</v>
      </c>
      <c r="X1086">
        <v>6</v>
      </c>
      <c r="Z1086">
        <v>0</v>
      </c>
      <c r="AA1086">
        <v>9</v>
      </c>
      <c r="AB1086">
        <v>3</v>
      </c>
      <c r="AC1086">
        <v>0</v>
      </c>
      <c r="AD1086">
        <v>10</v>
      </c>
      <c r="AE1086">
        <v>0</v>
      </c>
      <c r="AF1086">
        <v>0</v>
      </c>
      <c r="AG1086">
        <v>2</v>
      </c>
      <c r="AH1086">
        <v>0</v>
      </c>
      <c r="AI1086" t="s">
        <v>168</v>
      </c>
      <c r="AJ1086">
        <v>41.989961000000001</v>
      </c>
      <c r="AK1086" t="s">
        <v>816</v>
      </c>
      <c r="AL1086">
        <v>-87.893113999999997</v>
      </c>
      <c r="AS1086">
        <v>1</v>
      </c>
      <c r="AT1086" t="s">
        <v>118</v>
      </c>
      <c r="AU1086" t="b">
        <v>1</v>
      </c>
      <c r="AV1086">
        <v>270</v>
      </c>
      <c r="AW1086">
        <v>16.125</v>
      </c>
      <c r="AX1086">
        <v>1</v>
      </c>
      <c r="AZ1086">
        <v>7205</v>
      </c>
      <c r="BA1086">
        <v>1</v>
      </c>
      <c r="BB1086" t="str">
        <f t="shared" si="50"/>
        <v xml:space="preserve">KAP400  </v>
      </c>
      <c r="BC1086">
        <v>1</v>
      </c>
      <c r="BE1086">
        <v>0</v>
      </c>
      <c r="BF1086">
        <v>0</v>
      </c>
      <c r="BG1086">
        <v>0</v>
      </c>
      <c r="BI1086">
        <v>1</v>
      </c>
      <c r="BJ1086">
        <v>1</v>
      </c>
      <c r="BK1086">
        <v>1</v>
      </c>
      <c r="BL1086">
        <v>0</v>
      </c>
      <c r="BO1086">
        <v>0</v>
      </c>
      <c r="BP1086">
        <v>0</v>
      </c>
      <c r="BW1086" t="str">
        <f>"19:22:34.263"</f>
        <v>19:22:34.263</v>
      </c>
      <c r="BX1086" t="s">
        <v>119</v>
      </c>
      <c r="BY1086" t="s">
        <v>120</v>
      </c>
      <c r="CJ1086">
        <v>0</v>
      </c>
      <c r="CK1086">
        <v>0</v>
      </c>
      <c r="CL1086">
        <v>0</v>
      </c>
      <c r="CM1086">
        <v>2</v>
      </c>
      <c r="CN1086">
        <v>0</v>
      </c>
      <c r="CO1086">
        <v>7</v>
      </c>
      <c r="CP1086" t="s">
        <v>121</v>
      </c>
      <c r="CQ1086">
        <v>579</v>
      </c>
      <c r="CR1086">
        <v>0</v>
      </c>
      <c r="CW1086">
        <v>2547988</v>
      </c>
      <c r="CY1086">
        <v>0</v>
      </c>
      <c r="CZ1086">
        <v>0</v>
      </c>
      <c r="DA1086">
        <v>0</v>
      </c>
      <c r="DB1086">
        <v>1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</row>
    <row r="1087" spans="1:113" x14ac:dyDescent="0.3">
      <c r="A1087" t="str">
        <f>"06/16/2022 19:22:35.538"</f>
        <v>06/16/2022 19:22:35.538</v>
      </c>
      <c r="C1087" t="str">
        <f t="shared" si="51"/>
        <v>FFBF5BC0</v>
      </c>
      <c r="D1087" t="s">
        <v>113</v>
      </c>
      <c r="E1087">
        <v>8</v>
      </c>
      <c r="H1087">
        <v>206</v>
      </c>
      <c r="I1087" t="s">
        <v>114</v>
      </c>
      <c r="J1087" t="s">
        <v>115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>"19:22:35.266"</f>
        <v>19:22:35.266</v>
      </c>
      <c r="T1087" t="str">
        <f>"19:22:35.266"</f>
        <v>19:22:35.266</v>
      </c>
      <c r="U1087" t="str">
        <f t="shared" si="49"/>
        <v>AB63B2</v>
      </c>
      <c r="V1087">
        <v>0</v>
      </c>
      <c r="W1087">
        <v>0</v>
      </c>
      <c r="X1087">
        <v>6</v>
      </c>
      <c r="Z1087">
        <v>0</v>
      </c>
      <c r="AA1087">
        <v>9</v>
      </c>
      <c r="AB1087">
        <v>3</v>
      </c>
      <c r="AC1087">
        <v>0</v>
      </c>
      <c r="AD1087">
        <v>10</v>
      </c>
      <c r="AE1087">
        <v>0</v>
      </c>
      <c r="AF1087">
        <v>0</v>
      </c>
      <c r="AG1087">
        <v>2</v>
      </c>
      <c r="AH1087">
        <v>0</v>
      </c>
      <c r="AI1087" t="s">
        <v>168</v>
      </c>
      <c r="AJ1087">
        <v>41.989961000000001</v>
      </c>
      <c r="AK1087" t="s">
        <v>1006</v>
      </c>
      <c r="AL1087">
        <v>-87.893220999999997</v>
      </c>
      <c r="AS1087">
        <v>1</v>
      </c>
      <c r="AT1087" t="s">
        <v>118</v>
      </c>
      <c r="AU1087" t="b">
        <v>1</v>
      </c>
      <c r="AV1087">
        <v>270</v>
      </c>
      <c r="AW1087">
        <v>16.125</v>
      </c>
      <c r="AX1087">
        <v>1</v>
      </c>
      <c r="AZ1087">
        <v>7205</v>
      </c>
      <c r="BA1087">
        <v>1</v>
      </c>
      <c r="BB1087" t="str">
        <f t="shared" si="50"/>
        <v xml:space="preserve">KAP400  </v>
      </c>
      <c r="BC1087">
        <v>1</v>
      </c>
      <c r="BE1087">
        <v>0</v>
      </c>
      <c r="BF1087">
        <v>0</v>
      </c>
      <c r="BG1087">
        <v>0</v>
      </c>
      <c r="BI1087">
        <v>1</v>
      </c>
      <c r="BJ1087">
        <v>1</v>
      </c>
      <c r="BK1087">
        <v>1</v>
      </c>
      <c r="BL1087">
        <v>0</v>
      </c>
      <c r="BO1087">
        <v>0</v>
      </c>
      <c r="BP1087">
        <v>0</v>
      </c>
      <c r="BW1087" t="str">
        <f>"19:22:35.271"</f>
        <v>19:22:35.271</v>
      </c>
      <c r="BX1087" t="s">
        <v>119</v>
      </c>
      <c r="BY1087" t="s">
        <v>120</v>
      </c>
      <c r="CJ1087">
        <v>0</v>
      </c>
      <c r="CK1087">
        <v>0</v>
      </c>
      <c r="CL1087">
        <v>0</v>
      </c>
      <c r="CM1087">
        <v>2</v>
      </c>
      <c r="CN1087">
        <v>0</v>
      </c>
      <c r="CO1087">
        <v>7</v>
      </c>
      <c r="CP1087" t="s">
        <v>121</v>
      </c>
      <c r="CQ1087">
        <v>581</v>
      </c>
      <c r="CR1087">
        <v>0</v>
      </c>
      <c r="CW1087">
        <v>16095865</v>
      </c>
      <c r="CY1087">
        <v>0</v>
      </c>
      <c r="CZ1087">
        <v>0</v>
      </c>
      <c r="DA1087">
        <v>0</v>
      </c>
      <c r="DB1087">
        <v>1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0</v>
      </c>
    </row>
    <row r="1088" spans="1:113" x14ac:dyDescent="0.3">
      <c r="A1088" t="str">
        <f>"06/16/2022 19:22:36.570"</f>
        <v>06/16/2022 19:22:36.570</v>
      </c>
      <c r="C1088" t="str">
        <f t="shared" si="51"/>
        <v>FFBF5BC0</v>
      </c>
      <c r="D1088" t="s">
        <v>113</v>
      </c>
      <c r="E1088">
        <v>8</v>
      </c>
      <c r="H1088">
        <v>206</v>
      </c>
      <c r="I1088" t="s">
        <v>114</v>
      </c>
      <c r="J1088" t="s">
        <v>115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>"19:22:36.375"</f>
        <v>19:22:36.375</v>
      </c>
      <c r="T1088" t="str">
        <f>"19:22:36.375"</f>
        <v>19:22:36.375</v>
      </c>
      <c r="U1088" t="str">
        <f t="shared" si="49"/>
        <v>AB63B2</v>
      </c>
      <c r="V1088">
        <v>0</v>
      </c>
      <c r="W1088">
        <v>0</v>
      </c>
      <c r="X1088">
        <v>6</v>
      </c>
      <c r="Z1088">
        <v>0</v>
      </c>
      <c r="AA1088">
        <v>9</v>
      </c>
      <c r="AB1088">
        <v>3</v>
      </c>
      <c r="AC1088">
        <v>0</v>
      </c>
      <c r="AD1088">
        <v>10</v>
      </c>
      <c r="AE1088">
        <v>0</v>
      </c>
      <c r="AF1088">
        <v>0</v>
      </c>
      <c r="AG1088">
        <v>2</v>
      </c>
      <c r="AH1088">
        <v>0</v>
      </c>
      <c r="AI1088" t="s">
        <v>168</v>
      </c>
      <c r="AJ1088">
        <v>41.989961000000001</v>
      </c>
      <c r="AK1088" t="s">
        <v>1007</v>
      </c>
      <c r="AL1088">
        <v>-87.893328999999994</v>
      </c>
      <c r="AS1088">
        <v>1</v>
      </c>
      <c r="AT1088" t="s">
        <v>118</v>
      </c>
      <c r="AU1088" t="b">
        <v>1</v>
      </c>
      <c r="AV1088">
        <v>270</v>
      </c>
      <c r="AW1088">
        <v>16.125</v>
      </c>
      <c r="AX1088">
        <v>1</v>
      </c>
      <c r="AZ1088">
        <v>7205</v>
      </c>
      <c r="BA1088">
        <v>1</v>
      </c>
      <c r="BB1088" t="str">
        <f t="shared" si="50"/>
        <v xml:space="preserve">KAP400  </v>
      </c>
      <c r="BC1088">
        <v>1</v>
      </c>
      <c r="BE1088">
        <v>0</v>
      </c>
      <c r="BF1088">
        <v>0</v>
      </c>
      <c r="BG1088">
        <v>0</v>
      </c>
      <c r="BI1088">
        <v>1</v>
      </c>
      <c r="BJ1088">
        <v>1</v>
      </c>
      <c r="BK1088">
        <v>1</v>
      </c>
      <c r="BL1088">
        <v>0</v>
      </c>
      <c r="BO1088">
        <v>0</v>
      </c>
      <c r="BP1088">
        <v>0</v>
      </c>
      <c r="BW1088" t="str">
        <f>"19:22:36.382"</f>
        <v>19:22:36.382</v>
      </c>
      <c r="BX1088" t="s">
        <v>119</v>
      </c>
      <c r="BY1088" t="s">
        <v>120</v>
      </c>
      <c r="CJ1088">
        <v>0</v>
      </c>
      <c r="CK1088">
        <v>0</v>
      </c>
      <c r="CL1088">
        <v>0</v>
      </c>
      <c r="CM1088">
        <v>2</v>
      </c>
      <c r="CN1088">
        <v>0</v>
      </c>
      <c r="CO1088">
        <v>7</v>
      </c>
      <c r="CP1088" t="s">
        <v>121</v>
      </c>
      <c r="CQ1088">
        <v>582</v>
      </c>
      <c r="CR1088">
        <v>0</v>
      </c>
      <c r="CW1088">
        <v>6969110</v>
      </c>
      <c r="CY1088">
        <v>0</v>
      </c>
      <c r="CZ1088">
        <v>0</v>
      </c>
      <c r="DA1088">
        <v>0</v>
      </c>
      <c r="DB1088">
        <v>1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</row>
    <row r="1089" spans="1:113" x14ac:dyDescent="0.3">
      <c r="A1089" t="str">
        <f>"06/16/2022 19:22:37.648"</f>
        <v>06/16/2022 19:22:37.648</v>
      </c>
      <c r="C1089" t="str">
        <f t="shared" si="51"/>
        <v>FFBF5BC0</v>
      </c>
      <c r="D1089" t="s">
        <v>113</v>
      </c>
      <c r="E1089">
        <v>8</v>
      </c>
      <c r="H1089">
        <v>206</v>
      </c>
      <c r="I1089" t="s">
        <v>114</v>
      </c>
      <c r="J1089" t="s">
        <v>115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>"19:22:37.336"</f>
        <v>19:22:37.336</v>
      </c>
      <c r="T1089" t="str">
        <f>"19:22:37.336"</f>
        <v>19:22:37.336</v>
      </c>
      <c r="U1089" t="str">
        <f t="shared" si="49"/>
        <v>AB63B2</v>
      </c>
      <c r="V1089">
        <v>0</v>
      </c>
      <c r="W1089">
        <v>0</v>
      </c>
      <c r="X1089">
        <v>6</v>
      </c>
      <c r="Z1089">
        <v>0</v>
      </c>
      <c r="AA1089">
        <v>9</v>
      </c>
      <c r="AB1089">
        <v>3</v>
      </c>
      <c r="AC1089">
        <v>0</v>
      </c>
      <c r="AD1089">
        <v>10</v>
      </c>
      <c r="AE1089">
        <v>0</v>
      </c>
      <c r="AF1089">
        <v>0</v>
      </c>
      <c r="AG1089">
        <v>2</v>
      </c>
      <c r="AH1089">
        <v>0</v>
      </c>
      <c r="AI1089" t="s">
        <v>168</v>
      </c>
      <c r="AJ1089">
        <v>41.989961000000001</v>
      </c>
      <c r="AK1089" t="s">
        <v>303</v>
      </c>
      <c r="AL1089">
        <v>-87.893414000000007</v>
      </c>
      <c r="AS1089">
        <v>1</v>
      </c>
      <c r="AT1089" t="s">
        <v>118</v>
      </c>
      <c r="AU1089" t="b">
        <v>1</v>
      </c>
      <c r="AV1089">
        <v>270</v>
      </c>
      <c r="AW1089">
        <v>16.125</v>
      </c>
      <c r="AX1089">
        <v>1</v>
      </c>
      <c r="AZ1089">
        <v>7205</v>
      </c>
      <c r="BA1089">
        <v>1</v>
      </c>
      <c r="BB1089" t="str">
        <f t="shared" si="50"/>
        <v xml:space="preserve">KAP400  </v>
      </c>
      <c r="BC1089">
        <v>1</v>
      </c>
      <c r="BE1089">
        <v>0</v>
      </c>
      <c r="BF1089">
        <v>0</v>
      </c>
      <c r="BG1089">
        <v>0</v>
      </c>
      <c r="BI1089">
        <v>1</v>
      </c>
      <c r="BJ1089">
        <v>1</v>
      </c>
      <c r="BK1089">
        <v>1</v>
      </c>
      <c r="BL1089">
        <v>0</v>
      </c>
      <c r="BO1089">
        <v>0</v>
      </c>
      <c r="BP1089">
        <v>0</v>
      </c>
      <c r="BW1089" t="str">
        <f>"19:22:37.340"</f>
        <v>19:22:37.340</v>
      </c>
      <c r="BX1089" t="s">
        <v>119</v>
      </c>
      <c r="BY1089" t="s">
        <v>120</v>
      </c>
      <c r="CJ1089">
        <v>0</v>
      </c>
      <c r="CK1089">
        <v>0</v>
      </c>
      <c r="CL1089">
        <v>0</v>
      </c>
      <c r="CM1089">
        <v>2</v>
      </c>
      <c r="CN1089">
        <v>0</v>
      </c>
      <c r="CO1089">
        <v>7</v>
      </c>
      <c r="CP1089" t="s">
        <v>121</v>
      </c>
      <c r="CQ1089">
        <v>581</v>
      </c>
      <c r="CR1089">
        <v>0</v>
      </c>
      <c r="CW1089">
        <v>16098496</v>
      </c>
      <c r="CY1089">
        <v>0</v>
      </c>
      <c r="CZ1089">
        <v>0</v>
      </c>
      <c r="DA1089">
        <v>0</v>
      </c>
      <c r="DB1089">
        <v>1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</row>
    <row r="1090" spans="1:113" x14ac:dyDescent="0.3">
      <c r="A1090" t="str">
        <f>"06/16/2022 19:22:38.648"</f>
        <v>06/16/2022 19:22:38.648</v>
      </c>
      <c r="C1090" t="str">
        <f t="shared" si="51"/>
        <v>FFBF5BC0</v>
      </c>
      <c r="D1090" t="s">
        <v>113</v>
      </c>
      <c r="E1090">
        <v>8</v>
      </c>
      <c r="H1090">
        <v>206</v>
      </c>
      <c r="I1090" t="s">
        <v>114</v>
      </c>
      <c r="J1090" t="s">
        <v>115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>"19:22:38.336"</f>
        <v>19:22:38.336</v>
      </c>
      <c r="T1090" t="str">
        <f>"19:22:38.336"</f>
        <v>19:22:38.336</v>
      </c>
      <c r="U1090" t="str">
        <f t="shared" ref="U1090:U1153" si="52">"AB63B2"</f>
        <v>AB63B2</v>
      </c>
      <c r="V1090">
        <v>0</v>
      </c>
      <c r="W1090">
        <v>0</v>
      </c>
      <c r="X1090">
        <v>6</v>
      </c>
      <c r="Z1090">
        <v>0</v>
      </c>
      <c r="AA1090">
        <v>9</v>
      </c>
      <c r="AB1090">
        <v>3</v>
      </c>
      <c r="AC1090">
        <v>0</v>
      </c>
      <c r="AD1090">
        <v>10</v>
      </c>
      <c r="AE1090">
        <v>0</v>
      </c>
      <c r="AF1090">
        <v>0</v>
      </c>
      <c r="AG1090">
        <v>2</v>
      </c>
      <c r="AH1090">
        <v>0</v>
      </c>
      <c r="AI1090" t="s">
        <v>168</v>
      </c>
      <c r="AJ1090">
        <v>41.989961000000001</v>
      </c>
      <c r="AK1090" t="s">
        <v>299</v>
      </c>
      <c r="AL1090">
        <v>-87.893522000000004</v>
      </c>
      <c r="AS1090">
        <v>1</v>
      </c>
      <c r="AT1090" t="s">
        <v>118</v>
      </c>
      <c r="AU1090" t="b">
        <v>1</v>
      </c>
      <c r="AV1090">
        <v>270</v>
      </c>
      <c r="AW1090">
        <v>15.125</v>
      </c>
      <c r="AX1090">
        <v>1</v>
      </c>
      <c r="AZ1090">
        <v>7205</v>
      </c>
      <c r="BA1090">
        <v>1</v>
      </c>
      <c r="BB1090" t="str">
        <f t="shared" ref="BB1090:BB1153" si="53">"KAP400  "</f>
        <v xml:space="preserve">KAP400  </v>
      </c>
      <c r="BC1090">
        <v>1</v>
      </c>
      <c r="BE1090">
        <v>0</v>
      </c>
      <c r="BF1090">
        <v>0</v>
      </c>
      <c r="BG1090">
        <v>0</v>
      </c>
      <c r="BI1090">
        <v>1</v>
      </c>
      <c r="BJ1090">
        <v>1</v>
      </c>
      <c r="BK1090">
        <v>1</v>
      </c>
      <c r="BL1090">
        <v>0</v>
      </c>
      <c r="BO1090">
        <v>0</v>
      </c>
      <c r="BP1090">
        <v>0</v>
      </c>
      <c r="BW1090" t="str">
        <f>"19:22:38.343"</f>
        <v>19:22:38.343</v>
      </c>
      <c r="BX1090" t="s">
        <v>119</v>
      </c>
      <c r="BY1090" t="s">
        <v>120</v>
      </c>
      <c r="CJ1090">
        <v>0</v>
      </c>
      <c r="CK1090">
        <v>0</v>
      </c>
      <c r="CL1090">
        <v>0</v>
      </c>
      <c r="CM1090">
        <v>2</v>
      </c>
      <c r="CN1090">
        <v>0</v>
      </c>
      <c r="CO1090">
        <v>7</v>
      </c>
      <c r="CP1090" t="s">
        <v>121</v>
      </c>
      <c r="CQ1090">
        <v>581</v>
      </c>
      <c r="CR1090">
        <v>0</v>
      </c>
      <c r="CW1090">
        <v>16099679</v>
      </c>
      <c r="CY1090">
        <v>0</v>
      </c>
      <c r="CZ1090">
        <v>0</v>
      </c>
      <c r="DA1090">
        <v>0</v>
      </c>
      <c r="DB1090">
        <v>1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0</v>
      </c>
    </row>
    <row r="1091" spans="1:113" x14ac:dyDescent="0.3">
      <c r="A1091" t="str">
        <f>"06/16/2022 19:22:39.554"</f>
        <v>06/16/2022 19:22:39.554</v>
      </c>
      <c r="C1091" t="str">
        <f t="shared" si="51"/>
        <v>FFBF5BC0</v>
      </c>
      <c r="D1091" t="s">
        <v>113</v>
      </c>
      <c r="E1091">
        <v>8</v>
      </c>
      <c r="H1091">
        <v>206</v>
      </c>
      <c r="I1091" t="s">
        <v>114</v>
      </c>
      <c r="J1091" t="s">
        <v>115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>"19:22:39.305"</f>
        <v>19:22:39.305</v>
      </c>
      <c r="T1091" t="str">
        <f>"19:22:39.305"</f>
        <v>19:22:39.305</v>
      </c>
      <c r="U1091" t="str">
        <f t="shared" si="52"/>
        <v>AB63B2</v>
      </c>
      <c r="V1091">
        <v>0</v>
      </c>
      <c r="W1091">
        <v>0</v>
      </c>
      <c r="X1091">
        <v>6</v>
      </c>
      <c r="Z1091">
        <v>0</v>
      </c>
      <c r="AA1091">
        <v>9</v>
      </c>
      <c r="AB1091">
        <v>3</v>
      </c>
      <c r="AC1091">
        <v>0</v>
      </c>
      <c r="AD1091">
        <v>10</v>
      </c>
      <c r="AE1091">
        <v>0</v>
      </c>
      <c r="AF1091">
        <v>0</v>
      </c>
      <c r="AG1091">
        <v>2</v>
      </c>
      <c r="AH1091">
        <v>0</v>
      </c>
      <c r="AI1091" t="s">
        <v>168</v>
      </c>
      <c r="AJ1091">
        <v>41.989961000000001</v>
      </c>
      <c r="AK1091" t="s">
        <v>297</v>
      </c>
      <c r="AL1091">
        <v>-87.893608</v>
      </c>
      <c r="AS1091">
        <v>1</v>
      </c>
      <c r="AT1091" t="s">
        <v>118</v>
      </c>
      <c r="AU1091" t="b">
        <v>1</v>
      </c>
      <c r="AV1091">
        <v>270</v>
      </c>
      <c r="AW1091">
        <v>15.125</v>
      </c>
      <c r="AX1091">
        <v>1</v>
      </c>
      <c r="AZ1091">
        <v>7205</v>
      </c>
      <c r="BA1091">
        <v>1</v>
      </c>
      <c r="BB1091" t="str">
        <f t="shared" si="53"/>
        <v xml:space="preserve">KAP400  </v>
      </c>
      <c r="BC1091">
        <v>1</v>
      </c>
      <c r="BE1091">
        <v>0</v>
      </c>
      <c r="BF1091">
        <v>0</v>
      </c>
      <c r="BG1091">
        <v>0</v>
      </c>
      <c r="BI1091">
        <v>1</v>
      </c>
      <c r="BJ1091">
        <v>1</v>
      </c>
      <c r="BK1091">
        <v>1</v>
      </c>
      <c r="BL1091">
        <v>0</v>
      </c>
      <c r="BO1091">
        <v>0</v>
      </c>
      <c r="BP1091">
        <v>0</v>
      </c>
      <c r="BW1091" t="str">
        <f>"19:22:39.306"</f>
        <v>19:22:39.306</v>
      </c>
      <c r="BX1091" t="s">
        <v>119</v>
      </c>
      <c r="BY1091" t="s">
        <v>120</v>
      </c>
      <c r="CJ1091">
        <v>0</v>
      </c>
      <c r="CK1091">
        <v>0</v>
      </c>
      <c r="CL1091">
        <v>0</v>
      </c>
      <c r="CM1091">
        <v>2</v>
      </c>
      <c r="CN1091">
        <v>0</v>
      </c>
      <c r="CO1091">
        <v>7</v>
      </c>
      <c r="CP1091" t="s">
        <v>121</v>
      </c>
      <c r="CQ1091">
        <v>581</v>
      </c>
      <c r="CR1091">
        <v>0</v>
      </c>
      <c r="CW1091">
        <v>16100809</v>
      </c>
      <c r="CY1091">
        <v>0</v>
      </c>
      <c r="CZ1091">
        <v>0</v>
      </c>
      <c r="DA1091">
        <v>0</v>
      </c>
      <c r="DB1091">
        <v>1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</row>
    <row r="1092" spans="1:113" x14ac:dyDescent="0.3">
      <c r="A1092" t="str">
        <f>"06/16/2022 19:22:40.507"</f>
        <v>06/16/2022 19:22:40.507</v>
      </c>
      <c r="C1092" t="str">
        <f t="shared" si="51"/>
        <v>FFBF5BC0</v>
      </c>
      <c r="D1092" t="s">
        <v>113</v>
      </c>
      <c r="E1092">
        <v>8</v>
      </c>
      <c r="H1092">
        <v>206</v>
      </c>
      <c r="I1092" t="s">
        <v>114</v>
      </c>
      <c r="J1092" t="s">
        <v>115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>"19:22:40.281"</f>
        <v>19:22:40.281</v>
      </c>
      <c r="T1092" t="str">
        <f>"19:22:40.281"</f>
        <v>19:22:40.281</v>
      </c>
      <c r="U1092" t="str">
        <f t="shared" si="52"/>
        <v>AB63B2</v>
      </c>
      <c r="V1092">
        <v>0</v>
      </c>
      <c r="W1092">
        <v>0</v>
      </c>
      <c r="X1092">
        <v>6</v>
      </c>
      <c r="Z1092">
        <v>0</v>
      </c>
      <c r="AA1092">
        <v>9</v>
      </c>
      <c r="AB1092">
        <v>3</v>
      </c>
      <c r="AC1092">
        <v>0</v>
      </c>
      <c r="AD1092">
        <v>10</v>
      </c>
      <c r="AE1092">
        <v>0</v>
      </c>
      <c r="AF1092">
        <v>0</v>
      </c>
      <c r="AG1092">
        <v>2</v>
      </c>
      <c r="AH1092">
        <v>0</v>
      </c>
      <c r="AI1092" t="s">
        <v>168</v>
      </c>
      <c r="AJ1092">
        <v>41.989961000000001</v>
      </c>
      <c r="AK1092" t="s">
        <v>326</v>
      </c>
      <c r="AL1092">
        <v>-87.893692999999999</v>
      </c>
      <c r="AS1092">
        <v>1</v>
      </c>
      <c r="AT1092" t="s">
        <v>118</v>
      </c>
      <c r="AU1092" t="b">
        <v>1</v>
      </c>
      <c r="AV1092">
        <v>270</v>
      </c>
      <c r="AW1092">
        <v>14.625</v>
      </c>
      <c r="AX1092">
        <v>1</v>
      </c>
      <c r="AZ1092">
        <v>7205</v>
      </c>
      <c r="BA1092">
        <v>1</v>
      </c>
      <c r="BB1092" t="str">
        <f t="shared" si="53"/>
        <v xml:space="preserve">KAP400  </v>
      </c>
      <c r="BC1092">
        <v>1</v>
      </c>
      <c r="BE1092">
        <v>0</v>
      </c>
      <c r="BF1092">
        <v>0</v>
      </c>
      <c r="BG1092">
        <v>0</v>
      </c>
      <c r="BI1092">
        <v>1</v>
      </c>
      <c r="BJ1092">
        <v>1</v>
      </c>
      <c r="BK1092">
        <v>1</v>
      </c>
      <c r="BL1092">
        <v>0</v>
      </c>
      <c r="BO1092">
        <v>0</v>
      </c>
      <c r="BP1092">
        <v>0</v>
      </c>
      <c r="BW1092" t="str">
        <f>"19:22:40.285"</f>
        <v>19:22:40.285</v>
      </c>
      <c r="BX1092" t="s">
        <v>119</v>
      </c>
      <c r="BY1092" t="s">
        <v>120</v>
      </c>
      <c r="CJ1092">
        <v>0</v>
      </c>
      <c r="CK1092">
        <v>0</v>
      </c>
      <c r="CL1092">
        <v>0</v>
      </c>
      <c r="CM1092">
        <v>2</v>
      </c>
      <c r="CN1092">
        <v>0</v>
      </c>
      <c r="CO1092">
        <v>7</v>
      </c>
      <c r="CP1092" t="s">
        <v>121</v>
      </c>
      <c r="CQ1092">
        <v>581</v>
      </c>
      <c r="CR1092">
        <v>0</v>
      </c>
      <c r="CW1092">
        <v>16102001</v>
      </c>
      <c r="CY1092">
        <v>0</v>
      </c>
      <c r="CZ1092">
        <v>0</v>
      </c>
      <c r="DA1092">
        <v>0</v>
      </c>
      <c r="DB1092">
        <v>1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</row>
    <row r="1093" spans="1:113" x14ac:dyDescent="0.3">
      <c r="A1093" t="str">
        <f>"06/16/2022 19:22:41.585"</f>
        <v>06/16/2022 19:22:41.585</v>
      </c>
      <c r="C1093" t="str">
        <f t="shared" si="51"/>
        <v>FFBF5BC0</v>
      </c>
      <c r="D1093" t="s">
        <v>113</v>
      </c>
      <c r="E1093">
        <v>8</v>
      </c>
      <c r="H1093">
        <v>206</v>
      </c>
      <c r="I1093" t="s">
        <v>114</v>
      </c>
      <c r="J1093" t="s">
        <v>115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>"19:22:41.281"</f>
        <v>19:22:41.281</v>
      </c>
      <c r="T1093" t="str">
        <f>"19:22:41.281"</f>
        <v>19:22:41.281</v>
      </c>
      <c r="U1093" t="str">
        <f t="shared" si="52"/>
        <v>AB63B2</v>
      </c>
      <c r="V1093">
        <v>0</v>
      </c>
      <c r="W1093">
        <v>0</v>
      </c>
      <c r="X1093">
        <v>6</v>
      </c>
      <c r="Z1093">
        <v>0</v>
      </c>
      <c r="AA1093">
        <v>9</v>
      </c>
      <c r="AB1093">
        <v>3</v>
      </c>
      <c r="AC1093">
        <v>0</v>
      </c>
      <c r="AD1093">
        <v>10</v>
      </c>
      <c r="AE1093">
        <v>0</v>
      </c>
      <c r="AF1093">
        <v>0</v>
      </c>
      <c r="AG1093">
        <v>2</v>
      </c>
      <c r="AH1093">
        <v>0</v>
      </c>
      <c r="AI1093" t="s">
        <v>168</v>
      </c>
      <c r="AJ1093">
        <v>41.989961000000001</v>
      </c>
      <c r="AK1093" t="s">
        <v>293</v>
      </c>
      <c r="AL1093">
        <v>-87.893778999999995</v>
      </c>
      <c r="AS1093">
        <v>1</v>
      </c>
      <c r="AT1093" t="s">
        <v>118</v>
      </c>
      <c r="AU1093" t="b">
        <v>1</v>
      </c>
      <c r="AV1093">
        <v>270</v>
      </c>
      <c r="AW1093">
        <v>14.625</v>
      </c>
      <c r="AX1093">
        <v>1</v>
      </c>
      <c r="AZ1093">
        <v>7205</v>
      </c>
      <c r="BA1093">
        <v>1</v>
      </c>
      <c r="BB1093" t="str">
        <f t="shared" si="53"/>
        <v xml:space="preserve">KAP400  </v>
      </c>
      <c r="BC1093">
        <v>1</v>
      </c>
      <c r="BE1093">
        <v>0</v>
      </c>
      <c r="BF1093">
        <v>0</v>
      </c>
      <c r="BG1093">
        <v>0</v>
      </c>
      <c r="BI1093">
        <v>1</v>
      </c>
      <c r="BJ1093">
        <v>1</v>
      </c>
      <c r="BK1093">
        <v>1</v>
      </c>
      <c r="BL1093">
        <v>0</v>
      </c>
      <c r="BO1093">
        <v>0</v>
      </c>
      <c r="BP1093">
        <v>0</v>
      </c>
      <c r="BW1093" t="str">
        <f>"19:22:41.286"</f>
        <v>19:22:41.286</v>
      </c>
      <c r="BX1093" t="s">
        <v>119</v>
      </c>
      <c r="BY1093" t="s">
        <v>120</v>
      </c>
      <c r="CJ1093">
        <v>0</v>
      </c>
      <c r="CK1093">
        <v>0</v>
      </c>
      <c r="CL1093">
        <v>0</v>
      </c>
      <c r="CM1093">
        <v>2</v>
      </c>
      <c r="CN1093">
        <v>0</v>
      </c>
      <c r="CO1093">
        <v>7</v>
      </c>
      <c r="CP1093" t="s">
        <v>121</v>
      </c>
      <c r="CQ1093">
        <v>582</v>
      </c>
      <c r="CR1093">
        <v>0</v>
      </c>
      <c r="CW1093">
        <v>6974894</v>
      </c>
      <c r="CY1093">
        <v>0</v>
      </c>
      <c r="CZ1093">
        <v>0</v>
      </c>
      <c r="DA1093">
        <v>0</v>
      </c>
      <c r="DB1093">
        <v>1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</row>
    <row r="1094" spans="1:113" x14ac:dyDescent="0.3">
      <c r="A1094" t="str">
        <f>"06/16/2022 19:22:42.692"</f>
        <v>06/16/2022 19:22:42.692</v>
      </c>
      <c r="C1094" t="str">
        <f t="shared" si="51"/>
        <v>FFBF5BC0</v>
      </c>
      <c r="D1094" t="s">
        <v>113</v>
      </c>
      <c r="E1094">
        <v>8</v>
      </c>
      <c r="H1094">
        <v>206</v>
      </c>
      <c r="I1094" t="s">
        <v>114</v>
      </c>
      <c r="J1094" t="s">
        <v>115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>"19:22:42.438"</f>
        <v>19:22:42.438</v>
      </c>
      <c r="T1094" t="str">
        <f>"19:22:42.438"</f>
        <v>19:22:42.438</v>
      </c>
      <c r="U1094" t="str">
        <f t="shared" si="52"/>
        <v>AB63B2</v>
      </c>
      <c r="V1094">
        <v>0</v>
      </c>
      <c r="W1094">
        <v>0</v>
      </c>
      <c r="X1094">
        <v>6</v>
      </c>
      <c r="Z1094">
        <v>0</v>
      </c>
      <c r="AA1094">
        <v>9</v>
      </c>
      <c r="AB1094">
        <v>3</v>
      </c>
      <c r="AC1094">
        <v>0</v>
      </c>
      <c r="AD1094">
        <v>10</v>
      </c>
      <c r="AE1094">
        <v>0</v>
      </c>
      <c r="AF1094">
        <v>0</v>
      </c>
      <c r="AG1094">
        <v>2</v>
      </c>
      <c r="AH1094">
        <v>0</v>
      </c>
      <c r="AI1094" t="s">
        <v>168</v>
      </c>
      <c r="AJ1094">
        <v>41.989961000000001</v>
      </c>
      <c r="AK1094" t="s">
        <v>332</v>
      </c>
      <c r="AL1094">
        <v>-87.893865000000005</v>
      </c>
      <c r="AS1094">
        <v>1</v>
      </c>
      <c r="AT1094" t="s">
        <v>118</v>
      </c>
      <c r="AU1094" t="b">
        <v>1</v>
      </c>
      <c r="AV1094">
        <v>270</v>
      </c>
      <c r="AW1094">
        <v>14.125</v>
      </c>
      <c r="AX1094">
        <v>1</v>
      </c>
      <c r="AZ1094">
        <v>7205</v>
      </c>
      <c r="BA1094">
        <v>1</v>
      </c>
      <c r="BB1094" t="str">
        <f t="shared" si="53"/>
        <v xml:space="preserve">KAP400  </v>
      </c>
      <c r="BC1094">
        <v>1</v>
      </c>
      <c r="BE1094">
        <v>0</v>
      </c>
      <c r="BF1094">
        <v>0</v>
      </c>
      <c r="BG1094">
        <v>0</v>
      </c>
      <c r="BI1094">
        <v>1</v>
      </c>
      <c r="BJ1094">
        <v>1</v>
      </c>
      <c r="BK1094">
        <v>1</v>
      </c>
      <c r="BL1094">
        <v>0</v>
      </c>
      <c r="BO1094">
        <v>0</v>
      </c>
      <c r="BP1094">
        <v>0</v>
      </c>
      <c r="BW1094" t="str">
        <f>"19:22:42.444"</f>
        <v>19:22:42.444</v>
      </c>
      <c r="BX1094" t="s">
        <v>119</v>
      </c>
      <c r="BY1094" t="s">
        <v>120</v>
      </c>
      <c r="CJ1094">
        <v>0</v>
      </c>
      <c r="CK1094">
        <v>0</v>
      </c>
      <c r="CL1094">
        <v>0</v>
      </c>
      <c r="CM1094">
        <v>2</v>
      </c>
      <c r="CN1094">
        <v>0</v>
      </c>
      <c r="CO1094">
        <v>7</v>
      </c>
      <c r="CP1094" t="s">
        <v>121</v>
      </c>
      <c r="CQ1094">
        <v>582</v>
      </c>
      <c r="CR1094">
        <v>0</v>
      </c>
      <c r="CW1094">
        <v>6976264</v>
      </c>
      <c r="CY1094">
        <v>0</v>
      </c>
      <c r="CZ1094">
        <v>0</v>
      </c>
      <c r="DA1094">
        <v>0</v>
      </c>
      <c r="DB1094">
        <v>1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</row>
    <row r="1095" spans="1:113" x14ac:dyDescent="0.3">
      <c r="A1095" t="str">
        <f>"06/16/2022 19:22:43.864"</f>
        <v>06/16/2022 19:22:43.864</v>
      </c>
      <c r="C1095" t="str">
        <f t="shared" si="51"/>
        <v>FFBF5BC0</v>
      </c>
      <c r="D1095" t="s">
        <v>113</v>
      </c>
      <c r="E1095">
        <v>8</v>
      </c>
      <c r="H1095">
        <v>206</v>
      </c>
      <c r="I1095" t="s">
        <v>114</v>
      </c>
      <c r="J1095" t="s">
        <v>115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>"19:22:43.406"</f>
        <v>19:22:43.406</v>
      </c>
      <c r="T1095" t="str">
        <f>"19:22:43.406"</f>
        <v>19:22:43.406</v>
      </c>
      <c r="U1095" t="str">
        <f t="shared" si="52"/>
        <v>AB63B2</v>
      </c>
      <c r="V1095">
        <v>0</v>
      </c>
      <c r="W1095">
        <v>0</v>
      </c>
      <c r="X1095">
        <v>6</v>
      </c>
      <c r="Z1095">
        <v>0</v>
      </c>
      <c r="AA1095">
        <v>9</v>
      </c>
      <c r="AB1095">
        <v>3</v>
      </c>
      <c r="AC1095">
        <v>0</v>
      </c>
      <c r="AD1095">
        <v>10</v>
      </c>
      <c r="AE1095">
        <v>0</v>
      </c>
      <c r="AF1095">
        <v>0</v>
      </c>
      <c r="AG1095">
        <v>2</v>
      </c>
      <c r="AH1095">
        <v>0</v>
      </c>
      <c r="AI1095" t="s">
        <v>168</v>
      </c>
      <c r="AJ1095">
        <v>41.989961000000001</v>
      </c>
      <c r="AK1095" t="s">
        <v>287</v>
      </c>
      <c r="AL1095">
        <v>-87.893951000000001</v>
      </c>
      <c r="AS1095">
        <v>1</v>
      </c>
      <c r="AT1095" t="s">
        <v>118</v>
      </c>
      <c r="AU1095" t="b">
        <v>1</v>
      </c>
      <c r="AV1095">
        <v>270</v>
      </c>
      <c r="AW1095">
        <v>14.125</v>
      </c>
      <c r="AX1095">
        <v>1</v>
      </c>
      <c r="AZ1095">
        <v>7205</v>
      </c>
      <c r="BA1095">
        <v>1</v>
      </c>
      <c r="BB1095" t="str">
        <f t="shared" si="53"/>
        <v xml:space="preserve">KAP400  </v>
      </c>
      <c r="BC1095">
        <v>1</v>
      </c>
      <c r="BE1095">
        <v>0</v>
      </c>
      <c r="BF1095">
        <v>0</v>
      </c>
      <c r="BG1095">
        <v>0</v>
      </c>
      <c r="BI1095">
        <v>1</v>
      </c>
      <c r="BJ1095">
        <v>1</v>
      </c>
      <c r="BK1095">
        <v>1</v>
      </c>
      <c r="BL1095">
        <v>0</v>
      </c>
      <c r="BO1095">
        <v>0</v>
      </c>
      <c r="BP1095">
        <v>0</v>
      </c>
      <c r="BW1095" t="str">
        <f>"19:22:43.412"</f>
        <v>19:22:43.412</v>
      </c>
      <c r="BX1095" t="s">
        <v>119</v>
      </c>
      <c r="BY1095" t="s">
        <v>120</v>
      </c>
      <c r="CJ1095">
        <v>0</v>
      </c>
      <c r="CK1095">
        <v>0</v>
      </c>
      <c r="CL1095">
        <v>0</v>
      </c>
      <c r="CM1095">
        <v>2</v>
      </c>
      <c r="CN1095">
        <v>0</v>
      </c>
      <c r="CO1095">
        <v>7</v>
      </c>
      <c r="CP1095" t="s">
        <v>121</v>
      </c>
      <c r="CQ1095">
        <v>579</v>
      </c>
      <c r="CR1095">
        <v>0</v>
      </c>
      <c r="CW1095">
        <v>2564894</v>
      </c>
      <c r="CY1095">
        <v>0</v>
      </c>
      <c r="CZ1095">
        <v>0</v>
      </c>
      <c r="DA1095">
        <v>0</v>
      </c>
      <c r="DB1095">
        <v>1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</row>
    <row r="1096" spans="1:113" x14ac:dyDescent="0.3">
      <c r="A1096" t="str">
        <f>"06/16/2022 19:22:44.677"</f>
        <v>06/16/2022 19:22:44.677</v>
      </c>
      <c r="C1096" t="str">
        <f t="shared" si="51"/>
        <v>FFBF5BC0</v>
      </c>
      <c r="D1096" t="s">
        <v>113</v>
      </c>
      <c r="E1096">
        <v>8</v>
      </c>
      <c r="H1096">
        <v>206</v>
      </c>
      <c r="I1096" t="s">
        <v>114</v>
      </c>
      <c r="J1096" t="s">
        <v>115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>"19:22:44.352"</f>
        <v>19:22:44.352</v>
      </c>
      <c r="T1096" t="str">
        <f>"19:22:44.352"</f>
        <v>19:22:44.352</v>
      </c>
      <c r="U1096" t="str">
        <f t="shared" si="52"/>
        <v>AB63B2</v>
      </c>
      <c r="V1096">
        <v>0</v>
      </c>
      <c r="W1096">
        <v>0</v>
      </c>
      <c r="X1096">
        <v>6</v>
      </c>
      <c r="Z1096">
        <v>0</v>
      </c>
      <c r="AA1096">
        <v>9</v>
      </c>
      <c r="AB1096">
        <v>3</v>
      </c>
      <c r="AC1096">
        <v>0</v>
      </c>
      <c r="AD1096">
        <v>10</v>
      </c>
      <c r="AE1096">
        <v>0</v>
      </c>
      <c r="AF1096">
        <v>0</v>
      </c>
      <c r="AG1096">
        <v>2</v>
      </c>
      <c r="AH1096">
        <v>0</v>
      </c>
      <c r="AI1096" t="s">
        <v>168</v>
      </c>
      <c r="AJ1096">
        <v>41.989961000000001</v>
      </c>
      <c r="AK1096" t="s">
        <v>285</v>
      </c>
      <c r="AL1096">
        <v>-87.894036999999997</v>
      </c>
      <c r="AS1096">
        <v>1</v>
      </c>
      <c r="AT1096" t="s">
        <v>118</v>
      </c>
      <c r="AU1096" t="b">
        <v>1</v>
      </c>
      <c r="AV1096">
        <v>270</v>
      </c>
      <c r="AW1096">
        <v>14.125</v>
      </c>
      <c r="AX1096">
        <v>1</v>
      </c>
      <c r="AZ1096">
        <v>7205</v>
      </c>
      <c r="BA1096">
        <v>1</v>
      </c>
      <c r="BB1096" t="str">
        <f t="shared" si="53"/>
        <v xml:space="preserve">KAP400  </v>
      </c>
      <c r="BC1096">
        <v>1</v>
      </c>
      <c r="BE1096">
        <v>0</v>
      </c>
      <c r="BF1096">
        <v>0</v>
      </c>
      <c r="BG1096">
        <v>0</v>
      </c>
      <c r="BI1096">
        <v>1</v>
      </c>
      <c r="BJ1096">
        <v>1</v>
      </c>
      <c r="BK1096">
        <v>1</v>
      </c>
      <c r="BL1096">
        <v>0</v>
      </c>
      <c r="BO1096">
        <v>0</v>
      </c>
      <c r="BP1096">
        <v>0</v>
      </c>
      <c r="BW1096" t="str">
        <f>"19:22:44.359"</f>
        <v>19:22:44.359</v>
      </c>
      <c r="BX1096" t="s">
        <v>119</v>
      </c>
      <c r="BY1096" t="s">
        <v>120</v>
      </c>
      <c r="CJ1096">
        <v>0</v>
      </c>
      <c r="CK1096">
        <v>0</v>
      </c>
      <c r="CL1096">
        <v>0</v>
      </c>
      <c r="CM1096">
        <v>2</v>
      </c>
      <c r="CN1096">
        <v>0</v>
      </c>
      <c r="CO1096">
        <v>7</v>
      </c>
      <c r="CP1096" t="s">
        <v>121</v>
      </c>
      <c r="CQ1096">
        <v>582</v>
      </c>
      <c r="CR1096">
        <v>0</v>
      </c>
      <c r="CW1096">
        <v>6978409</v>
      </c>
      <c r="CY1096">
        <v>0</v>
      </c>
      <c r="CZ1096">
        <v>0</v>
      </c>
      <c r="DA1096">
        <v>0</v>
      </c>
      <c r="DB1096">
        <v>1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</row>
    <row r="1097" spans="1:113" x14ac:dyDescent="0.3">
      <c r="A1097" t="str">
        <f>"06/16/2022 19:22:45.646"</f>
        <v>06/16/2022 19:22:45.646</v>
      </c>
      <c r="C1097" t="str">
        <f t="shared" si="51"/>
        <v>FFBF5BC0</v>
      </c>
      <c r="D1097" t="s">
        <v>113</v>
      </c>
      <c r="E1097">
        <v>8</v>
      </c>
      <c r="H1097">
        <v>206</v>
      </c>
      <c r="I1097" t="s">
        <v>114</v>
      </c>
      <c r="J1097" t="s">
        <v>115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>"19:22:45.391"</f>
        <v>19:22:45.391</v>
      </c>
      <c r="T1097" t="str">
        <f>"19:22:45.391"</f>
        <v>19:22:45.391</v>
      </c>
      <c r="U1097" t="str">
        <f t="shared" si="52"/>
        <v>AB63B2</v>
      </c>
      <c r="V1097">
        <v>0</v>
      </c>
      <c r="W1097">
        <v>0</v>
      </c>
      <c r="X1097">
        <v>6</v>
      </c>
      <c r="Z1097">
        <v>0</v>
      </c>
      <c r="AA1097">
        <v>9</v>
      </c>
      <c r="AB1097">
        <v>3</v>
      </c>
      <c r="AC1097">
        <v>0</v>
      </c>
      <c r="AD1097">
        <v>10</v>
      </c>
      <c r="AE1097">
        <v>0</v>
      </c>
      <c r="AF1097">
        <v>0</v>
      </c>
      <c r="AG1097">
        <v>2</v>
      </c>
      <c r="AH1097">
        <v>0</v>
      </c>
      <c r="AI1097" t="s">
        <v>168</v>
      </c>
      <c r="AJ1097">
        <v>41.989961000000001</v>
      </c>
      <c r="AK1097" t="s">
        <v>1008</v>
      </c>
      <c r="AL1097">
        <v>-87.894122999999993</v>
      </c>
      <c r="AS1097">
        <v>1</v>
      </c>
      <c r="AT1097" t="s">
        <v>118</v>
      </c>
      <c r="AU1097" t="b">
        <v>1</v>
      </c>
      <c r="AV1097">
        <v>272.81</v>
      </c>
      <c r="AW1097">
        <v>14.125</v>
      </c>
      <c r="AX1097">
        <v>1</v>
      </c>
      <c r="AZ1097">
        <v>7205</v>
      </c>
      <c r="BA1097">
        <v>1</v>
      </c>
      <c r="BB1097" t="str">
        <f t="shared" si="53"/>
        <v xml:space="preserve">KAP400  </v>
      </c>
      <c r="BC1097">
        <v>1</v>
      </c>
      <c r="BE1097">
        <v>0</v>
      </c>
      <c r="BF1097">
        <v>0</v>
      </c>
      <c r="BG1097">
        <v>0</v>
      </c>
      <c r="BI1097">
        <v>1</v>
      </c>
      <c r="BJ1097">
        <v>1</v>
      </c>
      <c r="BK1097">
        <v>1</v>
      </c>
      <c r="BL1097">
        <v>0</v>
      </c>
      <c r="BO1097">
        <v>0</v>
      </c>
      <c r="BP1097">
        <v>0</v>
      </c>
      <c r="BW1097" t="str">
        <f>"19:22:45.396"</f>
        <v>19:22:45.396</v>
      </c>
      <c r="BX1097" t="s">
        <v>119</v>
      </c>
      <c r="BY1097" t="s">
        <v>120</v>
      </c>
      <c r="CJ1097">
        <v>0</v>
      </c>
      <c r="CK1097">
        <v>0</v>
      </c>
      <c r="CL1097">
        <v>0</v>
      </c>
      <c r="CM1097">
        <v>2</v>
      </c>
      <c r="CN1097">
        <v>0</v>
      </c>
      <c r="CO1097">
        <v>7</v>
      </c>
      <c r="CP1097" t="s">
        <v>121</v>
      </c>
      <c r="CQ1097">
        <v>582</v>
      </c>
      <c r="CR1097">
        <v>0</v>
      </c>
      <c r="CW1097">
        <v>6979657</v>
      </c>
      <c r="CY1097">
        <v>0</v>
      </c>
      <c r="CZ1097">
        <v>0</v>
      </c>
      <c r="DA1097">
        <v>0</v>
      </c>
      <c r="DB1097">
        <v>1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</row>
    <row r="1098" spans="1:113" x14ac:dyDescent="0.3">
      <c r="A1098" t="str">
        <f>"06/16/2022 19:22:46.521"</f>
        <v>06/16/2022 19:22:46.521</v>
      </c>
      <c r="C1098" t="str">
        <f t="shared" si="51"/>
        <v>FFBF5BC0</v>
      </c>
      <c r="D1098" t="s">
        <v>113</v>
      </c>
      <c r="E1098">
        <v>8</v>
      </c>
      <c r="H1098">
        <v>206</v>
      </c>
      <c r="I1098" t="s">
        <v>114</v>
      </c>
      <c r="J1098" t="s">
        <v>115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>"19:22:46.250"</f>
        <v>19:22:46.250</v>
      </c>
      <c r="T1098" t="str">
        <f>"19:22:46.250"</f>
        <v>19:22:46.250</v>
      </c>
      <c r="U1098" t="str">
        <f t="shared" si="52"/>
        <v>AB63B2</v>
      </c>
      <c r="V1098">
        <v>0</v>
      </c>
      <c r="W1098">
        <v>0</v>
      </c>
      <c r="X1098">
        <v>6</v>
      </c>
      <c r="Z1098">
        <v>0</v>
      </c>
      <c r="AA1098">
        <v>9</v>
      </c>
      <c r="AB1098">
        <v>3</v>
      </c>
      <c r="AC1098">
        <v>0</v>
      </c>
      <c r="AD1098">
        <v>10</v>
      </c>
      <c r="AE1098">
        <v>0</v>
      </c>
      <c r="AF1098">
        <v>0</v>
      </c>
      <c r="AG1098">
        <v>2</v>
      </c>
      <c r="AH1098">
        <v>0</v>
      </c>
      <c r="AI1098" t="s">
        <v>168</v>
      </c>
      <c r="AJ1098">
        <v>41.989961000000001</v>
      </c>
      <c r="AK1098" t="s">
        <v>281</v>
      </c>
      <c r="AL1098">
        <v>-87.894187000000002</v>
      </c>
      <c r="AS1098">
        <v>1</v>
      </c>
      <c r="AT1098" t="s">
        <v>118</v>
      </c>
      <c r="AU1098" t="b">
        <v>1</v>
      </c>
      <c r="AV1098">
        <v>275.63</v>
      </c>
      <c r="AW1098">
        <v>14.125</v>
      </c>
      <c r="AX1098">
        <v>1</v>
      </c>
      <c r="AZ1098">
        <v>7205</v>
      </c>
      <c r="BA1098">
        <v>1</v>
      </c>
      <c r="BB1098" t="str">
        <f t="shared" si="53"/>
        <v xml:space="preserve">KAP400  </v>
      </c>
      <c r="BC1098">
        <v>1</v>
      </c>
      <c r="BE1098">
        <v>0</v>
      </c>
      <c r="BF1098">
        <v>0</v>
      </c>
      <c r="BG1098">
        <v>0</v>
      </c>
      <c r="BI1098">
        <v>1</v>
      </c>
      <c r="BJ1098">
        <v>1</v>
      </c>
      <c r="BK1098">
        <v>1</v>
      </c>
      <c r="BL1098">
        <v>0</v>
      </c>
      <c r="BO1098">
        <v>0</v>
      </c>
      <c r="BP1098">
        <v>0</v>
      </c>
      <c r="BW1098" t="str">
        <f>"19:22:46.252"</f>
        <v>19:22:46.252</v>
      </c>
      <c r="BX1098" t="s">
        <v>119</v>
      </c>
      <c r="BY1098" t="s">
        <v>120</v>
      </c>
      <c r="CJ1098">
        <v>0</v>
      </c>
      <c r="CK1098">
        <v>0</v>
      </c>
      <c r="CL1098">
        <v>0</v>
      </c>
      <c r="CM1098">
        <v>2</v>
      </c>
      <c r="CN1098">
        <v>0</v>
      </c>
      <c r="CO1098">
        <v>7</v>
      </c>
      <c r="CP1098" t="s">
        <v>121</v>
      </c>
      <c r="CQ1098">
        <v>579</v>
      </c>
      <c r="CR1098">
        <v>0</v>
      </c>
      <c r="CW1098">
        <v>2570240</v>
      </c>
      <c r="CY1098">
        <v>0</v>
      </c>
      <c r="CZ1098">
        <v>0</v>
      </c>
      <c r="DA1098">
        <v>0</v>
      </c>
      <c r="DB1098">
        <v>1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0</v>
      </c>
      <c r="DI1098">
        <v>0</v>
      </c>
    </row>
    <row r="1099" spans="1:113" x14ac:dyDescent="0.3">
      <c r="A1099" t="str">
        <f>"06/16/2022 19:22:47.523"</f>
        <v>06/16/2022 19:22:47.523</v>
      </c>
      <c r="C1099" t="str">
        <f t="shared" si="51"/>
        <v>FFBF5BC0</v>
      </c>
      <c r="D1099" t="s">
        <v>113</v>
      </c>
      <c r="E1099">
        <v>8</v>
      </c>
      <c r="H1099">
        <v>206</v>
      </c>
      <c r="I1099" t="s">
        <v>114</v>
      </c>
      <c r="J1099" t="s">
        <v>115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>"19:22:47.289"</f>
        <v>19:22:47.289</v>
      </c>
      <c r="T1099" t="str">
        <f>"19:22:47.289"</f>
        <v>19:22:47.289</v>
      </c>
      <c r="U1099" t="str">
        <f t="shared" si="52"/>
        <v>AB63B2</v>
      </c>
      <c r="V1099">
        <v>0</v>
      </c>
      <c r="W1099">
        <v>0</v>
      </c>
      <c r="X1099">
        <v>6</v>
      </c>
      <c r="Z1099">
        <v>0</v>
      </c>
      <c r="AA1099">
        <v>9</v>
      </c>
      <c r="AB1099">
        <v>3</v>
      </c>
      <c r="AC1099">
        <v>0</v>
      </c>
      <c r="AD1099">
        <v>10</v>
      </c>
      <c r="AE1099">
        <v>0</v>
      </c>
      <c r="AF1099">
        <v>0</v>
      </c>
      <c r="AG1099">
        <v>2</v>
      </c>
      <c r="AH1099">
        <v>0</v>
      </c>
      <c r="AI1099" t="s">
        <v>167</v>
      </c>
      <c r="AJ1099">
        <v>41.989981999999998</v>
      </c>
      <c r="AK1099" t="s">
        <v>728</v>
      </c>
      <c r="AL1099">
        <v>-87.894294000000002</v>
      </c>
      <c r="AS1099">
        <v>1</v>
      </c>
      <c r="AT1099" t="s">
        <v>118</v>
      </c>
      <c r="AU1099" t="b">
        <v>1</v>
      </c>
      <c r="AV1099">
        <v>278.44</v>
      </c>
      <c r="AW1099">
        <v>14.125</v>
      </c>
      <c r="AX1099">
        <v>1</v>
      </c>
      <c r="AZ1099">
        <v>7205</v>
      </c>
      <c r="BA1099">
        <v>1</v>
      </c>
      <c r="BB1099" t="str">
        <f t="shared" si="53"/>
        <v xml:space="preserve">KAP400  </v>
      </c>
      <c r="BC1099">
        <v>1</v>
      </c>
      <c r="BE1099">
        <v>0</v>
      </c>
      <c r="BF1099">
        <v>0</v>
      </c>
      <c r="BG1099">
        <v>0</v>
      </c>
      <c r="BI1099">
        <v>1</v>
      </c>
      <c r="BJ1099">
        <v>1</v>
      </c>
      <c r="BK1099">
        <v>1</v>
      </c>
      <c r="BL1099">
        <v>0</v>
      </c>
      <c r="BO1099">
        <v>0</v>
      </c>
      <c r="BP1099">
        <v>0</v>
      </c>
      <c r="BW1099" t="str">
        <f>"19:22:47.292"</f>
        <v>19:22:47.292</v>
      </c>
      <c r="BX1099" t="s">
        <v>119</v>
      </c>
      <c r="BY1099" t="s">
        <v>120</v>
      </c>
      <c r="CJ1099">
        <v>0</v>
      </c>
      <c r="CK1099">
        <v>0</v>
      </c>
      <c r="CL1099">
        <v>0</v>
      </c>
      <c r="CM1099">
        <v>2</v>
      </c>
      <c r="CN1099">
        <v>0</v>
      </c>
      <c r="CO1099">
        <v>7</v>
      </c>
      <c r="CP1099" t="s">
        <v>121</v>
      </c>
      <c r="CQ1099">
        <v>579</v>
      </c>
      <c r="CR1099">
        <v>0</v>
      </c>
      <c r="CW1099">
        <v>2572171</v>
      </c>
      <c r="CY1099">
        <v>0</v>
      </c>
      <c r="CZ1099">
        <v>0</v>
      </c>
      <c r="DA1099">
        <v>0</v>
      </c>
      <c r="DB1099">
        <v>1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0</v>
      </c>
    </row>
    <row r="1100" spans="1:113" x14ac:dyDescent="0.3">
      <c r="A1100" t="str">
        <f>"06/16/2022 19:22:48.602"</f>
        <v>06/16/2022 19:22:48.602</v>
      </c>
      <c r="C1100" t="str">
        <f t="shared" si="51"/>
        <v>FFBF5BC0</v>
      </c>
      <c r="D1100" t="s">
        <v>113</v>
      </c>
      <c r="E1100">
        <v>8</v>
      </c>
      <c r="H1100">
        <v>206</v>
      </c>
      <c r="I1100" t="s">
        <v>114</v>
      </c>
      <c r="J1100" t="s">
        <v>115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>"19:22:48.273"</f>
        <v>19:22:48.273</v>
      </c>
      <c r="T1100" t="str">
        <f>"19:22:48.273"</f>
        <v>19:22:48.273</v>
      </c>
      <c r="U1100" t="str">
        <f t="shared" si="52"/>
        <v>AB63B2</v>
      </c>
      <c r="V1100">
        <v>0</v>
      </c>
      <c r="W1100">
        <v>0</v>
      </c>
      <c r="X1100">
        <v>6</v>
      </c>
      <c r="Z1100">
        <v>0</v>
      </c>
      <c r="AA1100">
        <v>9</v>
      </c>
      <c r="AB1100">
        <v>3</v>
      </c>
      <c r="AC1100">
        <v>0</v>
      </c>
      <c r="AD1100">
        <v>10</v>
      </c>
      <c r="AE1100">
        <v>0</v>
      </c>
      <c r="AF1100">
        <v>0</v>
      </c>
      <c r="AG1100">
        <v>2</v>
      </c>
      <c r="AH1100">
        <v>0</v>
      </c>
      <c r="AI1100" t="s">
        <v>167</v>
      </c>
      <c r="AJ1100">
        <v>41.989981999999998</v>
      </c>
      <c r="AK1100" t="s">
        <v>342</v>
      </c>
      <c r="AL1100">
        <v>-87.894379999999998</v>
      </c>
      <c r="AS1100">
        <v>1</v>
      </c>
      <c r="AT1100" t="s">
        <v>118</v>
      </c>
      <c r="AU1100" t="b">
        <v>1</v>
      </c>
      <c r="AV1100">
        <v>284.06</v>
      </c>
      <c r="AW1100">
        <v>14.625</v>
      </c>
      <c r="AX1100">
        <v>1</v>
      </c>
      <c r="AZ1100">
        <v>7205</v>
      </c>
      <c r="BA1100">
        <v>1</v>
      </c>
      <c r="BB1100" t="str">
        <f t="shared" si="53"/>
        <v xml:space="preserve">KAP400  </v>
      </c>
      <c r="BC1100">
        <v>1</v>
      </c>
      <c r="BE1100">
        <v>0</v>
      </c>
      <c r="BF1100">
        <v>0</v>
      </c>
      <c r="BG1100">
        <v>0</v>
      </c>
      <c r="BI1100">
        <v>1</v>
      </c>
      <c r="BJ1100">
        <v>1</v>
      </c>
      <c r="BK1100">
        <v>1</v>
      </c>
      <c r="BL1100">
        <v>0</v>
      </c>
      <c r="BO1100">
        <v>0</v>
      </c>
      <c r="BP1100">
        <v>0</v>
      </c>
      <c r="BW1100" t="str">
        <f>"19:22:48.275"</f>
        <v>19:22:48.275</v>
      </c>
      <c r="BX1100" t="s">
        <v>119</v>
      </c>
      <c r="BY1100" t="s">
        <v>120</v>
      </c>
      <c r="CJ1100">
        <v>0</v>
      </c>
      <c r="CK1100">
        <v>0</v>
      </c>
      <c r="CL1100">
        <v>0</v>
      </c>
      <c r="CM1100">
        <v>2</v>
      </c>
      <c r="CN1100">
        <v>0</v>
      </c>
      <c r="CO1100">
        <v>7</v>
      </c>
      <c r="CP1100" t="s">
        <v>121</v>
      </c>
      <c r="CQ1100">
        <v>582</v>
      </c>
      <c r="CR1100">
        <v>0</v>
      </c>
      <c r="CW1100">
        <v>6983015</v>
      </c>
      <c r="CY1100">
        <v>0</v>
      </c>
      <c r="CZ1100">
        <v>0</v>
      </c>
      <c r="DA1100">
        <v>0</v>
      </c>
      <c r="DB1100">
        <v>1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</row>
    <row r="1101" spans="1:113" x14ac:dyDescent="0.3">
      <c r="A1101" t="str">
        <f>"06/16/2022 19:22:49.697"</f>
        <v>06/16/2022 19:22:49.697</v>
      </c>
      <c r="C1101" t="str">
        <f t="shared" si="51"/>
        <v>FFBF5BC0</v>
      </c>
      <c r="D1101" t="s">
        <v>113</v>
      </c>
      <c r="E1101">
        <v>8</v>
      </c>
      <c r="H1101">
        <v>206</v>
      </c>
      <c r="I1101" t="s">
        <v>114</v>
      </c>
      <c r="J1101" t="s">
        <v>115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>"19:22:49.422"</f>
        <v>19:22:49.422</v>
      </c>
      <c r="T1101" t="str">
        <f>"19:22:49.422"</f>
        <v>19:22:49.422</v>
      </c>
      <c r="U1101" t="str">
        <f t="shared" si="52"/>
        <v>AB63B2</v>
      </c>
      <c r="V1101">
        <v>0</v>
      </c>
      <c r="W1101">
        <v>0</v>
      </c>
      <c r="X1101">
        <v>6</v>
      </c>
      <c r="Z1101">
        <v>0</v>
      </c>
      <c r="AA1101">
        <v>9</v>
      </c>
      <c r="AB1101">
        <v>3</v>
      </c>
      <c r="AC1101">
        <v>0</v>
      </c>
      <c r="AD1101">
        <v>10</v>
      </c>
      <c r="AE1101">
        <v>0</v>
      </c>
      <c r="AF1101">
        <v>0</v>
      </c>
      <c r="AG1101">
        <v>2</v>
      </c>
      <c r="AH1101">
        <v>0</v>
      </c>
      <c r="AI1101" t="s">
        <v>166</v>
      </c>
      <c r="AJ1101">
        <v>41.990003999999999</v>
      </c>
      <c r="AK1101" t="s">
        <v>273</v>
      </c>
      <c r="AL1101">
        <v>-87.894465999999994</v>
      </c>
      <c r="AS1101">
        <v>1</v>
      </c>
      <c r="AT1101" t="s">
        <v>118</v>
      </c>
      <c r="AU1101" t="b">
        <v>1</v>
      </c>
      <c r="AV1101">
        <v>292.5</v>
      </c>
      <c r="AW1101">
        <v>14.625</v>
      </c>
      <c r="AX1101">
        <v>1</v>
      </c>
      <c r="AZ1101">
        <v>7205</v>
      </c>
      <c r="BA1101">
        <v>1</v>
      </c>
      <c r="BB1101" t="str">
        <f t="shared" si="53"/>
        <v xml:space="preserve">KAP400  </v>
      </c>
      <c r="BC1101">
        <v>1</v>
      </c>
      <c r="BE1101">
        <v>0</v>
      </c>
      <c r="BF1101">
        <v>0</v>
      </c>
      <c r="BG1101">
        <v>0</v>
      </c>
      <c r="BI1101">
        <v>1</v>
      </c>
      <c r="BJ1101">
        <v>1</v>
      </c>
      <c r="BK1101">
        <v>1</v>
      </c>
      <c r="BL1101">
        <v>0</v>
      </c>
      <c r="BO1101">
        <v>0</v>
      </c>
      <c r="BP1101">
        <v>0</v>
      </c>
      <c r="BW1101" t="str">
        <f>"19:22:49.424"</f>
        <v>19:22:49.424</v>
      </c>
      <c r="BX1101" t="s">
        <v>119</v>
      </c>
      <c r="BY1101" t="s">
        <v>120</v>
      </c>
      <c r="CJ1101">
        <v>0</v>
      </c>
      <c r="CK1101">
        <v>0</v>
      </c>
      <c r="CL1101">
        <v>0</v>
      </c>
      <c r="CM1101">
        <v>2</v>
      </c>
      <c r="CN1101">
        <v>0</v>
      </c>
      <c r="CO1101">
        <v>7</v>
      </c>
      <c r="CP1101" t="s">
        <v>121</v>
      </c>
      <c r="CQ1101">
        <v>581</v>
      </c>
      <c r="CR1101">
        <v>0</v>
      </c>
      <c r="CW1101">
        <v>16113419</v>
      </c>
      <c r="CY1101">
        <v>0</v>
      </c>
      <c r="CZ1101">
        <v>0</v>
      </c>
      <c r="DA1101">
        <v>0</v>
      </c>
      <c r="DB1101">
        <v>1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</row>
    <row r="1102" spans="1:113" x14ac:dyDescent="0.3">
      <c r="A1102" t="str">
        <f>"06/16/2022 19:22:50.697"</f>
        <v>06/16/2022 19:22:50.697</v>
      </c>
      <c r="C1102" t="str">
        <f t="shared" si="51"/>
        <v>FFBF5BC0</v>
      </c>
      <c r="D1102" t="s">
        <v>113</v>
      </c>
      <c r="E1102">
        <v>8</v>
      </c>
      <c r="H1102">
        <v>206</v>
      </c>
      <c r="I1102" t="s">
        <v>114</v>
      </c>
      <c r="J1102" t="s">
        <v>115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>"19:22:50.438"</f>
        <v>19:22:50.438</v>
      </c>
      <c r="T1102" t="str">
        <f>"19:22:50.438"</f>
        <v>19:22:50.438</v>
      </c>
      <c r="U1102" t="str">
        <f t="shared" si="52"/>
        <v>AB63B2</v>
      </c>
      <c r="V1102">
        <v>0</v>
      </c>
      <c r="W1102">
        <v>0</v>
      </c>
      <c r="X1102">
        <v>6</v>
      </c>
      <c r="Z1102">
        <v>0</v>
      </c>
      <c r="AA1102">
        <v>9</v>
      </c>
      <c r="AB1102">
        <v>3</v>
      </c>
      <c r="AC1102">
        <v>0</v>
      </c>
      <c r="AD1102">
        <v>10</v>
      </c>
      <c r="AE1102">
        <v>0</v>
      </c>
      <c r="AF1102">
        <v>0</v>
      </c>
      <c r="AG1102">
        <v>2</v>
      </c>
      <c r="AH1102">
        <v>0</v>
      </c>
      <c r="AI1102" t="s">
        <v>165</v>
      </c>
      <c r="AJ1102">
        <v>41.990046999999997</v>
      </c>
      <c r="AK1102" t="s">
        <v>1009</v>
      </c>
      <c r="AL1102">
        <v>-87.894552000000004</v>
      </c>
      <c r="AS1102">
        <v>1</v>
      </c>
      <c r="AT1102" t="s">
        <v>118</v>
      </c>
      <c r="AU1102" t="b">
        <v>1</v>
      </c>
      <c r="AV1102">
        <v>300.94</v>
      </c>
      <c r="AW1102">
        <v>14.625</v>
      </c>
      <c r="AX1102">
        <v>1</v>
      </c>
      <c r="AZ1102">
        <v>7205</v>
      </c>
      <c r="BA1102">
        <v>1</v>
      </c>
      <c r="BB1102" t="str">
        <f t="shared" si="53"/>
        <v xml:space="preserve">KAP400  </v>
      </c>
      <c r="BC1102">
        <v>1</v>
      </c>
      <c r="BE1102">
        <v>0</v>
      </c>
      <c r="BF1102">
        <v>0</v>
      </c>
      <c r="BG1102">
        <v>0</v>
      </c>
      <c r="BI1102">
        <v>1</v>
      </c>
      <c r="BJ1102">
        <v>1</v>
      </c>
      <c r="BK1102">
        <v>1</v>
      </c>
      <c r="BL1102">
        <v>0</v>
      </c>
      <c r="BO1102">
        <v>0</v>
      </c>
      <c r="BP1102">
        <v>0</v>
      </c>
      <c r="BW1102" t="str">
        <f>"19:22:50.441"</f>
        <v>19:22:50.441</v>
      </c>
      <c r="BX1102" t="s">
        <v>119</v>
      </c>
      <c r="BY1102" t="s">
        <v>120</v>
      </c>
      <c r="CJ1102">
        <v>0</v>
      </c>
      <c r="CK1102">
        <v>0</v>
      </c>
      <c r="CL1102">
        <v>0</v>
      </c>
      <c r="CM1102">
        <v>2</v>
      </c>
      <c r="CN1102">
        <v>0</v>
      </c>
      <c r="CO1102">
        <v>7</v>
      </c>
      <c r="CP1102" t="s">
        <v>121</v>
      </c>
      <c r="CQ1102">
        <v>582</v>
      </c>
      <c r="CR1102">
        <v>0</v>
      </c>
      <c r="CW1102">
        <v>6985545</v>
      </c>
      <c r="CY1102">
        <v>0</v>
      </c>
      <c r="CZ1102">
        <v>0</v>
      </c>
      <c r="DA1102">
        <v>0</v>
      </c>
      <c r="DB1102">
        <v>1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</row>
    <row r="1103" spans="1:113" x14ac:dyDescent="0.3">
      <c r="A1103" t="str">
        <f>"06/16/2022 19:22:51.603"</f>
        <v>06/16/2022 19:22:51.603</v>
      </c>
      <c r="C1103" t="str">
        <f t="shared" si="51"/>
        <v>FFBF5BC0</v>
      </c>
      <c r="D1103" t="s">
        <v>113</v>
      </c>
      <c r="E1103">
        <v>8</v>
      </c>
      <c r="H1103">
        <v>206</v>
      </c>
      <c r="I1103" t="s">
        <v>114</v>
      </c>
      <c r="J1103" t="s">
        <v>115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>"19:22:51.305"</f>
        <v>19:22:51.305</v>
      </c>
      <c r="T1103" t="str">
        <f>"19:22:51.305"</f>
        <v>19:22:51.305</v>
      </c>
      <c r="U1103" t="str">
        <f t="shared" si="52"/>
        <v>AB63B2</v>
      </c>
      <c r="V1103">
        <v>0</v>
      </c>
      <c r="W1103">
        <v>0</v>
      </c>
      <c r="X1103">
        <v>6</v>
      </c>
      <c r="Z1103">
        <v>0</v>
      </c>
      <c r="AA1103">
        <v>9</v>
      </c>
      <c r="AB1103">
        <v>3</v>
      </c>
      <c r="AC1103">
        <v>0</v>
      </c>
      <c r="AD1103">
        <v>10</v>
      </c>
      <c r="AE1103">
        <v>0</v>
      </c>
      <c r="AF1103">
        <v>0</v>
      </c>
      <c r="AG1103">
        <v>2</v>
      </c>
      <c r="AH1103">
        <v>0</v>
      </c>
      <c r="AI1103" t="s">
        <v>164</v>
      </c>
      <c r="AJ1103">
        <v>41.990068000000001</v>
      </c>
      <c r="AK1103" t="s">
        <v>687</v>
      </c>
      <c r="AL1103">
        <v>-87.894615999999999</v>
      </c>
      <c r="AS1103">
        <v>1</v>
      </c>
      <c r="AT1103" t="s">
        <v>118</v>
      </c>
      <c r="AU1103" t="b">
        <v>1</v>
      </c>
      <c r="AV1103">
        <v>309.38</v>
      </c>
      <c r="AW1103">
        <v>14.625</v>
      </c>
      <c r="AX1103">
        <v>1</v>
      </c>
      <c r="AZ1103">
        <v>7205</v>
      </c>
      <c r="BA1103">
        <v>1</v>
      </c>
      <c r="BB1103" t="str">
        <f t="shared" si="53"/>
        <v xml:space="preserve">KAP400  </v>
      </c>
      <c r="BC1103">
        <v>1</v>
      </c>
      <c r="BE1103">
        <v>0</v>
      </c>
      <c r="BF1103">
        <v>0</v>
      </c>
      <c r="BG1103">
        <v>0</v>
      </c>
      <c r="BI1103">
        <v>1</v>
      </c>
      <c r="BJ1103">
        <v>1</v>
      </c>
      <c r="BK1103">
        <v>1</v>
      </c>
      <c r="BL1103">
        <v>0</v>
      </c>
      <c r="BO1103">
        <v>0</v>
      </c>
      <c r="BP1103">
        <v>0</v>
      </c>
      <c r="BW1103" t="str">
        <f>"19:22:51.306"</f>
        <v>19:22:51.306</v>
      </c>
      <c r="BX1103" t="s">
        <v>119</v>
      </c>
      <c r="BY1103" t="s">
        <v>120</v>
      </c>
      <c r="CJ1103">
        <v>0</v>
      </c>
      <c r="CK1103">
        <v>0</v>
      </c>
      <c r="CL1103">
        <v>0</v>
      </c>
      <c r="CM1103">
        <v>2</v>
      </c>
      <c r="CN1103">
        <v>0</v>
      </c>
      <c r="CO1103">
        <v>7</v>
      </c>
      <c r="CP1103" t="s">
        <v>121</v>
      </c>
      <c r="CQ1103">
        <v>581</v>
      </c>
      <c r="CR1103">
        <v>0</v>
      </c>
      <c r="CW1103">
        <v>16115930</v>
      </c>
      <c r="CY1103">
        <v>0</v>
      </c>
      <c r="CZ1103">
        <v>0</v>
      </c>
      <c r="DA1103">
        <v>0</v>
      </c>
      <c r="DB1103">
        <v>1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</row>
    <row r="1104" spans="1:113" x14ac:dyDescent="0.3">
      <c r="A1104" t="str">
        <f>"06/16/2022 19:22:52.539"</f>
        <v>06/16/2022 19:22:52.539</v>
      </c>
      <c r="C1104" t="str">
        <f t="shared" ref="C1104:C1171" si="54">"FFBF5BC0"</f>
        <v>FFBF5BC0</v>
      </c>
      <c r="D1104" t="s">
        <v>113</v>
      </c>
      <c r="E1104">
        <v>8</v>
      </c>
      <c r="H1104">
        <v>206</v>
      </c>
      <c r="I1104" t="s">
        <v>114</v>
      </c>
      <c r="J1104" t="s">
        <v>115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>"19:22:52.273"</f>
        <v>19:22:52.273</v>
      </c>
      <c r="T1104" t="str">
        <f>"19:22:52.273"</f>
        <v>19:22:52.273</v>
      </c>
      <c r="U1104" t="str">
        <f t="shared" si="52"/>
        <v>AB63B2</v>
      </c>
      <c r="V1104">
        <v>0</v>
      </c>
      <c r="W1104">
        <v>0</v>
      </c>
      <c r="X1104">
        <v>6</v>
      </c>
      <c r="Z1104">
        <v>0</v>
      </c>
      <c r="AA1104">
        <v>9</v>
      </c>
      <c r="AB1104">
        <v>3</v>
      </c>
      <c r="AC1104">
        <v>0</v>
      </c>
      <c r="AD1104">
        <v>10</v>
      </c>
      <c r="AE1104">
        <v>0</v>
      </c>
      <c r="AF1104">
        <v>0</v>
      </c>
      <c r="AG1104">
        <v>2</v>
      </c>
      <c r="AH1104">
        <v>0</v>
      </c>
      <c r="AI1104" t="s">
        <v>1010</v>
      </c>
      <c r="AJ1104">
        <v>41.990110999999999</v>
      </c>
      <c r="AK1104" t="s">
        <v>1011</v>
      </c>
      <c r="AL1104">
        <v>-87.894681000000006</v>
      </c>
      <c r="AS1104">
        <v>1</v>
      </c>
      <c r="AT1104" t="s">
        <v>118</v>
      </c>
      <c r="AU1104" t="b">
        <v>1</v>
      </c>
      <c r="AV1104">
        <v>317.81</v>
      </c>
      <c r="AW1104">
        <v>15.125</v>
      </c>
      <c r="AX1104">
        <v>1</v>
      </c>
      <c r="AZ1104">
        <v>7205</v>
      </c>
      <c r="BA1104">
        <v>1</v>
      </c>
      <c r="BB1104" t="str">
        <f t="shared" si="53"/>
        <v xml:space="preserve">KAP400  </v>
      </c>
      <c r="BC1104">
        <v>1</v>
      </c>
      <c r="BE1104">
        <v>0</v>
      </c>
      <c r="BF1104">
        <v>0</v>
      </c>
      <c r="BG1104">
        <v>0</v>
      </c>
      <c r="BI1104">
        <v>1</v>
      </c>
      <c r="BJ1104">
        <v>1</v>
      </c>
      <c r="BK1104">
        <v>1</v>
      </c>
      <c r="BL1104">
        <v>0</v>
      </c>
      <c r="BO1104">
        <v>0</v>
      </c>
      <c r="BP1104">
        <v>0</v>
      </c>
      <c r="BW1104" t="str">
        <f>"19:22:52.280"</f>
        <v>19:22:52.280</v>
      </c>
      <c r="BX1104" t="s">
        <v>119</v>
      </c>
      <c r="BY1104" t="s">
        <v>120</v>
      </c>
      <c r="CJ1104">
        <v>0</v>
      </c>
      <c r="CK1104">
        <v>0</v>
      </c>
      <c r="CL1104">
        <v>0</v>
      </c>
      <c r="CM1104">
        <v>2</v>
      </c>
      <c r="CN1104">
        <v>0</v>
      </c>
      <c r="CO1104">
        <v>7</v>
      </c>
      <c r="CP1104" t="s">
        <v>121</v>
      </c>
      <c r="CQ1104">
        <v>582</v>
      </c>
      <c r="CR1104">
        <v>0</v>
      </c>
      <c r="CW1104">
        <v>6987657</v>
      </c>
      <c r="CY1104">
        <v>0</v>
      </c>
      <c r="CZ1104">
        <v>0</v>
      </c>
      <c r="DA1104">
        <v>0</v>
      </c>
      <c r="DB1104">
        <v>1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</row>
    <row r="1105" spans="1:113" x14ac:dyDescent="0.3">
      <c r="A1105" t="str">
        <f>"06/16/2022 19:22:53.727"</f>
        <v>06/16/2022 19:22:53.727</v>
      </c>
      <c r="C1105" t="str">
        <f t="shared" si="54"/>
        <v>FFBF5BC0</v>
      </c>
      <c r="D1105" t="s">
        <v>113</v>
      </c>
      <c r="E1105">
        <v>8</v>
      </c>
      <c r="H1105">
        <v>206</v>
      </c>
      <c r="I1105" t="s">
        <v>114</v>
      </c>
      <c r="J1105" t="s">
        <v>115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>"19:22:53.414"</f>
        <v>19:22:53.414</v>
      </c>
      <c r="T1105" t="str">
        <f>"19:22:53.414"</f>
        <v>19:22:53.414</v>
      </c>
      <c r="U1105" t="str">
        <f t="shared" si="52"/>
        <v>AB63B2</v>
      </c>
      <c r="V1105">
        <v>0</v>
      </c>
      <c r="W1105">
        <v>0</v>
      </c>
      <c r="X1105">
        <v>6</v>
      </c>
      <c r="Z1105">
        <v>0</v>
      </c>
      <c r="AA1105">
        <v>9</v>
      </c>
      <c r="AB1105">
        <v>3</v>
      </c>
      <c r="AC1105">
        <v>0</v>
      </c>
      <c r="AD1105">
        <v>10</v>
      </c>
      <c r="AE1105">
        <v>0</v>
      </c>
      <c r="AF1105">
        <v>0</v>
      </c>
      <c r="AG1105">
        <v>2</v>
      </c>
      <c r="AH1105">
        <v>0</v>
      </c>
      <c r="AI1105" t="s">
        <v>1012</v>
      </c>
      <c r="AJ1105">
        <v>41.990175000000001</v>
      </c>
      <c r="AK1105" t="s">
        <v>684</v>
      </c>
      <c r="AL1105">
        <v>-87.894745</v>
      </c>
      <c r="AS1105">
        <v>1</v>
      </c>
      <c r="AT1105" t="s">
        <v>118</v>
      </c>
      <c r="AU1105" t="b">
        <v>1</v>
      </c>
      <c r="AV1105">
        <v>326.25</v>
      </c>
      <c r="AW1105">
        <v>15.125</v>
      </c>
      <c r="AX1105">
        <v>1</v>
      </c>
      <c r="AZ1105">
        <v>7205</v>
      </c>
      <c r="BA1105">
        <v>1</v>
      </c>
      <c r="BB1105" t="str">
        <f t="shared" si="53"/>
        <v xml:space="preserve">KAP400  </v>
      </c>
      <c r="BC1105">
        <v>1</v>
      </c>
      <c r="BE1105">
        <v>0</v>
      </c>
      <c r="BF1105">
        <v>0</v>
      </c>
      <c r="BG1105">
        <v>0</v>
      </c>
      <c r="BI1105">
        <v>1</v>
      </c>
      <c r="BJ1105">
        <v>1</v>
      </c>
      <c r="BK1105">
        <v>1</v>
      </c>
      <c r="BL1105">
        <v>0</v>
      </c>
      <c r="BO1105">
        <v>0</v>
      </c>
      <c r="BP1105">
        <v>0</v>
      </c>
      <c r="BW1105" t="str">
        <f>"19:22:53.418"</f>
        <v>19:22:53.418</v>
      </c>
      <c r="BX1105" t="s">
        <v>119</v>
      </c>
      <c r="BY1105" t="s">
        <v>120</v>
      </c>
      <c r="CJ1105">
        <v>0</v>
      </c>
      <c r="CK1105">
        <v>0</v>
      </c>
      <c r="CL1105">
        <v>0</v>
      </c>
      <c r="CM1105">
        <v>2</v>
      </c>
      <c r="CN1105">
        <v>0</v>
      </c>
      <c r="CO1105">
        <v>7</v>
      </c>
      <c r="CP1105" t="s">
        <v>121</v>
      </c>
      <c r="CQ1105">
        <v>581</v>
      </c>
      <c r="CR1105">
        <v>0</v>
      </c>
      <c r="CW1105">
        <v>16118546</v>
      </c>
      <c r="CY1105">
        <v>0</v>
      </c>
      <c r="CZ1105">
        <v>0</v>
      </c>
      <c r="DA1105">
        <v>0</v>
      </c>
      <c r="DB1105">
        <v>1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</row>
    <row r="1106" spans="1:113" x14ac:dyDescent="0.3">
      <c r="A1106" t="str">
        <f>"06/16/2022 19:22:54.805"</f>
        <v>06/16/2022 19:22:54.805</v>
      </c>
      <c r="C1106" t="str">
        <f t="shared" si="54"/>
        <v>FFBF5BC0</v>
      </c>
      <c r="D1106" t="s">
        <v>113</v>
      </c>
      <c r="E1106">
        <v>8</v>
      </c>
      <c r="H1106">
        <v>206</v>
      </c>
      <c r="I1106" t="s">
        <v>114</v>
      </c>
      <c r="J1106" t="s">
        <v>115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>"19:22:54.539"</f>
        <v>19:22:54.539</v>
      </c>
      <c r="T1106" t="str">
        <f>"19:22:54.539"</f>
        <v>19:22:54.539</v>
      </c>
      <c r="U1106" t="str">
        <f t="shared" si="52"/>
        <v>AB63B2</v>
      </c>
      <c r="V1106">
        <v>0</v>
      </c>
      <c r="W1106">
        <v>0</v>
      </c>
      <c r="X1106">
        <v>6</v>
      </c>
      <c r="Z1106">
        <v>0</v>
      </c>
      <c r="AA1106">
        <v>9</v>
      </c>
      <c r="AB1106">
        <v>3</v>
      </c>
      <c r="AC1106">
        <v>0</v>
      </c>
      <c r="AD1106">
        <v>10</v>
      </c>
      <c r="AE1106">
        <v>0</v>
      </c>
      <c r="AF1106">
        <v>0</v>
      </c>
      <c r="AG1106">
        <v>2</v>
      </c>
      <c r="AH1106">
        <v>0</v>
      </c>
      <c r="AI1106" t="s">
        <v>1013</v>
      </c>
      <c r="AJ1106">
        <v>41.99024</v>
      </c>
      <c r="AK1106" t="s">
        <v>263</v>
      </c>
      <c r="AL1106">
        <v>-87.894788000000005</v>
      </c>
      <c r="AS1106">
        <v>1</v>
      </c>
      <c r="AT1106" t="s">
        <v>118</v>
      </c>
      <c r="AU1106" t="b">
        <v>1</v>
      </c>
      <c r="AV1106">
        <v>334.69</v>
      </c>
      <c r="AW1106">
        <v>16.125</v>
      </c>
      <c r="AX1106">
        <v>1</v>
      </c>
      <c r="AZ1106">
        <v>7205</v>
      </c>
      <c r="BA1106">
        <v>1</v>
      </c>
      <c r="BB1106" t="str">
        <f t="shared" si="53"/>
        <v xml:space="preserve">KAP400  </v>
      </c>
      <c r="BC1106">
        <v>1</v>
      </c>
      <c r="BE1106">
        <v>0</v>
      </c>
      <c r="BF1106">
        <v>0</v>
      </c>
      <c r="BG1106">
        <v>0</v>
      </c>
      <c r="BI1106">
        <v>1</v>
      </c>
      <c r="BJ1106">
        <v>1</v>
      </c>
      <c r="BK1106">
        <v>1</v>
      </c>
      <c r="BL1106">
        <v>0</v>
      </c>
      <c r="BO1106">
        <v>0</v>
      </c>
      <c r="BP1106">
        <v>0</v>
      </c>
      <c r="BW1106" t="str">
        <f>"19:22:54.544"</f>
        <v>19:22:54.544</v>
      </c>
      <c r="BX1106" t="s">
        <v>119</v>
      </c>
      <c r="BY1106" t="s">
        <v>120</v>
      </c>
      <c r="CJ1106">
        <v>0</v>
      </c>
      <c r="CK1106">
        <v>0</v>
      </c>
      <c r="CL1106">
        <v>0</v>
      </c>
      <c r="CM1106">
        <v>2</v>
      </c>
      <c r="CN1106">
        <v>0</v>
      </c>
      <c r="CO1106">
        <v>7</v>
      </c>
      <c r="CP1106" t="s">
        <v>121</v>
      </c>
      <c r="CQ1106">
        <v>579</v>
      </c>
      <c r="CR1106">
        <v>0</v>
      </c>
      <c r="CW1106">
        <v>2585552</v>
      </c>
      <c r="CY1106">
        <v>0</v>
      </c>
      <c r="CZ1106">
        <v>0</v>
      </c>
      <c r="DA1106">
        <v>0</v>
      </c>
      <c r="DB1106">
        <v>1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</row>
    <row r="1107" spans="1:113" x14ac:dyDescent="0.3">
      <c r="A1107" t="str">
        <f>"06/16/2022 19:22:55.805"</f>
        <v>06/16/2022 19:22:55.805</v>
      </c>
      <c r="C1107" t="str">
        <f t="shared" si="54"/>
        <v>FFBF5BC0</v>
      </c>
      <c r="D1107" t="s">
        <v>113</v>
      </c>
      <c r="E1107">
        <v>8</v>
      </c>
      <c r="H1107">
        <v>206</v>
      </c>
      <c r="I1107" t="s">
        <v>114</v>
      </c>
      <c r="J1107" t="s">
        <v>115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>"19:22:55.547"</f>
        <v>19:22:55.547</v>
      </c>
      <c r="T1107" t="str">
        <f>"19:22:55.547"</f>
        <v>19:22:55.547</v>
      </c>
      <c r="U1107" t="str">
        <f t="shared" si="52"/>
        <v>AB63B2</v>
      </c>
      <c r="V1107">
        <v>0</v>
      </c>
      <c r="W1107">
        <v>0</v>
      </c>
      <c r="X1107">
        <v>6</v>
      </c>
      <c r="Z1107">
        <v>0</v>
      </c>
      <c r="AA1107">
        <v>9</v>
      </c>
      <c r="AB1107">
        <v>3</v>
      </c>
      <c r="AC1107">
        <v>0</v>
      </c>
      <c r="AD1107">
        <v>10</v>
      </c>
      <c r="AE1107">
        <v>0</v>
      </c>
      <c r="AF1107">
        <v>0</v>
      </c>
      <c r="AG1107">
        <v>2</v>
      </c>
      <c r="AH1107">
        <v>0</v>
      </c>
      <c r="AI1107" t="s">
        <v>158</v>
      </c>
      <c r="AJ1107">
        <v>41.990304000000002</v>
      </c>
      <c r="AK1107" t="s">
        <v>125</v>
      </c>
      <c r="AL1107">
        <v>-87.894830999999996</v>
      </c>
      <c r="AS1107">
        <v>1</v>
      </c>
      <c r="AT1107" t="s">
        <v>118</v>
      </c>
      <c r="AU1107" t="b">
        <v>1</v>
      </c>
      <c r="AV1107">
        <v>343.13</v>
      </c>
      <c r="AW1107">
        <v>16.125</v>
      </c>
      <c r="AX1107">
        <v>1</v>
      </c>
      <c r="AZ1107">
        <v>7205</v>
      </c>
      <c r="BA1107">
        <v>1</v>
      </c>
      <c r="BB1107" t="str">
        <f t="shared" si="53"/>
        <v xml:space="preserve">KAP400  </v>
      </c>
      <c r="BC1107">
        <v>1</v>
      </c>
      <c r="BE1107">
        <v>0</v>
      </c>
      <c r="BF1107">
        <v>0</v>
      </c>
      <c r="BG1107">
        <v>0</v>
      </c>
      <c r="BI1107">
        <v>1</v>
      </c>
      <c r="BJ1107">
        <v>1</v>
      </c>
      <c r="BK1107">
        <v>1</v>
      </c>
      <c r="BL1107">
        <v>0</v>
      </c>
      <c r="BO1107">
        <v>0</v>
      </c>
      <c r="BP1107">
        <v>0</v>
      </c>
      <c r="BW1107" t="str">
        <f>"19:22:55.550"</f>
        <v>19:22:55.550</v>
      </c>
      <c r="BX1107" t="s">
        <v>119</v>
      </c>
      <c r="BY1107" t="s">
        <v>120</v>
      </c>
      <c r="CJ1107">
        <v>0</v>
      </c>
      <c r="CK1107">
        <v>0</v>
      </c>
      <c r="CL1107">
        <v>0</v>
      </c>
      <c r="CM1107">
        <v>2</v>
      </c>
      <c r="CN1107">
        <v>0</v>
      </c>
      <c r="CO1107">
        <v>7</v>
      </c>
      <c r="CP1107" t="s">
        <v>121</v>
      </c>
      <c r="CQ1107">
        <v>579</v>
      </c>
      <c r="CR1107">
        <v>0</v>
      </c>
      <c r="CW1107">
        <v>2587461</v>
      </c>
      <c r="CY1107">
        <v>0</v>
      </c>
      <c r="CZ1107">
        <v>0</v>
      </c>
      <c r="DA1107">
        <v>0</v>
      </c>
      <c r="DB1107">
        <v>1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</row>
    <row r="1108" spans="1:113" x14ac:dyDescent="0.3">
      <c r="A1108" t="str">
        <f>"06/16/2022 19:22:56.774"</f>
        <v>06/16/2022 19:22:56.774</v>
      </c>
      <c r="C1108" t="str">
        <f t="shared" si="54"/>
        <v>FFBF5BC0</v>
      </c>
      <c r="D1108" t="s">
        <v>113</v>
      </c>
      <c r="E1108">
        <v>8</v>
      </c>
      <c r="H1108">
        <v>206</v>
      </c>
      <c r="I1108" t="s">
        <v>114</v>
      </c>
      <c r="J1108" t="s">
        <v>115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>"19:22:56.547"</f>
        <v>19:22:56.547</v>
      </c>
      <c r="T1108" t="str">
        <f>"19:22:56.547"</f>
        <v>19:22:56.547</v>
      </c>
      <c r="U1108" t="str">
        <f t="shared" si="52"/>
        <v>AB63B2</v>
      </c>
      <c r="V1108">
        <v>0</v>
      </c>
      <c r="W1108">
        <v>0</v>
      </c>
      <c r="X1108">
        <v>6</v>
      </c>
      <c r="Z1108">
        <v>0</v>
      </c>
      <c r="AA1108">
        <v>9</v>
      </c>
      <c r="AB1108">
        <v>3</v>
      </c>
      <c r="AC1108">
        <v>0</v>
      </c>
      <c r="AD1108">
        <v>10</v>
      </c>
      <c r="AE1108">
        <v>0</v>
      </c>
      <c r="AF1108">
        <v>0</v>
      </c>
      <c r="AG1108">
        <v>2</v>
      </c>
      <c r="AH1108">
        <v>0</v>
      </c>
      <c r="AI1108" t="s">
        <v>156</v>
      </c>
      <c r="AJ1108">
        <v>41.990367999999997</v>
      </c>
      <c r="AK1108" t="s">
        <v>127</v>
      </c>
      <c r="AL1108">
        <v>-87.894852</v>
      </c>
      <c r="AS1108">
        <v>1</v>
      </c>
      <c r="AT1108" t="s">
        <v>118</v>
      </c>
      <c r="AU1108" t="b">
        <v>1</v>
      </c>
      <c r="AV1108">
        <v>348.75</v>
      </c>
      <c r="AW1108">
        <v>17.125</v>
      </c>
      <c r="AX1108">
        <v>1</v>
      </c>
      <c r="AZ1108">
        <v>7205</v>
      </c>
      <c r="BA1108">
        <v>1</v>
      </c>
      <c r="BB1108" t="str">
        <f t="shared" si="53"/>
        <v xml:space="preserve">KAP400  </v>
      </c>
      <c r="BC1108">
        <v>1</v>
      </c>
      <c r="BE1108">
        <v>0</v>
      </c>
      <c r="BF1108">
        <v>0</v>
      </c>
      <c r="BG1108">
        <v>0</v>
      </c>
      <c r="BI1108">
        <v>1</v>
      </c>
      <c r="BJ1108">
        <v>1</v>
      </c>
      <c r="BK1108">
        <v>1</v>
      </c>
      <c r="BL1108">
        <v>0</v>
      </c>
      <c r="BO1108">
        <v>0</v>
      </c>
      <c r="BP1108">
        <v>0</v>
      </c>
      <c r="BW1108" t="str">
        <f>"19:22:56.549"</f>
        <v>19:22:56.549</v>
      </c>
      <c r="BX1108" t="s">
        <v>119</v>
      </c>
      <c r="BY1108" t="s">
        <v>120</v>
      </c>
      <c r="CJ1108">
        <v>0</v>
      </c>
      <c r="CK1108">
        <v>0</v>
      </c>
      <c r="CL1108">
        <v>0</v>
      </c>
      <c r="CM1108">
        <v>2</v>
      </c>
      <c r="CN1108">
        <v>0</v>
      </c>
      <c r="CO1108">
        <v>7</v>
      </c>
      <c r="CP1108" t="s">
        <v>121</v>
      </c>
      <c r="CQ1108">
        <v>582</v>
      </c>
      <c r="CR1108">
        <v>0</v>
      </c>
      <c r="CW1108">
        <v>6992576</v>
      </c>
      <c r="CY1108">
        <v>0</v>
      </c>
      <c r="CZ1108">
        <v>0</v>
      </c>
      <c r="DA1108">
        <v>0</v>
      </c>
      <c r="DB1108">
        <v>1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</row>
    <row r="1109" spans="1:113" x14ac:dyDescent="0.3">
      <c r="A1109" t="str">
        <f>"06/16/2022 19:22:57.837"</f>
        <v>06/16/2022 19:22:57.837</v>
      </c>
      <c r="C1109" t="str">
        <f t="shared" si="54"/>
        <v>FFBF5BC0</v>
      </c>
      <c r="D1109" t="s">
        <v>113</v>
      </c>
      <c r="E1109">
        <v>8</v>
      </c>
      <c r="H1109">
        <v>206</v>
      </c>
      <c r="I1109" t="s">
        <v>114</v>
      </c>
      <c r="J1109" t="s">
        <v>115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>"19:22:57.617"</f>
        <v>19:22:57.617</v>
      </c>
      <c r="T1109" t="str">
        <f>"19:22:57.617"</f>
        <v>19:22:57.617</v>
      </c>
      <c r="U1109" t="str">
        <f t="shared" si="52"/>
        <v>AB63B2</v>
      </c>
      <c r="V1109">
        <v>0</v>
      </c>
      <c r="W1109">
        <v>0</v>
      </c>
      <c r="X1109">
        <v>6</v>
      </c>
      <c r="Z1109">
        <v>0</v>
      </c>
      <c r="AA1109">
        <v>9</v>
      </c>
      <c r="AB1109">
        <v>3</v>
      </c>
      <c r="AC1109">
        <v>0</v>
      </c>
      <c r="AD1109">
        <v>10</v>
      </c>
      <c r="AE1109">
        <v>0</v>
      </c>
      <c r="AF1109">
        <v>0</v>
      </c>
      <c r="AG1109">
        <v>2</v>
      </c>
      <c r="AH1109">
        <v>0</v>
      </c>
      <c r="AI1109" t="s">
        <v>154</v>
      </c>
      <c r="AJ1109">
        <v>41.990454</v>
      </c>
      <c r="AK1109" t="s">
        <v>129</v>
      </c>
      <c r="AL1109">
        <v>-87.894874000000002</v>
      </c>
      <c r="AS1109">
        <v>1</v>
      </c>
      <c r="AT1109" t="s">
        <v>118</v>
      </c>
      <c r="AU1109" t="b">
        <v>1</v>
      </c>
      <c r="AV1109">
        <v>351.56</v>
      </c>
      <c r="AW1109">
        <v>17.125</v>
      </c>
      <c r="AX1109">
        <v>1</v>
      </c>
      <c r="AZ1109">
        <v>7205</v>
      </c>
      <c r="BA1109">
        <v>1</v>
      </c>
      <c r="BB1109" t="str">
        <f t="shared" si="53"/>
        <v xml:space="preserve">KAP400  </v>
      </c>
      <c r="BC1109">
        <v>1</v>
      </c>
      <c r="BE1109">
        <v>0</v>
      </c>
      <c r="BF1109">
        <v>0</v>
      </c>
      <c r="BG1109">
        <v>0</v>
      </c>
      <c r="BI1109">
        <v>1</v>
      </c>
      <c r="BJ1109">
        <v>1</v>
      </c>
      <c r="BK1109">
        <v>1</v>
      </c>
      <c r="BL1109">
        <v>0</v>
      </c>
      <c r="BO1109">
        <v>0</v>
      </c>
      <c r="BP1109">
        <v>0</v>
      </c>
      <c r="BW1109" t="str">
        <f>"19:22:57.618"</f>
        <v>19:22:57.618</v>
      </c>
      <c r="BX1109" t="s">
        <v>119</v>
      </c>
      <c r="BY1109" t="s">
        <v>120</v>
      </c>
      <c r="CJ1109">
        <v>0</v>
      </c>
      <c r="CK1109">
        <v>0</v>
      </c>
      <c r="CL1109">
        <v>0</v>
      </c>
      <c r="CM1109">
        <v>2</v>
      </c>
      <c r="CN1109">
        <v>0</v>
      </c>
      <c r="CO1109">
        <v>7</v>
      </c>
      <c r="CP1109" t="s">
        <v>121</v>
      </c>
      <c r="CQ1109">
        <v>581</v>
      </c>
      <c r="CR1109">
        <v>0</v>
      </c>
      <c r="CW1109">
        <v>16123938</v>
      </c>
      <c r="CY1109">
        <v>0</v>
      </c>
      <c r="CZ1109">
        <v>0</v>
      </c>
      <c r="DA1109">
        <v>0</v>
      </c>
      <c r="DB1109">
        <v>1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</row>
    <row r="1110" spans="1:113" x14ac:dyDescent="0.3">
      <c r="A1110" t="str">
        <f>"06/16/2022 19:22:59.009"</f>
        <v>06/16/2022 19:22:59.009</v>
      </c>
      <c r="C1110" t="str">
        <f t="shared" si="54"/>
        <v>FFBF5BC0</v>
      </c>
      <c r="D1110" t="s">
        <v>113</v>
      </c>
      <c r="E1110">
        <v>8</v>
      </c>
      <c r="H1110">
        <v>206</v>
      </c>
      <c r="I1110" t="s">
        <v>114</v>
      </c>
      <c r="J1110" t="s">
        <v>115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>"19:22:58.758"</f>
        <v>19:22:58.758</v>
      </c>
      <c r="T1110" t="str">
        <f>"19:22:58.758"</f>
        <v>19:22:58.758</v>
      </c>
      <c r="U1110" t="str">
        <f t="shared" si="52"/>
        <v>AB63B2</v>
      </c>
      <c r="V1110">
        <v>0</v>
      </c>
      <c r="W1110">
        <v>0</v>
      </c>
      <c r="X1110">
        <v>6</v>
      </c>
      <c r="Z1110">
        <v>0</v>
      </c>
      <c r="AA1110">
        <v>9</v>
      </c>
      <c r="AB1110">
        <v>3</v>
      </c>
      <c r="AC1110">
        <v>0</v>
      </c>
      <c r="AD1110">
        <v>10</v>
      </c>
      <c r="AE1110">
        <v>0</v>
      </c>
      <c r="AF1110">
        <v>0</v>
      </c>
      <c r="AG1110">
        <v>2</v>
      </c>
      <c r="AH1110">
        <v>0</v>
      </c>
      <c r="AI1110" t="s">
        <v>1014</v>
      </c>
      <c r="AJ1110">
        <v>41.990540000000003</v>
      </c>
      <c r="AK1110" t="s">
        <v>131</v>
      </c>
      <c r="AL1110">
        <v>-87.894895000000005</v>
      </c>
      <c r="AS1110">
        <v>1</v>
      </c>
      <c r="AT1110" t="s">
        <v>118</v>
      </c>
      <c r="AU1110" t="b">
        <v>1</v>
      </c>
      <c r="AV1110">
        <v>351.56</v>
      </c>
      <c r="AW1110">
        <v>17.125</v>
      </c>
      <c r="AX1110">
        <v>1</v>
      </c>
      <c r="AZ1110">
        <v>7205</v>
      </c>
      <c r="BA1110">
        <v>1</v>
      </c>
      <c r="BB1110" t="str">
        <f t="shared" si="53"/>
        <v xml:space="preserve">KAP400  </v>
      </c>
      <c r="BC1110">
        <v>1</v>
      </c>
      <c r="BE1110">
        <v>0</v>
      </c>
      <c r="BF1110">
        <v>0</v>
      </c>
      <c r="BG1110">
        <v>0</v>
      </c>
      <c r="BI1110">
        <v>1</v>
      </c>
      <c r="BJ1110">
        <v>1</v>
      </c>
      <c r="BK1110">
        <v>1</v>
      </c>
      <c r="BL1110">
        <v>0</v>
      </c>
      <c r="BO1110">
        <v>0</v>
      </c>
      <c r="BP1110">
        <v>0</v>
      </c>
      <c r="BW1110" t="str">
        <f>"19:22:58.759"</f>
        <v>19:22:58.759</v>
      </c>
      <c r="BX1110" t="s">
        <v>119</v>
      </c>
      <c r="BY1110" t="s">
        <v>120</v>
      </c>
      <c r="CJ1110">
        <v>0</v>
      </c>
      <c r="CK1110">
        <v>0</v>
      </c>
      <c r="CL1110">
        <v>0</v>
      </c>
      <c r="CM1110">
        <v>2</v>
      </c>
      <c r="CN1110">
        <v>0</v>
      </c>
      <c r="CO1110">
        <v>7</v>
      </c>
      <c r="CP1110" t="s">
        <v>121</v>
      </c>
      <c r="CQ1110">
        <v>582</v>
      </c>
      <c r="CR1110">
        <v>0</v>
      </c>
      <c r="CW1110">
        <v>6995105</v>
      </c>
      <c r="CY1110">
        <v>0</v>
      </c>
      <c r="CZ1110">
        <v>0</v>
      </c>
      <c r="DA1110">
        <v>0</v>
      </c>
      <c r="DB1110">
        <v>1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</row>
    <row r="1111" spans="1:113" x14ac:dyDescent="0.3">
      <c r="A1111" t="str">
        <f>"06/16/2022 19:23:00.040"</f>
        <v>06/16/2022 19:23:00.040</v>
      </c>
      <c r="C1111" t="str">
        <f t="shared" si="54"/>
        <v>FFBF5BC0</v>
      </c>
      <c r="D1111" t="s">
        <v>113</v>
      </c>
      <c r="E1111">
        <v>8</v>
      </c>
      <c r="H1111">
        <v>206</v>
      </c>
      <c r="I1111" t="s">
        <v>114</v>
      </c>
      <c r="J1111" t="s">
        <v>115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>"19:22:59.828"</f>
        <v>19:22:59.828</v>
      </c>
      <c r="T1111" t="str">
        <f>"19:22:59.828"</f>
        <v>19:22:59.828</v>
      </c>
      <c r="U1111" t="str">
        <f t="shared" si="52"/>
        <v>AB63B2</v>
      </c>
      <c r="V1111">
        <v>0</v>
      </c>
      <c r="W1111">
        <v>0</v>
      </c>
      <c r="X1111">
        <v>6</v>
      </c>
      <c r="Z1111">
        <v>0</v>
      </c>
      <c r="AA1111">
        <v>9</v>
      </c>
      <c r="AB1111">
        <v>3</v>
      </c>
      <c r="AC1111">
        <v>0</v>
      </c>
      <c r="AD1111">
        <v>10</v>
      </c>
      <c r="AE1111">
        <v>0</v>
      </c>
      <c r="AF1111">
        <v>0</v>
      </c>
      <c r="AG1111">
        <v>2</v>
      </c>
      <c r="AH1111">
        <v>0</v>
      </c>
      <c r="AI1111" t="s">
        <v>150</v>
      </c>
      <c r="AJ1111">
        <v>41.990625999999999</v>
      </c>
      <c r="AK1111" t="s">
        <v>131</v>
      </c>
      <c r="AL1111">
        <v>-87.894895000000005</v>
      </c>
      <c r="AS1111">
        <v>1</v>
      </c>
      <c r="AT1111" t="s">
        <v>118</v>
      </c>
      <c r="AU1111" t="b">
        <v>1</v>
      </c>
      <c r="AV1111">
        <v>354.38</v>
      </c>
      <c r="AW1111">
        <v>17.125</v>
      </c>
      <c r="AX1111">
        <v>1</v>
      </c>
      <c r="AZ1111">
        <v>7205</v>
      </c>
      <c r="BA1111">
        <v>1</v>
      </c>
      <c r="BB1111" t="str">
        <f t="shared" si="53"/>
        <v xml:space="preserve">KAP400  </v>
      </c>
      <c r="BC1111">
        <v>1</v>
      </c>
      <c r="BE1111">
        <v>0</v>
      </c>
      <c r="BF1111">
        <v>0</v>
      </c>
      <c r="BG1111">
        <v>0</v>
      </c>
      <c r="BI1111">
        <v>1</v>
      </c>
      <c r="BJ1111">
        <v>1</v>
      </c>
      <c r="BK1111">
        <v>1</v>
      </c>
      <c r="BL1111">
        <v>0</v>
      </c>
      <c r="BO1111">
        <v>0</v>
      </c>
      <c r="BP1111">
        <v>0</v>
      </c>
      <c r="BW1111" t="str">
        <f>"19:22:59.833"</f>
        <v>19:22:59.833</v>
      </c>
      <c r="BX1111" t="s">
        <v>119</v>
      </c>
      <c r="BY1111" t="s">
        <v>120</v>
      </c>
      <c r="CJ1111">
        <v>0</v>
      </c>
      <c r="CK1111">
        <v>0</v>
      </c>
      <c r="CL1111">
        <v>0</v>
      </c>
      <c r="CM1111">
        <v>2</v>
      </c>
      <c r="CN1111">
        <v>0</v>
      </c>
      <c r="CO1111">
        <v>7</v>
      </c>
      <c r="CP1111" t="s">
        <v>121</v>
      </c>
      <c r="CQ1111">
        <v>582</v>
      </c>
      <c r="CR1111">
        <v>0</v>
      </c>
      <c r="CW1111">
        <v>6996427</v>
      </c>
      <c r="CY1111">
        <v>0</v>
      </c>
      <c r="CZ1111">
        <v>0</v>
      </c>
      <c r="DA1111">
        <v>0</v>
      </c>
      <c r="DB1111">
        <v>1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</row>
    <row r="1112" spans="1:113" x14ac:dyDescent="0.3">
      <c r="A1112" t="str">
        <f>"06/16/2022 19:23:02.024"</f>
        <v>06/16/2022 19:23:02.024</v>
      </c>
      <c r="C1112" t="str">
        <f t="shared" si="54"/>
        <v>FFBF5BC0</v>
      </c>
      <c r="D1112" t="s">
        <v>113</v>
      </c>
      <c r="E1112">
        <v>8</v>
      </c>
      <c r="H1112">
        <v>206</v>
      </c>
      <c r="I1112" t="s">
        <v>114</v>
      </c>
      <c r="J1112" t="s">
        <v>115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>"19:23:01.828"</f>
        <v>19:23:01.828</v>
      </c>
      <c r="T1112" t="str">
        <f>"19:23:01.828"</f>
        <v>19:23:01.828</v>
      </c>
      <c r="U1112" t="str">
        <f t="shared" si="52"/>
        <v>AB63B2</v>
      </c>
      <c r="V1112">
        <v>0</v>
      </c>
      <c r="W1112">
        <v>0</v>
      </c>
      <c r="X1112">
        <v>6</v>
      </c>
      <c r="Z1112">
        <v>0</v>
      </c>
      <c r="AA1112">
        <v>9</v>
      </c>
      <c r="AB1112">
        <v>3</v>
      </c>
      <c r="AC1112">
        <v>0</v>
      </c>
      <c r="AD1112">
        <v>10</v>
      </c>
      <c r="AE1112">
        <v>0</v>
      </c>
      <c r="AF1112">
        <v>0</v>
      </c>
      <c r="AG1112">
        <v>2</v>
      </c>
      <c r="AH1112">
        <v>0</v>
      </c>
      <c r="AI1112" t="s">
        <v>147</v>
      </c>
      <c r="AJ1112">
        <v>41.990775999999997</v>
      </c>
      <c r="AK1112" t="s">
        <v>136</v>
      </c>
      <c r="AL1112">
        <v>-87.894917000000007</v>
      </c>
      <c r="AS1112">
        <v>1</v>
      </c>
      <c r="AT1112" t="s">
        <v>118</v>
      </c>
      <c r="AU1112" t="b">
        <v>1</v>
      </c>
      <c r="AV1112">
        <v>357.19</v>
      </c>
      <c r="AW1112">
        <v>17.125</v>
      </c>
      <c r="AX1112">
        <v>1</v>
      </c>
      <c r="AZ1112">
        <v>7205</v>
      </c>
      <c r="BA1112">
        <v>1</v>
      </c>
      <c r="BB1112" t="str">
        <f t="shared" si="53"/>
        <v xml:space="preserve">KAP400  </v>
      </c>
      <c r="BC1112">
        <v>1</v>
      </c>
      <c r="BE1112">
        <v>0</v>
      </c>
      <c r="BF1112">
        <v>0</v>
      </c>
      <c r="BG1112">
        <v>0</v>
      </c>
      <c r="BI1112">
        <v>1</v>
      </c>
      <c r="BJ1112">
        <v>1</v>
      </c>
      <c r="BK1112">
        <v>1</v>
      </c>
      <c r="BL1112">
        <v>0</v>
      </c>
      <c r="BO1112">
        <v>0</v>
      </c>
      <c r="BP1112">
        <v>0</v>
      </c>
      <c r="BW1112" t="str">
        <f>"19:23:01.832"</f>
        <v>19:23:01.832</v>
      </c>
      <c r="BX1112" t="s">
        <v>119</v>
      </c>
      <c r="BY1112" t="s">
        <v>120</v>
      </c>
      <c r="CJ1112">
        <v>0</v>
      </c>
      <c r="CK1112">
        <v>0</v>
      </c>
      <c r="CL1112">
        <v>0</v>
      </c>
      <c r="CM1112">
        <v>2</v>
      </c>
      <c r="CN1112">
        <v>0</v>
      </c>
      <c r="CO1112">
        <v>6</v>
      </c>
      <c r="CP1112" t="s">
        <v>121</v>
      </c>
      <c r="CQ1112">
        <v>579</v>
      </c>
      <c r="CR1112">
        <v>0</v>
      </c>
      <c r="CW1112">
        <v>2599024</v>
      </c>
      <c r="CY1112">
        <v>0</v>
      </c>
      <c r="CZ1112">
        <v>0</v>
      </c>
      <c r="DA1112">
        <v>0</v>
      </c>
      <c r="DB1112">
        <v>1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</row>
    <row r="1113" spans="1:113" x14ac:dyDescent="0.3">
      <c r="A1113" t="str">
        <f>"06/16/2022 19:23:03.071"</f>
        <v>06/16/2022 19:23:03.071</v>
      </c>
      <c r="C1113" t="str">
        <f t="shared" si="54"/>
        <v>FFBF5BC0</v>
      </c>
      <c r="D1113" t="s">
        <v>113</v>
      </c>
      <c r="E1113">
        <v>8</v>
      </c>
      <c r="H1113">
        <v>206</v>
      </c>
      <c r="I1113" t="s">
        <v>114</v>
      </c>
      <c r="J1113" t="s">
        <v>115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>"19:23:02.852"</f>
        <v>19:23:02.852</v>
      </c>
      <c r="T1113" t="str">
        <f>"19:23:02.852"</f>
        <v>19:23:02.852</v>
      </c>
      <c r="U1113" t="str">
        <f t="shared" si="52"/>
        <v>AB63B2</v>
      </c>
      <c r="V1113">
        <v>0</v>
      </c>
      <c r="W1113">
        <v>0</v>
      </c>
      <c r="X1113">
        <v>6</v>
      </c>
      <c r="Z1113">
        <v>0</v>
      </c>
      <c r="AA1113">
        <v>9</v>
      </c>
      <c r="AB1113">
        <v>3</v>
      </c>
      <c r="AC1113">
        <v>0</v>
      </c>
      <c r="AD1113">
        <v>10</v>
      </c>
      <c r="AE1113">
        <v>0</v>
      </c>
      <c r="AF1113">
        <v>0</v>
      </c>
      <c r="AG1113">
        <v>2</v>
      </c>
      <c r="AH1113">
        <v>0</v>
      </c>
      <c r="AI1113" t="s">
        <v>145</v>
      </c>
      <c r="AJ1113">
        <v>41.990862</v>
      </c>
      <c r="AK1113" t="s">
        <v>136</v>
      </c>
      <c r="AL1113">
        <v>-87.894917000000007</v>
      </c>
      <c r="AS1113">
        <v>1</v>
      </c>
      <c r="AT1113" t="s">
        <v>118</v>
      </c>
      <c r="AU1113" t="b">
        <v>1</v>
      </c>
      <c r="AV1113">
        <v>357.19</v>
      </c>
      <c r="AW1113">
        <v>17.125</v>
      </c>
      <c r="AX1113">
        <v>1</v>
      </c>
      <c r="AZ1113">
        <v>7205</v>
      </c>
      <c r="BA1113">
        <v>1</v>
      </c>
      <c r="BB1113" t="str">
        <f t="shared" si="53"/>
        <v xml:space="preserve">KAP400  </v>
      </c>
      <c r="BC1113">
        <v>1</v>
      </c>
      <c r="BE1113">
        <v>0</v>
      </c>
      <c r="BF1113">
        <v>0</v>
      </c>
      <c r="BG1113">
        <v>0</v>
      </c>
      <c r="BI1113">
        <v>1</v>
      </c>
      <c r="BJ1113">
        <v>1</v>
      </c>
      <c r="BK1113">
        <v>1</v>
      </c>
      <c r="BL1113">
        <v>0</v>
      </c>
      <c r="BO1113">
        <v>0</v>
      </c>
      <c r="BP1113">
        <v>0</v>
      </c>
      <c r="BW1113" t="str">
        <f>"19:23:02.854"</f>
        <v>19:23:02.854</v>
      </c>
      <c r="BX1113" t="s">
        <v>119</v>
      </c>
      <c r="BY1113" t="s">
        <v>120</v>
      </c>
      <c r="CJ1113">
        <v>0</v>
      </c>
      <c r="CK1113">
        <v>0</v>
      </c>
      <c r="CL1113">
        <v>0</v>
      </c>
      <c r="CM1113">
        <v>2</v>
      </c>
      <c r="CN1113">
        <v>0</v>
      </c>
      <c r="CO1113">
        <v>7</v>
      </c>
      <c r="CP1113" t="s">
        <v>121</v>
      </c>
      <c r="CQ1113">
        <v>579</v>
      </c>
      <c r="CR1113">
        <v>0</v>
      </c>
      <c r="CW1113">
        <v>2600870</v>
      </c>
      <c r="CY1113">
        <v>0</v>
      </c>
      <c r="CZ1113">
        <v>0</v>
      </c>
      <c r="DA1113">
        <v>0</v>
      </c>
      <c r="DB1113">
        <v>1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</row>
    <row r="1114" spans="1:113" x14ac:dyDescent="0.3">
      <c r="A1114" t="str">
        <f>"06/16/2022 19:23:04.071"</f>
        <v>06/16/2022 19:23:04.071</v>
      </c>
      <c r="C1114" t="str">
        <f t="shared" si="54"/>
        <v>FFBF5BC0</v>
      </c>
      <c r="D1114" t="s">
        <v>113</v>
      </c>
      <c r="E1114">
        <v>8</v>
      </c>
      <c r="H1114">
        <v>206</v>
      </c>
      <c r="I1114" t="s">
        <v>114</v>
      </c>
      <c r="J1114" t="s">
        <v>115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>"19:23:03.836"</f>
        <v>19:23:03.836</v>
      </c>
      <c r="T1114" t="str">
        <f>"19:23:03.836"</f>
        <v>19:23:03.836</v>
      </c>
      <c r="U1114" t="str">
        <f t="shared" si="52"/>
        <v>AB63B2</v>
      </c>
      <c r="V1114">
        <v>0</v>
      </c>
      <c r="W1114">
        <v>0</v>
      </c>
      <c r="X1114">
        <v>6</v>
      </c>
      <c r="Z1114">
        <v>0</v>
      </c>
      <c r="AA1114">
        <v>9</v>
      </c>
      <c r="AB1114">
        <v>3</v>
      </c>
      <c r="AC1114">
        <v>0</v>
      </c>
      <c r="AD1114">
        <v>10</v>
      </c>
      <c r="AE1114">
        <v>0</v>
      </c>
      <c r="AF1114">
        <v>0</v>
      </c>
      <c r="AG1114">
        <v>2</v>
      </c>
      <c r="AH1114">
        <v>0</v>
      </c>
      <c r="AI1114" t="s">
        <v>1015</v>
      </c>
      <c r="AJ1114">
        <v>41.990926000000002</v>
      </c>
      <c r="AK1114" t="s">
        <v>136</v>
      </c>
      <c r="AL1114">
        <v>-87.894917000000007</v>
      </c>
      <c r="AS1114">
        <v>1</v>
      </c>
      <c r="AT1114" t="s">
        <v>118</v>
      </c>
      <c r="AU1114" t="b">
        <v>1</v>
      </c>
      <c r="AV1114">
        <v>0</v>
      </c>
      <c r="AW1114">
        <v>16.125</v>
      </c>
      <c r="AX1114">
        <v>1</v>
      </c>
      <c r="AZ1114">
        <v>7205</v>
      </c>
      <c r="BA1114">
        <v>1</v>
      </c>
      <c r="BB1114" t="str">
        <f t="shared" si="53"/>
        <v xml:space="preserve">KAP400  </v>
      </c>
      <c r="BC1114">
        <v>1</v>
      </c>
      <c r="BE1114">
        <v>0</v>
      </c>
      <c r="BF1114">
        <v>0</v>
      </c>
      <c r="BG1114">
        <v>0</v>
      </c>
      <c r="BI1114">
        <v>1</v>
      </c>
      <c r="BJ1114">
        <v>1</v>
      </c>
      <c r="BK1114">
        <v>1</v>
      </c>
      <c r="BL1114">
        <v>0</v>
      </c>
      <c r="BO1114">
        <v>0</v>
      </c>
      <c r="BP1114">
        <v>0</v>
      </c>
      <c r="BW1114" t="str">
        <f>"19:23:03.839"</f>
        <v>19:23:03.839</v>
      </c>
      <c r="BX1114" t="s">
        <v>119</v>
      </c>
      <c r="BY1114" t="s">
        <v>120</v>
      </c>
      <c r="CJ1114">
        <v>0</v>
      </c>
      <c r="CK1114">
        <v>0</v>
      </c>
      <c r="CL1114">
        <v>0</v>
      </c>
      <c r="CM1114">
        <v>2</v>
      </c>
      <c r="CN1114">
        <v>0</v>
      </c>
      <c r="CO1114">
        <v>7</v>
      </c>
      <c r="CP1114" t="s">
        <v>121</v>
      </c>
      <c r="CQ1114">
        <v>579</v>
      </c>
      <c r="CR1114">
        <v>0</v>
      </c>
      <c r="CW1114">
        <v>2602710</v>
      </c>
      <c r="CY1114">
        <v>0</v>
      </c>
      <c r="CZ1114">
        <v>0</v>
      </c>
      <c r="DA1114">
        <v>0</v>
      </c>
      <c r="DB1114">
        <v>1</v>
      </c>
      <c r="DC1114">
        <v>0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0</v>
      </c>
    </row>
    <row r="1115" spans="1:113" x14ac:dyDescent="0.3">
      <c r="A1115" t="str">
        <f>"06/16/2022 19:23:05.040"</f>
        <v>06/16/2022 19:23:05.040</v>
      </c>
      <c r="C1115" t="str">
        <f t="shared" si="54"/>
        <v>FFBF5BC0</v>
      </c>
      <c r="D1115" t="s">
        <v>113</v>
      </c>
      <c r="E1115">
        <v>8</v>
      </c>
      <c r="H1115">
        <v>206</v>
      </c>
      <c r="I1115" t="s">
        <v>114</v>
      </c>
      <c r="J1115" t="s">
        <v>115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>"19:23:04.859"</f>
        <v>19:23:04.859</v>
      </c>
      <c r="T1115" t="str">
        <f>"19:23:04.859"</f>
        <v>19:23:04.859</v>
      </c>
      <c r="U1115" t="str">
        <f t="shared" si="52"/>
        <v>AB63B2</v>
      </c>
      <c r="V1115">
        <v>0</v>
      </c>
      <c r="W1115">
        <v>0</v>
      </c>
      <c r="X1115">
        <v>6</v>
      </c>
      <c r="Z1115">
        <v>0</v>
      </c>
      <c r="AA1115">
        <v>9</v>
      </c>
      <c r="AB1115">
        <v>3</v>
      </c>
      <c r="AC1115">
        <v>0</v>
      </c>
      <c r="AD1115">
        <v>10</v>
      </c>
      <c r="AE1115">
        <v>0</v>
      </c>
      <c r="AF1115">
        <v>0</v>
      </c>
      <c r="AG1115">
        <v>2</v>
      </c>
      <c r="AH1115">
        <v>0</v>
      </c>
      <c r="AI1115" t="s">
        <v>140</v>
      </c>
      <c r="AJ1115">
        <v>41.991011999999998</v>
      </c>
      <c r="AK1115" t="s">
        <v>136</v>
      </c>
      <c r="AL1115">
        <v>-87.894917000000007</v>
      </c>
      <c r="AS1115">
        <v>1</v>
      </c>
      <c r="AT1115" t="s">
        <v>118</v>
      </c>
      <c r="AU1115" t="b">
        <v>1</v>
      </c>
      <c r="AV1115">
        <v>0</v>
      </c>
      <c r="AW1115">
        <v>15.125</v>
      </c>
      <c r="AX1115">
        <v>1</v>
      </c>
      <c r="AZ1115">
        <v>7205</v>
      </c>
      <c r="BA1115">
        <v>1</v>
      </c>
      <c r="BB1115" t="str">
        <f t="shared" si="53"/>
        <v xml:space="preserve">KAP400  </v>
      </c>
      <c r="BC1115">
        <v>1</v>
      </c>
      <c r="BE1115">
        <v>0</v>
      </c>
      <c r="BF1115">
        <v>0</v>
      </c>
      <c r="BG1115">
        <v>0</v>
      </c>
      <c r="BI1115">
        <v>1</v>
      </c>
      <c r="BJ1115">
        <v>1</v>
      </c>
      <c r="BK1115">
        <v>1</v>
      </c>
      <c r="BL1115">
        <v>0</v>
      </c>
      <c r="BO1115">
        <v>0</v>
      </c>
      <c r="BP1115">
        <v>0</v>
      </c>
      <c r="BW1115" t="str">
        <f>"19:23:04.863"</f>
        <v>19:23:04.863</v>
      </c>
      <c r="BX1115" t="s">
        <v>119</v>
      </c>
      <c r="BY1115" t="s">
        <v>120</v>
      </c>
      <c r="CJ1115">
        <v>0</v>
      </c>
      <c r="CK1115">
        <v>0</v>
      </c>
      <c r="CL1115">
        <v>0</v>
      </c>
      <c r="CM1115">
        <v>2</v>
      </c>
      <c r="CN1115">
        <v>0</v>
      </c>
      <c r="CO1115">
        <v>6</v>
      </c>
      <c r="CP1115" t="s">
        <v>121</v>
      </c>
      <c r="CQ1115">
        <v>582</v>
      </c>
      <c r="CR1115">
        <v>0</v>
      </c>
      <c r="CW1115">
        <v>7002211</v>
      </c>
      <c r="CY1115">
        <v>0</v>
      </c>
      <c r="CZ1115">
        <v>0</v>
      </c>
      <c r="DA1115">
        <v>0</v>
      </c>
      <c r="DB1115">
        <v>1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</row>
    <row r="1116" spans="1:113" x14ac:dyDescent="0.3">
      <c r="A1116" t="str">
        <f>"06/16/2022 19:23:06.118"</f>
        <v>06/16/2022 19:23:06.118</v>
      </c>
      <c r="C1116" t="str">
        <f t="shared" si="54"/>
        <v>FFBF5BC0</v>
      </c>
      <c r="D1116" t="s">
        <v>113</v>
      </c>
      <c r="E1116">
        <v>8</v>
      </c>
      <c r="H1116">
        <v>206</v>
      </c>
      <c r="I1116" t="s">
        <v>114</v>
      </c>
      <c r="J1116" t="s">
        <v>115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>"19:23:05.883"</f>
        <v>19:23:05.883</v>
      </c>
      <c r="T1116" t="str">
        <f>"19:23:05.883"</f>
        <v>19:23:05.883</v>
      </c>
      <c r="U1116" t="str">
        <f t="shared" si="52"/>
        <v>AB63B2</v>
      </c>
      <c r="V1116">
        <v>0</v>
      </c>
      <c r="W1116">
        <v>0</v>
      </c>
      <c r="X1116">
        <v>6</v>
      </c>
      <c r="Z1116">
        <v>0</v>
      </c>
      <c r="AA1116">
        <v>9</v>
      </c>
      <c r="AB1116">
        <v>3</v>
      </c>
      <c r="AC1116">
        <v>0</v>
      </c>
      <c r="AD1116">
        <v>10</v>
      </c>
      <c r="AE1116">
        <v>0</v>
      </c>
      <c r="AF1116">
        <v>0</v>
      </c>
      <c r="AG1116">
        <v>2</v>
      </c>
      <c r="AH1116">
        <v>0</v>
      </c>
      <c r="AI1116" t="s">
        <v>1016</v>
      </c>
      <c r="AJ1116">
        <v>41.991076</v>
      </c>
      <c r="AK1116" t="s">
        <v>141</v>
      </c>
      <c r="AL1116">
        <v>-87.894937999999996</v>
      </c>
      <c r="AS1116">
        <v>1</v>
      </c>
      <c r="AT1116" t="s">
        <v>118</v>
      </c>
      <c r="AU1116" t="b">
        <v>1</v>
      </c>
      <c r="AV1116">
        <v>0</v>
      </c>
      <c r="AW1116">
        <v>14.625</v>
      </c>
      <c r="AX1116">
        <v>1</v>
      </c>
      <c r="AZ1116">
        <v>7205</v>
      </c>
      <c r="BA1116">
        <v>1</v>
      </c>
      <c r="BB1116" t="str">
        <f t="shared" si="53"/>
        <v xml:space="preserve">KAP400  </v>
      </c>
      <c r="BC1116">
        <v>1</v>
      </c>
      <c r="BE1116">
        <v>0</v>
      </c>
      <c r="BF1116">
        <v>0</v>
      </c>
      <c r="BG1116">
        <v>0</v>
      </c>
      <c r="BI1116">
        <v>1</v>
      </c>
      <c r="BJ1116">
        <v>1</v>
      </c>
      <c r="BK1116">
        <v>1</v>
      </c>
      <c r="BL1116">
        <v>0</v>
      </c>
      <c r="BO1116">
        <v>0</v>
      </c>
      <c r="BP1116">
        <v>0</v>
      </c>
      <c r="BW1116" t="str">
        <f>"19:23:05.890"</f>
        <v>19:23:05.890</v>
      </c>
      <c r="BX1116" t="s">
        <v>119</v>
      </c>
      <c r="BY1116" t="s">
        <v>120</v>
      </c>
      <c r="CJ1116">
        <v>0</v>
      </c>
      <c r="CK1116">
        <v>0</v>
      </c>
      <c r="CL1116">
        <v>0</v>
      </c>
      <c r="CM1116">
        <v>2</v>
      </c>
      <c r="CN1116">
        <v>0</v>
      </c>
      <c r="CO1116">
        <v>6</v>
      </c>
      <c r="CP1116" t="s">
        <v>121</v>
      </c>
      <c r="CQ1116">
        <v>582</v>
      </c>
      <c r="CR1116">
        <v>0</v>
      </c>
      <c r="CW1116">
        <v>7003315</v>
      </c>
      <c r="CY1116">
        <v>0</v>
      </c>
      <c r="CZ1116">
        <v>0</v>
      </c>
      <c r="DA1116">
        <v>0</v>
      </c>
      <c r="DB1116">
        <v>1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</row>
    <row r="1117" spans="1:113" x14ac:dyDescent="0.3">
      <c r="A1117" t="str">
        <f>"06/16/2022 19:23:07.118"</f>
        <v>06/16/2022 19:23:07.118</v>
      </c>
      <c r="C1117" t="str">
        <f t="shared" si="54"/>
        <v>FFBF5BC0</v>
      </c>
      <c r="D1117" t="s">
        <v>113</v>
      </c>
      <c r="E1117">
        <v>8</v>
      </c>
      <c r="H1117">
        <v>206</v>
      </c>
      <c r="I1117" t="s">
        <v>114</v>
      </c>
      <c r="J1117" t="s">
        <v>115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>"19:23:06.891"</f>
        <v>19:23:06.891</v>
      </c>
      <c r="T1117" t="str">
        <f>"19:23:06.891"</f>
        <v>19:23:06.891</v>
      </c>
      <c r="U1117" t="str">
        <f t="shared" si="52"/>
        <v>AB63B2</v>
      </c>
      <c r="V1117">
        <v>0</v>
      </c>
      <c r="W1117">
        <v>0</v>
      </c>
      <c r="X1117">
        <v>6</v>
      </c>
      <c r="Z1117">
        <v>0</v>
      </c>
      <c r="AA1117">
        <v>9</v>
      </c>
      <c r="AB1117">
        <v>3</v>
      </c>
      <c r="AC1117">
        <v>0</v>
      </c>
      <c r="AD1117">
        <v>10</v>
      </c>
      <c r="AE1117">
        <v>0</v>
      </c>
      <c r="AF1117">
        <v>0</v>
      </c>
      <c r="AG1117">
        <v>2</v>
      </c>
      <c r="AH1117">
        <v>0</v>
      </c>
      <c r="AI1117" t="s">
        <v>138</v>
      </c>
      <c r="AJ1117">
        <v>41.991140999999999</v>
      </c>
      <c r="AK1117" t="s">
        <v>136</v>
      </c>
      <c r="AL1117">
        <v>-87.894917000000007</v>
      </c>
      <c r="AS1117">
        <v>1</v>
      </c>
      <c r="AT1117" t="s">
        <v>118</v>
      </c>
      <c r="AU1117" t="b">
        <v>1</v>
      </c>
      <c r="AV1117">
        <v>2.81</v>
      </c>
      <c r="AW1117">
        <v>14.125</v>
      </c>
      <c r="AX1117">
        <v>1</v>
      </c>
      <c r="AZ1117">
        <v>7205</v>
      </c>
      <c r="BA1117">
        <v>1</v>
      </c>
      <c r="BB1117" t="str">
        <f t="shared" si="53"/>
        <v xml:space="preserve">KAP400  </v>
      </c>
      <c r="BC1117">
        <v>1</v>
      </c>
      <c r="BE1117">
        <v>0</v>
      </c>
      <c r="BF1117">
        <v>0</v>
      </c>
      <c r="BG1117">
        <v>0</v>
      </c>
      <c r="BI1117">
        <v>1</v>
      </c>
      <c r="BJ1117">
        <v>1</v>
      </c>
      <c r="BK1117">
        <v>1</v>
      </c>
      <c r="BL1117">
        <v>0</v>
      </c>
      <c r="BO1117">
        <v>0</v>
      </c>
      <c r="BP1117">
        <v>0</v>
      </c>
      <c r="BW1117" t="str">
        <f>"19:23:06.891"</f>
        <v>19:23:06.891</v>
      </c>
      <c r="BX1117" t="s">
        <v>119</v>
      </c>
      <c r="BY1117" t="s">
        <v>120</v>
      </c>
      <c r="CJ1117">
        <v>0</v>
      </c>
      <c r="CK1117">
        <v>0</v>
      </c>
      <c r="CL1117">
        <v>0</v>
      </c>
      <c r="CM1117">
        <v>2</v>
      </c>
      <c r="CN1117">
        <v>0</v>
      </c>
      <c r="CO1117">
        <v>6</v>
      </c>
      <c r="CP1117" t="s">
        <v>121</v>
      </c>
      <c r="CQ1117">
        <v>582</v>
      </c>
      <c r="CR1117">
        <v>0</v>
      </c>
      <c r="CW1117">
        <v>7004378</v>
      </c>
      <c r="CY1117">
        <v>0</v>
      </c>
      <c r="CZ1117">
        <v>0</v>
      </c>
      <c r="DA1117">
        <v>0</v>
      </c>
      <c r="DB1117">
        <v>1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</row>
    <row r="1118" spans="1:113" x14ac:dyDescent="0.3">
      <c r="A1118" t="str">
        <f>"06/16/2022 19:23:08.118"</f>
        <v>06/16/2022 19:23:08.118</v>
      </c>
      <c r="C1118" t="str">
        <f t="shared" si="54"/>
        <v>FFBF5BC0</v>
      </c>
      <c r="D1118" t="s">
        <v>113</v>
      </c>
      <c r="E1118">
        <v>8</v>
      </c>
      <c r="H1118">
        <v>206</v>
      </c>
      <c r="I1118" t="s">
        <v>114</v>
      </c>
      <c r="J1118" t="s">
        <v>115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>"19:23:07.891"</f>
        <v>19:23:07.891</v>
      </c>
      <c r="T1118" t="str">
        <f>"19:23:07.891"</f>
        <v>19:23:07.891</v>
      </c>
      <c r="U1118" t="str">
        <f t="shared" si="52"/>
        <v>AB63B2</v>
      </c>
      <c r="V1118">
        <v>0</v>
      </c>
      <c r="W1118">
        <v>0</v>
      </c>
      <c r="X1118">
        <v>6</v>
      </c>
      <c r="Z1118">
        <v>0</v>
      </c>
      <c r="AA1118">
        <v>9</v>
      </c>
      <c r="AB1118">
        <v>3</v>
      </c>
      <c r="AC1118">
        <v>0</v>
      </c>
      <c r="AD1118">
        <v>10</v>
      </c>
      <c r="AE1118">
        <v>0</v>
      </c>
      <c r="AF1118">
        <v>0</v>
      </c>
      <c r="AG1118">
        <v>2</v>
      </c>
      <c r="AH1118">
        <v>0</v>
      </c>
      <c r="AI1118" t="s">
        <v>135</v>
      </c>
      <c r="AJ1118">
        <v>41.991205000000001</v>
      </c>
      <c r="AK1118" t="s">
        <v>136</v>
      </c>
      <c r="AL1118">
        <v>-87.894917000000007</v>
      </c>
      <c r="AS1118">
        <v>1</v>
      </c>
      <c r="AT1118" t="s">
        <v>118</v>
      </c>
      <c r="AU1118" t="b">
        <v>1</v>
      </c>
      <c r="AV1118">
        <v>5.63</v>
      </c>
      <c r="AW1118">
        <v>13.625</v>
      </c>
      <c r="AX1118">
        <v>1</v>
      </c>
      <c r="AZ1118">
        <v>7205</v>
      </c>
      <c r="BA1118">
        <v>1</v>
      </c>
      <c r="BB1118" t="str">
        <f t="shared" si="53"/>
        <v xml:space="preserve">KAP400  </v>
      </c>
      <c r="BC1118">
        <v>1</v>
      </c>
      <c r="BE1118">
        <v>0</v>
      </c>
      <c r="BF1118">
        <v>0</v>
      </c>
      <c r="BG1118">
        <v>0</v>
      </c>
      <c r="BI1118">
        <v>1</v>
      </c>
      <c r="BJ1118">
        <v>1</v>
      </c>
      <c r="BK1118">
        <v>1</v>
      </c>
      <c r="BL1118">
        <v>0</v>
      </c>
      <c r="BO1118">
        <v>0</v>
      </c>
      <c r="BP1118">
        <v>0</v>
      </c>
      <c r="BW1118" t="str">
        <f>"19:23:07.894"</f>
        <v>19:23:07.894</v>
      </c>
      <c r="BX1118" t="s">
        <v>119</v>
      </c>
      <c r="BY1118" t="s">
        <v>120</v>
      </c>
      <c r="CJ1118">
        <v>0</v>
      </c>
      <c r="CK1118">
        <v>0</v>
      </c>
      <c r="CL1118">
        <v>0</v>
      </c>
      <c r="CM1118">
        <v>2</v>
      </c>
      <c r="CN1118">
        <v>0</v>
      </c>
      <c r="CO1118">
        <v>6</v>
      </c>
      <c r="CP1118" t="s">
        <v>121</v>
      </c>
      <c r="CQ1118">
        <v>579</v>
      </c>
      <c r="CR1118">
        <v>0</v>
      </c>
      <c r="CW1118">
        <v>2610036</v>
      </c>
      <c r="CY1118">
        <v>0</v>
      </c>
      <c r="CZ1118">
        <v>0</v>
      </c>
      <c r="DA1118">
        <v>0</v>
      </c>
      <c r="DB1118">
        <v>1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</row>
    <row r="1119" spans="1:113" x14ac:dyDescent="0.3">
      <c r="A1119" t="str">
        <f>"06/16/2022 19:23:09.322"</f>
        <v>06/16/2022 19:23:09.322</v>
      </c>
      <c r="C1119" t="str">
        <f t="shared" si="54"/>
        <v>FFBF5BC0</v>
      </c>
      <c r="D1119" t="s">
        <v>113</v>
      </c>
      <c r="E1119">
        <v>8</v>
      </c>
      <c r="H1119">
        <v>206</v>
      </c>
      <c r="I1119" t="s">
        <v>114</v>
      </c>
      <c r="J1119" t="s">
        <v>115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>"19:23:09.008"</f>
        <v>19:23:09.008</v>
      </c>
      <c r="T1119" t="str">
        <f>"19:23:09.008"</f>
        <v>19:23:09.008</v>
      </c>
      <c r="U1119" t="str">
        <f t="shared" si="52"/>
        <v>AB63B2</v>
      </c>
      <c r="V1119">
        <v>0</v>
      </c>
      <c r="W1119">
        <v>0</v>
      </c>
      <c r="X1119">
        <v>6</v>
      </c>
      <c r="Z1119">
        <v>0</v>
      </c>
      <c r="AA1119">
        <v>9</v>
      </c>
      <c r="AB1119">
        <v>3</v>
      </c>
      <c r="AC1119">
        <v>0</v>
      </c>
      <c r="AD1119">
        <v>10</v>
      </c>
      <c r="AE1119">
        <v>0</v>
      </c>
      <c r="AF1119">
        <v>0</v>
      </c>
      <c r="AG1119">
        <v>2</v>
      </c>
      <c r="AH1119">
        <v>0</v>
      </c>
      <c r="AI1119" t="s">
        <v>133</v>
      </c>
      <c r="AJ1119">
        <v>41.99127</v>
      </c>
      <c r="AK1119" t="s">
        <v>131</v>
      </c>
      <c r="AL1119">
        <v>-87.894895000000005</v>
      </c>
      <c r="AS1119">
        <v>1</v>
      </c>
      <c r="AT1119" t="s">
        <v>118</v>
      </c>
      <c r="AU1119" t="b">
        <v>1</v>
      </c>
      <c r="AV1119">
        <v>11.25</v>
      </c>
      <c r="AW1119">
        <v>13.125</v>
      </c>
      <c r="AX1119">
        <v>1</v>
      </c>
      <c r="AZ1119">
        <v>7205</v>
      </c>
      <c r="BA1119">
        <v>1</v>
      </c>
      <c r="BB1119" t="str">
        <f t="shared" si="53"/>
        <v xml:space="preserve">KAP400  </v>
      </c>
      <c r="BC1119">
        <v>1</v>
      </c>
      <c r="BE1119">
        <v>0</v>
      </c>
      <c r="BF1119">
        <v>0</v>
      </c>
      <c r="BG1119">
        <v>0</v>
      </c>
      <c r="BI1119">
        <v>1</v>
      </c>
      <c r="BJ1119">
        <v>1</v>
      </c>
      <c r="BK1119">
        <v>1</v>
      </c>
      <c r="BL1119">
        <v>0</v>
      </c>
      <c r="BO1119">
        <v>0</v>
      </c>
      <c r="BP1119">
        <v>0</v>
      </c>
      <c r="BW1119" t="str">
        <f>"19:23:09.011"</f>
        <v>19:23:09.011</v>
      </c>
      <c r="BX1119" t="s">
        <v>119</v>
      </c>
      <c r="BY1119" t="s">
        <v>120</v>
      </c>
      <c r="CJ1119">
        <v>0</v>
      </c>
      <c r="CK1119">
        <v>0</v>
      </c>
      <c r="CL1119">
        <v>0</v>
      </c>
      <c r="CM1119">
        <v>2</v>
      </c>
      <c r="CN1119">
        <v>0</v>
      </c>
      <c r="CO1119">
        <v>6</v>
      </c>
      <c r="CP1119" t="s">
        <v>121</v>
      </c>
      <c r="CQ1119">
        <v>582</v>
      </c>
      <c r="CR1119">
        <v>0</v>
      </c>
      <c r="CW1119">
        <v>7006846</v>
      </c>
      <c r="CY1119">
        <v>0</v>
      </c>
      <c r="CZ1119">
        <v>0</v>
      </c>
      <c r="DA1119">
        <v>0</v>
      </c>
      <c r="DB1119">
        <v>1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</row>
    <row r="1120" spans="1:113" x14ac:dyDescent="0.3">
      <c r="A1120" t="str">
        <f>"06/16/2022 19:23:10.306"</f>
        <v>06/16/2022 19:23:10.306</v>
      </c>
      <c r="C1120" t="str">
        <f t="shared" si="54"/>
        <v>FFBF5BC0</v>
      </c>
      <c r="D1120" t="s">
        <v>113</v>
      </c>
      <c r="E1120">
        <v>8</v>
      </c>
      <c r="H1120">
        <v>206</v>
      </c>
      <c r="I1120" t="s">
        <v>114</v>
      </c>
      <c r="J1120" t="s">
        <v>115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>"19:23:10.031"</f>
        <v>19:23:10.031</v>
      </c>
      <c r="T1120" t="str">
        <f>"19:23:10.031"</f>
        <v>19:23:10.031</v>
      </c>
      <c r="U1120" t="str">
        <f t="shared" si="52"/>
        <v>AB63B2</v>
      </c>
      <c r="V1120">
        <v>0</v>
      </c>
      <c r="W1120">
        <v>0</v>
      </c>
      <c r="X1120">
        <v>6</v>
      </c>
      <c r="Z1120">
        <v>0</v>
      </c>
      <c r="AA1120">
        <v>9</v>
      </c>
      <c r="AB1120">
        <v>3</v>
      </c>
      <c r="AC1120">
        <v>0</v>
      </c>
      <c r="AD1120">
        <v>10</v>
      </c>
      <c r="AE1120">
        <v>0</v>
      </c>
      <c r="AF1120">
        <v>0</v>
      </c>
      <c r="AG1120">
        <v>2</v>
      </c>
      <c r="AH1120">
        <v>0</v>
      </c>
      <c r="AI1120" t="s">
        <v>132</v>
      </c>
      <c r="AJ1120">
        <v>41.991312999999998</v>
      </c>
      <c r="AK1120" t="s">
        <v>131</v>
      </c>
      <c r="AL1120">
        <v>-87.894895000000005</v>
      </c>
      <c r="AS1120">
        <v>1</v>
      </c>
      <c r="AT1120" t="s">
        <v>118</v>
      </c>
      <c r="AU1120" t="b">
        <v>1</v>
      </c>
      <c r="AV1120">
        <v>19.690000000000001</v>
      </c>
      <c r="AW1120">
        <v>12.625</v>
      </c>
      <c r="AX1120">
        <v>1</v>
      </c>
      <c r="AZ1120">
        <v>7205</v>
      </c>
      <c r="BA1120">
        <v>1</v>
      </c>
      <c r="BB1120" t="str">
        <f t="shared" si="53"/>
        <v xml:space="preserve">KAP400  </v>
      </c>
      <c r="BC1120">
        <v>1</v>
      </c>
      <c r="BE1120">
        <v>0</v>
      </c>
      <c r="BF1120">
        <v>0</v>
      </c>
      <c r="BG1120">
        <v>0</v>
      </c>
      <c r="BI1120">
        <v>1</v>
      </c>
      <c r="BJ1120">
        <v>1</v>
      </c>
      <c r="BK1120">
        <v>1</v>
      </c>
      <c r="BL1120">
        <v>0</v>
      </c>
      <c r="BO1120">
        <v>0</v>
      </c>
      <c r="BP1120">
        <v>0</v>
      </c>
      <c r="BW1120" t="str">
        <f>"19:23:10.034"</f>
        <v>19:23:10.034</v>
      </c>
      <c r="BX1120" t="s">
        <v>119</v>
      </c>
      <c r="BY1120" t="s">
        <v>120</v>
      </c>
      <c r="CJ1120">
        <v>0</v>
      </c>
      <c r="CK1120">
        <v>0</v>
      </c>
      <c r="CL1120">
        <v>0</v>
      </c>
      <c r="CM1120">
        <v>2</v>
      </c>
      <c r="CN1120">
        <v>0</v>
      </c>
      <c r="CO1120">
        <v>5</v>
      </c>
      <c r="CP1120" t="s">
        <v>121</v>
      </c>
      <c r="CQ1120">
        <v>579</v>
      </c>
      <c r="CR1120">
        <v>0</v>
      </c>
      <c r="CW1120">
        <v>2613940</v>
      </c>
      <c r="CY1120">
        <v>0</v>
      </c>
      <c r="CZ1120">
        <v>0</v>
      </c>
      <c r="DA1120">
        <v>0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</row>
    <row r="1121" spans="1:113" x14ac:dyDescent="0.3">
      <c r="A1121" t="str">
        <f>"06/16/2022 19:23:11.276"</f>
        <v>06/16/2022 19:23:11.276</v>
      </c>
      <c r="C1121" t="str">
        <f t="shared" si="54"/>
        <v>FFBF5BC0</v>
      </c>
      <c r="D1121" t="s">
        <v>113</v>
      </c>
      <c r="E1121">
        <v>8</v>
      </c>
      <c r="H1121">
        <v>206</v>
      </c>
      <c r="I1121" t="s">
        <v>114</v>
      </c>
      <c r="J1121" t="s">
        <v>115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>"19:23:10.953"</f>
        <v>19:23:10.953</v>
      </c>
      <c r="T1121" t="str">
        <f>"19:23:10.953"</f>
        <v>19:23:10.953</v>
      </c>
      <c r="U1121" t="str">
        <f t="shared" si="52"/>
        <v>AB63B2</v>
      </c>
      <c r="V1121">
        <v>0</v>
      </c>
      <c r="W1121">
        <v>0</v>
      </c>
      <c r="X1121">
        <v>6</v>
      </c>
      <c r="Z1121">
        <v>0</v>
      </c>
      <c r="AA1121">
        <v>9</v>
      </c>
      <c r="AB1121">
        <v>3</v>
      </c>
      <c r="AC1121">
        <v>0</v>
      </c>
      <c r="AD1121">
        <v>10</v>
      </c>
      <c r="AE1121">
        <v>0</v>
      </c>
      <c r="AF1121">
        <v>0</v>
      </c>
      <c r="AG1121">
        <v>2</v>
      </c>
      <c r="AH1121">
        <v>0</v>
      </c>
      <c r="AI1121" t="s">
        <v>130</v>
      </c>
      <c r="AJ1121">
        <v>41.991377</v>
      </c>
      <c r="AK1121" t="s">
        <v>129</v>
      </c>
      <c r="AL1121">
        <v>-87.894874000000002</v>
      </c>
      <c r="AS1121">
        <v>1</v>
      </c>
      <c r="AT1121" t="s">
        <v>118</v>
      </c>
      <c r="AU1121" t="b">
        <v>1</v>
      </c>
      <c r="AV1121">
        <v>33.75</v>
      </c>
      <c r="AW1121">
        <v>12.625</v>
      </c>
      <c r="AX1121">
        <v>1</v>
      </c>
      <c r="AZ1121">
        <v>7205</v>
      </c>
      <c r="BA1121">
        <v>1</v>
      </c>
      <c r="BB1121" t="str">
        <f t="shared" si="53"/>
        <v xml:space="preserve">KAP400  </v>
      </c>
      <c r="BC1121">
        <v>1</v>
      </c>
      <c r="BE1121">
        <v>0</v>
      </c>
      <c r="BF1121">
        <v>0</v>
      </c>
      <c r="BG1121">
        <v>0</v>
      </c>
      <c r="BI1121">
        <v>1</v>
      </c>
      <c r="BJ1121">
        <v>1</v>
      </c>
      <c r="BK1121">
        <v>1</v>
      </c>
      <c r="BL1121">
        <v>0</v>
      </c>
      <c r="BO1121">
        <v>0</v>
      </c>
      <c r="BP1121">
        <v>0</v>
      </c>
      <c r="BW1121" t="str">
        <f>"19:23:10.961"</f>
        <v>19:23:10.961</v>
      </c>
      <c r="BX1121" t="s">
        <v>119</v>
      </c>
      <c r="BY1121" t="s">
        <v>120</v>
      </c>
      <c r="CJ1121">
        <v>0</v>
      </c>
      <c r="CK1121">
        <v>0</v>
      </c>
      <c r="CL1121">
        <v>0</v>
      </c>
      <c r="CM1121">
        <v>2</v>
      </c>
      <c r="CN1121">
        <v>0</v>
      </c>
      <c r="CO1121">
        <v>5</v>
      </c>
      <c r="CP1121" t="s">
        <v>121</v>
      </c>
      <c r="CQ1121">
        <v>580</v>
      </c>
      <c r="CR1121">
        <v>0</v>
      </c>
      <c r="CW1121">
        <v>1444269</v>
      </c>
      <c r="CY1121">
        <v>0</v>
      </c>
      <c r="CZ1121">
        <v>0</v>
      </c>
      <c r="DA1121">
        <v>0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</row>
    <row r="1122" spans="1:113" x14ac:dyDescent="0.3">
      <c r="A1122" t="str">
        <f>"06/16/2022 19:23:12.119"</f>
        <v>06/16/2022 19:23:12.119</v>
      </c>
      <c r="C1122" t="str">
        <f t="shared" si="54"/>
        <v>FFBF5BC0</v>
      </c>
      <c r="D1122" t="s">
        <v>113</v>
      </c>
      <c r="E1122">
        <v>8</v>
      </c>
      <c r="H1122">
        <v>206</v>
      </c>
      <c r="I1122" t="s">
        <v>114</v>
      </c>
      <c r="J1122" t="s">
        <v>115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>"19:23:11.875"</f>
        <v>19:23:11.875</v>
      </c>
      <c r="T1122" t="str">
        <f>"19:23:11.875"</f>
        <v>19:23:11.875</v>
      </c>
      <c r="U1122" t="str">
        <f t="shared" si="52"/>
        <v>AB63B2</v>
      </c>
      <c r="V1122">
        <v>0</v>
      </c>
      <c r="W1122">
        <v>0</v>
      </c>
      <c r="X1122">
        <v>6</v>
      </c>
      <c r="Z1122">
        <v>0</v>
      </c>
      <c r="AA1122">
        <v>9</v>
      </c>
      <c r="AB1122">
        <v>3</v>
      </c>
      <c r="AC1122">
        <v>0</v>
      </c>
      <c r="AD1122">
        <v>10</v>
      </c>
      <c r="AE1122">
        <v>0</v>
      </c>
      <c r="AF1122">
        <v>0</v>
      </c>
      <c r="AG1122">
        <v>2</v>
      </c>
      <c r="AH1122">
        <v>0</v>
      </c>
      <c r="AI1122" t="s">
        <v>128</v>
      </c>
      <c r="AJ1122">
        <v>41.991419999999998</v>
      </c>
      <c r="AK1122" t="s">
        <v>125</v>
      </c>
      <c r="AL1122">
        <v>-87.894830999999996</v>
      </c>
      <c r="AS1122">
        <v>1</v>
      </c>
      <c r="AT1122" t="s">
        <v>118</v>
      </c>
      <c r="AU1122" t="b">
        <v>1</v>
      </c>
      <c r="AV1122">
        <v>47.81</v>
      </c>
      <c r="AW1122">
        <v>12.625</v>
      </c>
      <c r="AX1122">
        <v>1</v>
      </c>
      <c r="AZ1122">
        <v>7205</v>
      </c>
      <c r="BA1122">
        <v>1</v>
      </c>
      <c r="BB1122" t="str">
        <f t="shared" si="53"/>
        <v xml:space="preserve">KAP400  </v>
      </c>
      <c r="BC1122">
        <v>1</v>
      </c>
      <c r="BE1122">
        <v>0</v>
      </c>
      <c r="BF1122">
        <v>0</v>
      </c>
      <c r="BG1122">
        <v>0</v>
      </c>
      <c r="BI1122">
        <v>1</v>
      </c>
      <c r="BJ1122">
        <v>1</v>
      </c>
      <c r="BK1122">
        <v>1</v>
      </c>
      <c r="BL1122">
        <v>0</v>
      </c>
      <c r="BO1122">
        <v>0</v>
      </c>
      <c r="BP1122">
        <v>0</v>
      </c>
      <c r="BW1122" t="str">
        <f>"19:23:11.878"</f>
        <v>19:23:11.878</v>
      </c>
      <c r="BX1122" t="s">
        <v>119</v>
      </c>
      <c r="BY1122" t="s">
        <v>120</v>
      </c>
      <c r="CJ1122">
        <v>0</v>
      </c>
      <c r="CK1122">
        <v>0</v>
      </c>
      <c r="CL1122">
        <v>0</v>
      </c>
      <c r="CM1122">
        <v>2</v>
      </c>
      <c r="CN1122">
        <v>0</v>
      </c>
      <c r="CO1122">
        <v>6</v>
      </c>
      <c r="CP1122" t="s">
        <v>121</v>
      </c>
      <c r="CQ1122">
        <v>579</v>
      </c>
      <c r="CR1122">
        <v>0</v>
      </c>
      <c r="CW1122">
        <v>2617395</v>
      </c>
      <c r="CY1122">
        <v>0</v>
      </c>
      <c r="CZ1122">
        <v>0</v>
      </c>
      <c r="DA1122">
        <v>0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0</v>
      </c>
    </row>
    <row r="1123" spans="1:113" x14ac:dyDescent="0.3">
      <c r="A1123" t="str">
        <f>"06/16/2022 19:23:13.129"</f>
        <v>06/16/2022 19:23:13.129</v>
      </c>
      <c r="C1123" t="str">
        <f t="shared" si="54"/>
        <v>FFBF5BC0</v>
      </c>
      <c r="D1123" t="s">
        <v>113</v>
      </c>
      <c r="E1123">
        <v>8</v>
      </c>
      <c r="H1123">
        <v>206</v>
      </c>
      <c r="I1123" t="s">
        <v>114</v>
      </c>
      <c r="J1123" t="s">
        <v>115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>"19:23:12.875"</f>
        <v>19:23:12.875</v>
      </c>
      <c r="T1123" t="str">
        <f>"19:23:12.875"</f>
        <v>19:23:12.875</v>
      </c>
      <c r="U1123" t="str">
        <f t="shared" si="52"/>
        <v>AB63B2</v>
      </c>
      <c r="V1123">
        <v>0</v>
      </c>
      <c r="W1123">
        <v>0</v>
      </c>
      <c r="X1123">
        <v>6</v>
      </c>
      <c r="Z1123">
        <v>0</v>
      </c>
      <c r="AA1123">
        <v>9</v>
      </c>
      <c r="AB1123">
        <v>3</v>
      </c>
      <c r="AC1123">
        <v>0</v>
      </c>
      <c r="AD1123">
        <v>10</v>
      </c>
      <c r="AE1123">
        <v>0</v>
      </c>
      <c r="AF1123">
        <v>0</v>
      </c>
      <c r="AG1123">
        <v>2</v>
      </c>
      <c r="AH1123">
        <v>0</v>
      </c>
      <c r="AI1123" t="s">
        <v>1017</v>
      </c>
      <c r="AJ1123">
        <v>41.991441000000002</v>
      </c>
      <c r="AK1123" t="s">
        <v>353</v>
      </c>
      <c r="AL1123">
        <v>-87.894766000000004</v>
      </c>
      <c r="AS1123">
        <v>1</v>
      </c>
      <c r="AT1123" t="s">
        <v>118</v>
      </c>
      <c r="AU1123" t="b">
        <v>1</v>
      </c>
      <c r="AV1123">
        <v>61.88</v>
      </c>
      <c r="AW1123">
        <v>12.625</v>
      </c>
      <c r="AX1123">
        <v>1</v>
      </c>
      <c r="AZ1123">
        <v>7205</v>
      </c>
      <c r="BA1123">
        <v>1</v>
      </c>
      <c r="BB1123" t="str">
        <f t="shared" si="53"/>
        <v xml:space="preserve">KAP400  </v>
      </c>
      <c r="BC1123">
        <v>1</v>
      </c>
      <c r="BE1123">
        <v>0</v>
      </c>
      <c r="BF1123">
        <v>0</v>
      </c>
      <c r="BG1123">
        <v>0</v>
      </c>
      <c r="BI1123">
        <v>1</v>
      </c>
      <c r="BJ1123">
        <v>1</v>
      </c>
      <c r="BK1123">
        <v>1</v>
      </c>
      <c r="BL1123">
        <v>0</v>
      </c>
      <c r="BO1123">
        <v>0</v>
      </c>
      <c r="BP1123">
        <v>0</v>
      </c>
      <c r="BW1123" t="str">
        <f>"19:23:12.876"</f>
        <v>19:23:12.876</v>
      </c>
      <c r="BX1123" t="s">
        <v>119</v>
      </c>
      <c r="BY1123" t="s">
        <v>120</v>
      </c>
      <c r="CJ1123">
        <v>0</v>
      </c>
      <c r="CK1123">
        <v>0</v>
      </c>
      <c r="CL1123">
        <v>0</v>
      </c>
      <c r="CM1123">
        <v>2</v>
      </c>
      <c r="CN1123">
        <v>0</v>
      </c>
      <c r="CO1123">
        <v>5</v>
      </c>
      <c r="CP1123" t="s">
        <v>121</v>
      </c>
      <c r="CQ1123">
        <v>579</v>
      </c>
      <c r="CR1123">
        <v>0</v>
      </c>
      <c r="CW1123">
        <v>2619281</v>
      </c>
      <c r="CY1123">
        <v>0</v>
      </c>
      <c r="CZ1123">
        <v>0</v>
      </c>
      <c r="DA1123">
        <v>0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0</v>
      </c>
      <c r="DH1123">
        <v>0</v>
      </c>
      <c r="DI1123">
        <v>0</v>
      </c>
    </row>
    <row r="1124" spans="1:113" x14ac:dyDescent="0.3">
      <c r="A1124" t="str">
        <f>"06/16/2022 19:23:14.207"</f>
        <v>06/16/2022 19:23:14.207</v>
      </c>
      <c r="C1124" t="str">
        <f t="shared" si="54"/>
        <v>FFBF5BC0</v>
      </c>
      <c r="D1124" t="s">
        <v>113</v>
      </c>
      <c r="E1124">
        <v>8</v>
      </c>
      <c r="H1124">
        <v>206</v>
      </c>
      <c r="I1124" t="s">
        <v>114</v>
      </c>
      <c r="J1124" t="s">
        <v>115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>"19:23:13.828"</f>
        <v>19:23:13.828</v>
      </c>
      <c r="T1124" t="str">
        <f>"19:23:13.828"</f>
        <v>19:23:13.828</v>
      </c>
      <c r="U1124" t="str">
        <f t="shared" si="52"/>
        <v>AB63B2</v>
      </c>
      <c r="V1124">
        <v>0</v>
      </c>
      <c r="W1124">
        <v>0</v>
      </c>
      <c r="X1124">
        <v>6</v>
      </c>
      <c r="Z1124">
        <v>0</v>
      </c>
      <c r="AA1124">
        <v>9</v>
      </c>
      <c r="AB1124">
        <v>3</v>
      </c>
      <c r="AC1124">
        <v>0</v>
      </c>
      <c r="AD1124">
        <v>10</v>
      </c>
      <c r="AE1124">
        <v>0</v>
      </c>
      <c r="AF1124">
        <v>0</v>
      </c>
      <c r="AG1124">
        <v>2</v>
      </c>
      <c r="AH1124">
        <v>0</v>
      </c>
      <c r="AI1124" t="s">
        <v>126</v>
      </c>
      <c r="AJ1124">
        <v>41.991463000000003</v>
      </c>
      <c r="AK1124" t="s">
        <v>265</v>
      </c>
      <c r="AL1124">
        <v>-87.894722999999999</v>
      </c>
      <c r="AS1124">
        <v>1</v>
      </c>
      <c r="AT1124" t="s">
        <v>118</v>
      </c>
      <c r="AU1124" t="b">
        <v>1</v>
      </c>
      <c r="AV1124">
        <v>75.94</v>
      </c>
      <c r="AW1124">
        <v>12.625</v>
      </c>
      <c r="AX1124">
        <v>1</v>
      </c>
      <c r="AZ1124">
        <v>7205</v>
      </c>
      <c r="BA1124">
        <v>1</v>
      </c>
      <c r="BB1124" t="str">
        <f t="shared" si="53"/>
        <v xml:space="preserve">KAP400  </v>
      </c>
      <c r="BC1124">
        <v>1</v>
      </c>
      <c r="BE1124">
        <v>0</v>
      </c>
      <c r="BF1124">
        <v>0</v>
      </c>
      <c r="BG1124">
        <v>0</v>
      </c>
      <c r="BI1124">
        <v>1</v>
      </c>
      <c r="BJ1124">
        <v>1</v>
      </c>
      <c r="BK1124">
        <v>1</v>
      </c>
      <c r="BL1124">
        <v>0</v>
      </c>
      <c r="BO1124">
        <v>0</v>
      </c>
      <c r="BP1124">
        <v>0</v>
      </c>
      <c r="BW1124" t="str">
        <f>"19:23:13.831"</f>
        <v>19:23:13.831</v>
      </c>
      <c r="BX1124" t="s">
        <v>119</v>
      </c>
      <c r="BY1124" t="s">
        <v>120</v>
      </c>
      <c r="CJ1124">
        <v>0</v>
      </c>
      <c r="CK1124">
        <v>0</v>
      </c>
      <c r="CL1124">
        <v>0</v>
      </c>
      <c r="CM1124">
        <v>2</v>
      </c>
      <c r="CN1124">
        <v>0</v>
      </c>
      <c r="CO1124">
        <v>6</v>
      </c>
      <c r="CP1124" t="s">
        <v>121</v>
      </c>
      <c r="CQ1124">
        <v>579</v>
      </c>
      <c r="CR1124">
        <v>0</v>
      </c>
      <c r="CW1124">
        <v>2621026</v>
      </c>
      <c r="CY1124">
        <v>0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</row>
    <row r="1125" spans="1:113" x14ac:dyDescent="0.3">
      <c r="A1125" t="str">
        <f>"06/16/2022 19:23:15.285"</f>
        <v>06/16/2022 19:23:15.285</v>
      </c>
      <c r="C1125" t="str">
        <f t="shared" si="54"/>
        <v>FFBF5BC0</v>
      </c>
      <c r="D1125" t="s">
        <v>113</v>
      </c>
      <c r="E1125">
        <v>8</v>
      </c>
      <c r="H1125">
        <v>206</v>
      </c>
      <c r="I1125" t="s">
        <v>114</v>
      </c>
      <c r="J1125" t="s">
        <v>115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>"19:23:14.938"</f>
        <v>19:23:14.938</v>
      </c>
      <c r="T1125" t="str">
        <f>"19:23:14.938"</f>
        <v>19:23:14.938</v>
      </c>
      <c r="U1125" t="str">
        <f t="shared" si="52"/>
        <v>AB63B2</v>
      </c>
      <c r="V1125">
        <v>0</v>
      </c>
      <c r="W1125">
        <v>0</v>
      </c>
      <c r="X1125">
        <v>6</v>
      </c>
      <c r="Z1125">
        <v>0</v>
      </c>
      <c r="AA1125">
        <v>9</v>
      </c>
      <c r="AB1125">
        <v>3</v>
      </c>
      <c r="AC1125">
        <v>0</v>
      </c>
      <c r="AD1125">
        <v>10</v>
      </c>
      <c r="AE1125">
        <v>0</v>
      </c>
      <c r="AF1125">
        <v>0</v>
      </c>
      <c r="AG1125">
        <v>2</v>
      </c>
      <c r="AH1125">
        <v>0</v>
      </c>
      <c r="AI1125" t="s">
        <v>116</v>
      </c>
      <c r="AJ1125">
        <v>41.991484</v>
      </c>
      <c r="AK1125" t="s">
        <v>687</v>
      </c>
      <c r="AL1125">
        <v>-87.894615999999999</v>
      </c>
      <c r="AS1125">
        <v>1</v>
      </c>
      <c r="AT1125" t="s">
        <v>118</v>
      </c>
      <c r="AU1125" t="b">
        <v>1</v>
      </c>
      <c r="AV1125">
        <v>84.38</v>
      </c>
      <c r="AW1125">
        <v>12.625</v>
      </c>
      <c r="AX1125">
        <v>1</v>
      </c>
      <c r="AZ1125">
        <v>7205</v>
      </c>
      <c r="BA1125">
        <v>1</v>
      </c>
      <c r="BB1125" t="str">
        <f t="shared" si="53"/>
        <v xml:space="preserve">KAP400  </v>
      </c>
      <c r="BC1125">
        <v>1</v>
      </c>
      <c r="BE1125">
        <v>0</v>
      </c>
      <c r="BF1125">
        <v>0</v>
      </c>
      <c r="BG1125">
        <v>0</v>
      </c>
      <c r="BI1125">
        <v>1</v>
      </c>
      <c r="BJ1125">
        <v>1</v>
      </c>
      <c r="BK1125">
        <v>1</v>
      </c>
      <c r="BL1125">
        <v>0</v>
      </c>
      <c r="BO1125">
        <v>0</v>
      </c>
      <c r="BP1125">
        <v>0</v>
      </c>
      <c r="BW1125" t="str">
        <f>"19:23:14.944"</f>
        <v>19:23:14.944</v>
      </c>
      <c r="BX1125" t="s">
        <v>119</v>
      </c>
      <c r="BY1125" t="s">
        <v>120</v>
      </c>
      <c r="CJ1125">
        <v>0</v>
      </c>
      <c r="CK1125">
        <v>0</v>
      </c>
      <c r="CL1125">
        <v>0</v>
      </c>
      <c r="CM1125">
        <v>2</v>
      </c>
      <c r="CN1125">
        <v>0</v>
      </c>
      <c r="CO1125">
        <v>6</v>
      </c>
      <c r="CP1125" t="s">
        <v>121</v>
      </c>
      <c r="CQ1125">
        <v>579</v>
      </c>
      <c r="CR1125">
        <v>0</v>
      </c>
      <c r="CW1125">
        <v>2623092</v>
      </c>
      <c r="CY1125">
        <v>0</v>
      </c>
      <c r="CZ1125">
        <v>0</v>
      </c>
      <c r="DA1125">
        <v>0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0</v>
      </c>
    </row>
    <row r="1126" spans="1:113" x14ac:dyDescent="0.3">
      <c r="A1126" t="str">
        <f>"06/16/2022 19:23:16.270"</f>
        <v>06/16/2022 19:23:16.270</v>
      </c>
      <c r="C1126" t="str">
        <f t="shared" si="54"/>
        <v>FFBF5BC0</v>
      </c>
      <c r="D1126" t="s">
        <v>113</v>
      </c>
      <c r="E1126">
        <v>8</v>
      </c>
      <c r="H1126">
        <v>206</v>
      </c>
      <c r="I1126" t="s">
        <v>114</v>
      </c>
      <c r="J1126" t="s">
        <v>115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>"19:23:15.875"</f>
        <v>19:23:15.875</v>
      </c>
      <c r="T1126" t="str">
        <f>"19:23:15.875"</f>
        <v>19:23:15.875</v>
      </c>
      <c r="U1126" t="str">
        <f t="shared" si="52"/>
        <v>AB63B2</v>
      </c>
      <c r="V1126">
        <v>0</v>
      </c>
      <c r="W1126">
        <v>0</v>
      </c>
      <c r="X1126">
        <v>6</v>
      </c>
      <c r="Z1126">
        <v>0</v>
      </c>
      <c r="AA1126">
        <v>9</v>
      </c>
      <c r="AB1126">
        <v>3</v>
      </c>
      <c r="AC1126">
        <v>0</v>
      </c>
      <c r="AD1126">
        <v>10</v>
      </c>
      <c r="AE1126">
        <v>0</v>
      </c>
      <c r="AF1126">
        <v>0</v>
      </c>
      <c r="AG1126">
        <v>2</v>
      </c>
      <c r="AH1126">
        <v>0</v>
      </c>
      <c r="AI1126" t="s">
        <v>116</v>
      </c>
      <c r="AJ1126">
        <v>41.991484</v>
      </c>
      <c r="AK1126" t="s">
        <v>1009</v>
      </c>
      <c r="AL1126">
        <v>-87.894552000000004</v>
      </c>
      <c r="AS1126">
        <v>1</v>
      </c>
      <c r="AT1126" t="s">
        <v>118</v>
      </c>
      <c r="AU1126" t="b">
        <v>1</v>
      </c>
      <c r="AV1126">
        <v>87.19</v>
      </c>
      <c r="AW1126">
        <v>12.625</v>
      </c>
      <c r="AX1126">
        <v>1</v>
      </c>
      <c r="AZ1126">
        <v>7205</v>
      </c>
      <c r="BA1126">
        <v>1</v>
      </c>
      <c r="BB1126" t="str">
        <f t="shared" si="53"/>
        <v xml:space="preserve">KAP400  </v>
      </c>
      <c r="BC1126">
        <v>1</v>
      </c>
      <c r="BE1126">
        <v>0</v>
      </c>
      <c r="BF1126">
        <v>0</v>
      </c>
      <c r="BG1126">
        <v>0</v>
      </c>
      <c r="BI1126">
        <v>1</v>
      </c>
      <c r="BJ1126">
        <v>1</v>
      </c>
      <c r="BK1126">
        <v>1</v>
      </c>
      <c r="BL1126">
        <v>0</v>
      </c>
      <c r="BO1126">
        <v>0</v>
      </c>
      <c r="BP1126">
        <v>0</v>
      </c>
      <c r="BW1126" t="str">
        <f>"19:23:15.876"</f>
        <v>19:23:15.876</v>
      </c>
      <c r="BX1126" t="s">
        <v>119</v>
      </c>
      <c r="BY1126" t="s">
        <v>120</v>
      </c>
      <c r="CJ1126">
        <v>0</v>
      </c>
      <c r="CK1126">
        <v>0</v>
      </c>
      <c r="CL1126">
        <v>0</v>
      </c>
      <c r="CM1126">
        <v>2</v>
      </c>
      <c r="CN1126">
        <v>0</v>
      </c>
      <c r="CO1126">
        <v>5</v>
      </c>
      <c r="CP1126" t="s">
        <v>121</v>
      </c>
      <c r="CQ1126">
        <v>582</v>
      </c>
      <c r="CR1126">
        <v>0</v>
      </c>
      <c r="CW1126">
        <v>7014725</v>
      </c>
      <c r="CY1126">
        <v>0</v>
      </c>
      <c r="CZ1126">
        <v>0</v>
      </c>
      <c r="DA1126">
        <v>0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</row>
    <row r="1127" spans="1:113" x14ac:dyDescent="0.3">
      <c r="A1127" t="str">
        <f>"06/16/2022 19:23:17.182"</f>
        <v>06/16/2022 19:23:17.182</v>
      </c>
      <c r="C1127" t="str">
        <f t="shared" si="54"/>
        <v>FFBF5BC0</v>
      </c>
      <c r="D1127" t="s">
        <v>113</v>
      </c>
      <c r="E1127">
        <v>8</v>
      </c>
      <c r="H1127">
        <v>206</v>
      </c>
      <c r="I1127" t="s">
        <v>114</v>
      </c>
      <c r="J1127" t="s">
        <v>115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>"19:23:16.922"</f>
        <v>19:23:16.922</v>
      </c>
      <c r="T1127" t="str">
        <f>"19:23:16.922"</f>
        <v>19:23:16.922</v>
      </c>
      <c r="U1127" t="str">
        <f t="shared" si="52"/>
        <v>AB63B2</v>
      </c>
      <c r="V1127">
        <v>0</v>
      </c>
      <c r="W1127">
        <v>0</v>
      </c>
      <c r="X1127">
        <v>6</v>
      </c>
      <c r="Z1127">
        <v>0</v>
      </c>
      <c r="AA1127">
        <v>9</v>
      </c>
      <c r="AB1127">
        <v>3</v>
      </c>
      <c r="AC1127">
        <v>0</v>
      </c>
      <c r="AD1127">
        <v>10</v>
      </c>
      <c r="AE1127">
        <v>0</v>
      </c>
      <c r="AF1127">
        <v>0</v>
      </c>
      <c r="AG1127">
        <v>2</v>
      </c>
      <c r="AH1127">
        <v>0</v>
      </c>
      <c r="AI1127" t="s">
        <v>122</v>
      </c>
      <c r="AJ1127">
        <v>41.991506000000001</v>
      </c>
      <c r="AK1127" t="s">
        <v>273</v>
      </c>
      <c r="AL1127">
        <v>-87.894465999999994</v>
      </c>
      <c r="AS1127">
        <v>1</v>
      </c>
      <c r="AT1127" t="s">
        <v>118</v>
      </c>
      <c r="AU1127" t="b">
        <v>1</v>
      </c>
      <c r="AV1127">
        <v>90</v>
      </c>
      <c r="AW1127">
        <v>13.125</v>
      </c>
      <c r="AX1127">
        <v>1</v>
      </c>
      <c r="AZ1127">
        <v>7205</v>
      </c>
      <c r="BA1127">
        <v>1</v>
      </c>
      <c r="BB1127" t="str">
        <f t="shared" si="53"/>
        <v xml:space="preserve">KAP400  </v>
      </c>
      <c r="BC1127">
        <v>1</v>
      </c>
      <c r="BE1127">
        <v>0</v>
      </c>
      <c r="BF1127">
        <v>0</v>
      </c>
      <c r="BG1127">
        <v>0</v>
      </c>
      <c r="BI1127">
        <v>1</v>
      </c>
      <c r="BJ1127">
        <v>1</v>
      </c>
      <c r="BK1127">
        <v>1</v>
      </c>
      <c r="BL1127">
        <v>0</v>
      </c>
      <c r="BO1127">
        <v>0</v>
      </c>
      <c r="BP1127">
        <v>0</v>
      </c>
      <c r="BW1127" t="str">
        <f>"19:23:16.926"</f>
        <v>19:23:16.926</v>
      </c>
      <c r="BX1127" t="s">
        <v>119</v>
      </c>
      <c r="BY1127" t="s">
        <v>120</v>
      </c>
      <c r="CJ1127">
        <v>0</v>
      </c>
      <c r="CK1127">
        <v>0</v>
      </c>
      <c r="CL1127">
        <v>0</v>
      </c>
      <c r="CM1127">
        <v>2</v>
      </c>
      <c r="CN1127">
        <v>0</v>
      </c>
      <c r="CO1127">
        <v>6</v>
      </c>
      <c r="CP1127" t="s">
        <v>121</v>
      </c>
      <c r="CQ1127">
        <v>579</v>
      </c>
      <c r="CR1127">
        <v>0</v>
      </c>
      <c r="CW1127">
        <v>2626801</v>
      </c>
      <c r="CY1127">
        <v>0</v>
      </c>
      <c r="CZ1127">
        <v>0</v>
      </c>
      <c r="DA1127">
        <v>0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</row>
    <row r="1128" spans="1:113" x14ac:dyDescent="0.3">
      <c r="A1128" t="str">
        <f>"06/16/2022 19:23:18.244"</f>
        <v>06/16/2022 19:23:18.244</v>
      </c>
      <c r="C1128" t="str">
        <f t="shared" si="54"/>
        <v>FFBF5BC0</v>
      </c>
      <c r="D1128" t="s">
        <v>113</v>
      </c>
      <c r="E1128">
        <v>8</v>
      </c>
      <c r="H1128">
        <v>206</v>
      </c>
      <c r="I1128" t="s">
        <v>114</v>
      </c>
      <c r="J1128" t="s">
        <v>115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>"19:23:17.961"</f>
        <v>19:23:17.961</v>
      </c>
      <c r="T1128" t="str">
        <f>"19:23:17.961"</f>
        <v>19:23:17.961</v>
      </c>
      <c r="U1128" t="str">
        <f t="shared" si="52"/>
        <v>AB63B2</v>
      </c>
      <c r="V1128">
        <v>0</v>
      </c>
      <c r="W1128">
        <v>0</v>
      </c>
      <c r="X1128">
        <v>6</v>
      </c>
      <c r="Z1128">
        <v>0</v>
      </c>
      <c r="AA1128">
        <v>9</v>
      </c>
      <c r="AB1128">
        <v>3</v>
      </c>
      <c r="AC1128">
        <v>0</v>
      </c>
      <c r="AD1128">
        <v>10</v>
      </c>
      <c r="AE1128">
        <v>0</v>
      </c>
      <c r="AF1128">
        <v>0</v>
      </c>
      <c r="AG1128">
        <v>2</v>
      </c>
      <c r="AH1128">
        <v>0</v>
      </c>
      <c r="AI1128" t="s">
        <v>122</v>
      </c>
      <c r="AJ1128">
        <v>41.991506000000001</v>
      </c>
      <c r="AK1128" t="s">
        <v>342</v>
      </c>
      <c r="AL1128">
        <v>-87.894379999999998</v>
      </c>
      <c r="AS1128">
        <v>1</v>
      </c>
      <c r="AT1128" t="s">
        <v>118</v>
      </c>
      <c r="AU1128" t="b">
        <v>1</v>
      </c>
      <c r="AV1128">
        <v>90</v>
      </c>
      <c r="AW1128">
        <v>13.125</v>
      </c>
      <c r="AX1128">
        <v>1</v>
      </c>
      <c r="AZ1128">
        <v>7205</v>
      </c>
      <c r="BA1128">
        <v>1</v>
      </c>
      <c r="BB1128" t="str">
        <f t="shared" si="53"/>
        <v xml:space="preserve">KAP400  </v>
      </c>
      <c r="BC1128">
        <v>1</v>
      </c>
      <c r="BE1128">
        <v>0</v>
      </c>
      <c r="BF1128">
        <v>0</v>
      </c>
      <c r="BG1128">
        <v>0</v>
      </c>
      <c r="BI1128">
        <v>1</v>
      </c>
      <c r="BJ1128">
        <v>1</v>
      </c>
      <c r="BK1128">
        <v>1</v>
      </c>
      <c r="BL1128">
        <v>0</v>
      </c>
      <c r="BO1128">
        <v>0</v>
      </c>
      <c r="BP1128">
        <v>0</v>
      </c>
      <c r="BW1128" t="str">
        <f>"19:23:17.962"</f>
        <v>19:23:17.962</v>
      </c>
      <c r="BX1128" t="s">
        <v>119</v>
      </c>
      <c r="BY1128" t="s">
        <v>120</v>
      </c>
      <c r="CJ1128">
        <v>0</v>
      </c>
      <c r="CK1128">
        <v>0</v>
      </c>
      <c r="CL1128">
        <v>0</v>
      </c>
      <c r="CM1128">
        <v>2</v>
      </c>
      <c r="CN1128">
        <v>0</v>
      </c>
      <c r="CO1128">
        <v>5</v>
      </c>
      <c r="CP1128" t="s">
        <v>121</v>
      </c>
      <c r="CQ1128">
        <v>579</v>
      </c>
      <c r="CR1128">
        <v>0</v>
      </c>
      <c r="CW1128">
        <v>2628683</v>
      </c>
      <c r="CY1128">
        <v>0</v>
      </c>
      <c r="CZ1128">
        <v>0</v>
      </c>
      <c r="DA1128">
        <v>0</v>
      </c>
      <c r="DB1128">
        <v>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</row>
    <row r="1129" spans="1:113" x14ac:dyDescent="0.3">
      <c r="A1129" t="str">
        <f>"06/16/2022 19:23:19.088"</f>
        <v>06/16/2022 19:23:19.088</v>
      </c>
      <c r="C1129" t="str">
        <f t="shared" si="54"/>
        <v>FFBF5BC0</v>
      </c>
      <c r="D1129" t="s">
        <v>113</v>
      </c>
      <c r="E1129">
        <v>8</v>
      </c>
      <c r="H1129">
        <v>206</v>
      </c>
      <c r="I1129" t="s">
        <v>114</v>
      </c>
      <c r="J1129" t="s">
        <v>115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>"19:23:18.891"</f>
        <v>19:23:18.891</v>
      </c>
      <c r="T1129" t="str">
        <f>"19:23:18.891"</f>
        <v>19:23:18.891</v>
      </c>
      <c r="U1129" t="str">
        <f t="shared" si="52"/>
        <v>AB63B2</v>
      </c>
      <c r="V1129">
        <v>0</v>
      </c>
      <c r="W1129">
        <v>0</v>
      </c>
      <c r="X1129">
        <v>6</v>
      </c>
      <c r="Z1129">
        <v>0</v>
      </c>
      <c r="AA1129">
        <v>9</v>
      </c>
      <c r="AB1129">
        <v>3</v>
      </c>
      <c r="AC1129">
        <v>0</v>
      </c>
      <c r="AD1129">
        <v>10</v>
      </c>
      <c r="AE1129">
        <v>0</v>
      </c>
      <c r="AF1129">
        <v>0</v>
      </c>
      <c r="AG1129">
        <v>2</v>
      </c>
      <c r="AH1129">
        <v>0</v>
      </c>
      <c r="AI1129" t="s">
        <v>122</v>
      </c>
      <c r="AJ1129">
        <v>41.991506000000001</v>
      </c>
      <c r="AK1129" t="s">
        <v>277</v>
      </c>
      <c r="AL1129">
        <v>-87.894316000000003</v>
      </c>
      <c r="AS1129">
        <v>1</v>
      </c>
      <c r="AT1129" t="s">
        <v>118</v>
      </c>
      <c r="AU1129" t="b">
        <v>1</v>
      </c>
      <c r="AV1129">
        <v>90</v>
      </c>
      <c r="AW1129">
        <v>13.625</v>
      </c>
      <c r="AX1129">
        <v>1</v>
      </c>
      <c r="AZ1129">
        <v>7205</v>
      </c>
      <c r="BA1129">
        <v>1</v>
      </c>
      <c r="BB1129" t="str">
        <f t="shared" si="53"/>
        <v xml:space="preserve">KAP400  </v>
      </c>
      <c r="BC1129">
        <v>1</v>
      </c>
      <c r="BE1129">
        <v>0</v>
      </c>
      <c r="BF1129">
        <v>0</v>
      </c>
      <c r="BG1129">
        <v>0</v>
      </c>
      <c r="BI1129">
        <v>1</v>
      </c>
      <c r="BJ1129">
        <v>1</v>
      </c>
      <c r="BK1129">
        <v>1</v>
      </c>
      <c r="BL1129">
        <v>0</v>
      </c>
      <c r="BO1129">
        <v>0</v>
      </c>
      <c r="BP1129">
        <v>0</v>
      </c>
      <c r="BW1129" t="str">
        <f>"19:23:18.894"</f>
        <v>19:23:18.894</v>
      </c>
      <c r="BX1129" t="s">
        <v>119</v>
      </c>
      <c r="BY1129" t="s">
        <v>120</v>
      </c>
      <c r="CJ1129">
        <v>0</v>
      </c>
      <c r="CK1129">
        <v>0</v>
      </c>
      <c r="CL1129">
        <v>0</v>
      </c>
      <c r="CM1129">
        <v>2</v>
      </c>
      <c r="CN1129">
        <v>0</v>
      </c>
      <c r="CO1129">
        <v>5</v>
      </c>
      <c r="CP1129" t="s">
        <v>121</v>
      </c>
      <c r="CQ1129">
        <v>582</v>
      </c>
      <c r="CR1129">
        <v>0</v>
      </c>
      <c r="CW1129">
        <v>7018334</v>
      </c>
      <c r="CY1129">
        <v>0</v>
      </c>
      <c r="CZ1129">
        <v>0</v>
      </c>
      <c r="DA1129">
        <v>0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0</v>
      </c>
    </row>
    <row r="1130" spans="1:113" x14ac:dyDescent="0.3">
      <c r="A1130" t="str">
        <f>"06/16/2022 19:23:19.979"</f>
        <v>06/16/2022 19:23:19.979</v>
      </c>
      <c r="C1130" t="str">
        <f t="shared" si="54"/>
        <v>FFBF5BC0</v>
      </c>
      <c r="D1130" t="s">
        <v>113</v>
      </c>
      <c r="E1130">
        <v>8</v>
      </c>
      <c r="H1130">
        <v>206</v>
      </c>
      <c r="I1130" t="s">
        <v>114</v>
      </c>
      <c r="J1130" t="s">
        <v>115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>"19:23:19.773"</f>
        <v>19:23:19.773</v>
      </c>
      <c r="T1130" t="str">
        <f>"19:23:19.773"</f>
        <v>19:23:19.773</v>
      </c>
      <c r="U1130" t="str">
        <f t="shared" si="52"/>
        <v>AB63B2</v>
      </c>
      <c r="V1130">
        <v>0</v>
      </c>
      <c r="W1130">
        <v>0</v>
      </c>
      <c r="X1130">
        <v>6</v>
      </c>
      <c r="Z1130">
        <v>0</v>
      </c>
      <c r="AA1130">
        <v>9</v>
      </c>
      <c r="AB1130">
        <v>3</v>
      </c>
      <c r="AC1130">
        <v>0</v>
      </c>
      <c r="AD1130">
        <v>10</v>
      </c>
      <c r="AE1130">
        <v>0</v>
      </c>
      <c r="AF1130">
        <v>0</v>
      </c>
      <c r="AG1130">
        <v>2</v>
      </c>
      <c r="AH1130">
        <v>0</v>
      </c>
      <c r="AI1130" t="s">
        <v>122</v>
      </c>
      <c r="AJ1130">
        <v>41.991506000000001</v>
      </c>
      <c r="AK1130" t="s">
        <v>791</v>
      </c>
      <c r="AL1130">
        <v>-87.894229999999993</v>
      </c>
      <c r="AS1130">
        <v>1</v>
      </c>
      <c r="AT1130" t="s">
        <v>118</v>
      </c>
      <c r="AU1130" t="b">
        <v>1</v>
      </c>
      <c r="AV1130">
        <v>90</v>
      </c>
      <c r="AW1130">
        <v>13.625</v>
      </c>
      <c r="AX1130">
        <v>1</v>
      </c>
      <c r="AZ1130">
        <v>7205</v>
      </c>
      <c r="BA1130">
        <v>1</v>
      </c>
      <c r="BB1130" t="str">
        <f t="shared" si="53"/>
        <v xml:space="preserve">KAP400  </v>
      </c>
      <c r="BC1130">
        <v>1</v>
      </c>
      <c r="BE1130">
        <v>0</v>
      </c>
      <c r="BF1130">
        <v>0</v>
      </c>
      <c r="BG1130">
        <v>0</v>
      </c>
      <c r="BI1130">
        <v>1</v>
      </c>
      <c r="BJ1130">
        <v>1</v>
      </c>
      <c r="BK1130">
        <v>1</v>
      </c>
      <c r="BL1130">
        <v>0</v>
      </c>
      <c r="BO1130">
        <v>0</v>
      </c>
      <c r="BP1130">
        <v>0</v>
      </c>
      <c r="BW1130" t="str">
        <f>"19:23:19.777"</f>
        <v>19:23:19.777</v>
      </c>
      <c r="BX1130" t="s">
        <v>119</v>
      </c>
      <c r="BY1130" t="s">
        <v>120</v>
      </c>
      <c r="CJ1130">
        <v>0</v>
      </c>
      <c r="CK1130">
        <v>0</v>
      </c>
      <c r="CL1130">
        <v>0</v>
      </c>
      <c r="CM1130">
        <v>2</v>
      </c>
      <c r="CN1130">
        <v>0</v>
      </c>
      <c r="CO1130">
        <v>6</v>
      </c>
      <c r="CP1130" t="s">
        <v>121</v>
      </c>
      <c r="CQ1130">
        <v>579</v>
      </c>
      <c r="CR1130">
        <v>0</v>
      </c>
      <c r="CW1130">
        <v>2631912</v>
      </c>
      <c r="CY1130">
        <v>0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</row>
    <row r="1131" spans="1:113" x14ac:dyDescent="0.3">
      <c r="A1131" t="str">
        <f>"06/16/2022 19:23:21.041"</f>
        <v>06/16/2022 19:23:21.041</v>
      </c>
      <c r="C1131" t="str">
        <f t="shared" si="54"/>
        <v>FFBF5BC0</v>
      </c>
      <c r="D1131" t="s">
        <v>113</v>
      </c>
      <c r="E1131">
        <v>8</v>
      </c>
      <c r="H1131">
        <v>206</v>
      </c>
      <c r="I1131" t="s">
        <v>114</v>
      </c>
      <c r="J1131" t="s">
        <v>115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>"19:23:20.813"</f>
        <v>19:23:20.813</v>
      </c>
      <c r="T1131" t="str">
        <f>"19:23:20.813"</f>
        <v>19:23:20.813</v>
      </c>
      <c r="U1131" t="str">
        <f t="shared" si="52"/>
        <v>AB63B2</v>
      </c>
      <c r="V1131">
        <v>0</v>
      </c>
      <c r="W1131">
        <v>0</v>
      </c>
      <c r="X1131">
        <v>6</v>
      </c>
      <c r="Z1131">
        <v>0</v>
      </c>
      <c r="AA1131">
        <v>9</v>
      </c>
      <c r="AB1131">
        <v>3</v>
      </c>
      <c r="AC1131">
        <v>0</v>
      </c>
      <c r="AD1131">
        <v>10</v>
      </c>
      <c r="AE1131">
        <v>0</v>
      </c>
      <c r="AF1131">
        <v>0</v>
      </c>
      <c r="AG1131">
        <v>2</v>
      </c>
      <c r="AH1131">
        <v>0</v>
      </c>
      <c r="AI1131" t="s">
        <v>116</v>
      </c>
      <c r="AJ1131">
        <v>41.991484</v>
      </c>
      <c r="AK1131" t="s">
        <v>794</v>
      </c>
      <c r="AL1131">
        <v>-87.894143999999997</v>
      </c>
      <c r="AS1131">
        <v>1</v>
      </c>
      <c r="AT1131" t="s">
        <v>118</v>
      </c>
      <c r="AU1131" t="b">
        <v>1</v>
      </c>
      <c r="AV1131">
        <v>90</v>
      </c>
      <c r="AW1131">
        <v>13.625</v>
      </c>
      <c r="AX1131">
        <v>1</v>
      </c>
      <c r="AZ1131">
        <v>7205</v>
      </c>
      <c r="BA1131">
        <v>1</v>
      </c>
      <c r="BB1131" t="str">
        <f t="shared" si="53"/>
        <v xml:space="preserve">KAP400  </v>
      </c>
      <c r="BC1131">
        <v>1</v>
      </c>
      <c r="BE1131">
        <v>0</v>
      </c>
      <c r="BF1131">
        <v>0</v>
      </c>
      <c r="BG1131">
        <v>0</v>
      </c>
      <c r="BI1131">
        <v>1</v>
      </c>
      <c r="BJ1131">
        <v>1</v>
      </c>
      <c r="BK1131">
        <v>1</v>
      </c>
      <c r="BL1131">
        <v>0</v>
      </c>
      <c r="BO1131">
        <v>0</v>
      </c>
      <c r="BP1131">
        <v>0</v>
      </c>
      <c r="BW1131" t="str">
        <f>"19:23:20.819"</f>
        <v>19:23:20.819</v>
      </c>
      <c r="BX1131" t="s">
        <v>119</v>
      </c>
      <c r="BY1131" t="s">
        <v>120</v>
      </c>
      <c r="CJ1131">
        <v>0</v>
      </c>
      <c r="CK1131">
        <v>0</v>
      </c>
      <c r="CL1131">
        <v>0</v>
      </c>
      <c r="CM1131">
        <v>2</v>
      </c>
      <c r="CN1131">
        <v>0</v>
      </c>
      <c r="CO1131">
        <v>6</v>
      </c>
      <c r="CP1131" t="s">
        <v>121</v>
      </c>
      <c r="CQ1131">
        <v>581</v>
      </c>
      <c r="CR1131">
        <v>0</v>
      </c>
      <c r="CW1131">
        <v>16153080</v>
      </c>
      <c r="CY1131">
        <v>0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</row>
    <row r="1132" spans="1:113" x14ac:dyDescent="0.3">
      <c r="A1132" t="str">
        <f>"06/16/2022 19:23:21.916"</f>
        <v>06/16/2022 19:23:21.916</v>
      </c>
      <c r="C1132" t="str">
        <f t="shared" si="54"/>
        <v>FFBF5BC0</v>
      </c>
      <c r="D1132" t="s">
        <v>113</v>
      </c>
      <c r="E1132">
        <v>8</v>
      </c>
      <c r="H1132">
        <v>206</v>
      </c>
      <c r="I1132" t="s">
        <v>114</v>
      </c>
      <c r="J1132" t="s">
        <v>115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>"19:23:21.695"</f>
        <v>19:23:21.695</v>
      </c>
      <c r="T1132" t="str">
        <f>"19:23:21.695"</f>
        <v>19:23:21.695</v>
      </c>
      <c r="U1132" t="str">
        <f t="shared" si="52"/>
        <v>AB63B2</v>
      </c>
      <c r="V1132">
        <v>0</v>
      </c>
      <c r="W1132">
        <v>0</v>
      </c>
      <c r="X1132">
        <v>6</v>
      </c>
      <c r="Z1132">
        <v>0</v>
      </c>
      <c r="AA1132">
        <v>9</v>
      </c>
      <c r="AB1132">
        <v>3</v>
      </c>
      <c r="AC1132">
        <v>0</v>
      </c>
      <c r="AD1132">
        <v>10</v>
      </c>
      <c r="AE1132">
        <v>0</v>
      </c>
      <c r="AF1132">
        <v>0</v>
      </c>
      <c r="AG1132">
        <v>2</v>
      </c>
      <c r="AH1132">
        <v>0</v>
      </c>
      <c r="AI1132" t="s">
        <v>122</v>
      </c>
      <c r="AJ1132">
        <v>41.991506000000001</v>
      </c>
      <c r="AK1132" t="s">
        <v>1018</v>
      </c>
      <c r="AL1132">
        <v>-87.894080000000002</v>
      </c>
      <c r="AS1132">
        <v>1</v>
      </c>
      <c r="AT1132" t="s">
        <v>118</v>
      </c>
      <c r="AU1132" t="b">
        <v>1</v>
      </c>
      <c r="AV1132">
        <v>87.19</v>
      </c>
      <c r="AW1132">
        <v>13.625</v>
      </c>
      <c r="AX1132">
        <v>1</v>
      </c>
      <c r="AZ1132">
        <v>7205</v>
      </c>
      <c r="BA1132">
        <v>1</v>
      </c>
      <c r="BB1132" t="str">
        <f t="shared" si="53"/>
        <v xml:space="preserve">KAP400  </v>
      </c>
      <c r="BC1132">
        <v>1</v>
      </c>
      <c r="BE1132">
        <v>0</v>
      </c>
      <c r="BF1132">
        <v>0</v>
      </c>
      <c r="BG1132">
        <v>0</v>
      </c>
      <c r="BI1132">
        <v>1</v>
      </c>
      <c r="BJ1132">
        <v>1</v>
      </c>
      <c r="BK1132">
        <v>1</v>
      </c>
      <c r="BL1132">
        <v>0</v>
      </c>
      <c r="BO1132">
        <v>0</v>
      </c>
      <c r="BP1132">
        <v>0</v>
      </c>
      <c r="BW1132" t="str">
        <f>"19:23:21.696"</f>
        <v>19:23:21.696</v>
      </c>
      <c r="BX1132" t="s">
        <v>119</v>
      </c>
      <c r="BY1132" t="s">
        <v>120</v>
      </c>
      <c r="CJ1132">
        <v>0</v>
      </c>
      <c r="CK1132">
        <v>0</v>
      </c>
      <c r="CL1132">
        <v>0</v>
      </c>
      <c r="CM1132">
        <v>2</v>
      </c>
      <c r="CN1132">
        <v>0</v>
      </c>
      <c r="CO1132">
        <v>5</v>
      </c>
      <c r="CP1132" t="s">
        <v>121</v>
      </c>
      <c r="CQ1132">
        <v>581</v>
      </c>
      <c r="CR1132">
        <v>0</v>
      </c>
      <c r="CW1132">
        <v>16154178</v>
      </c>
      <c r="CY1132">
        <v>0</v>
      </c>
      <c r="CZ1132">
        <v>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</row>
    <row r="1133" spans="1:113" x14ac:dyDescent="0.3">
      <c r="A1133" t="str">
        <f>"06/16/2022 19:23:22.901"</f>
        <v>06/16/2022 19:23:22.901</v>
      </c>
      <c r="C1133" t="str">
        <f t="shared" si="54"/>
        <v>FFBF5BC0</v>
      </c>
      <c r="D1133" t="s">
        <v>113</v>
      </c>
      <c r="E1133">
        <v>8</v>
      </c>
      <c r="H1133">
        <v>206</v>
      </c>
      <c r="I1133" t="s">
        <v>114</v>
      </c>
      <c r="J1133" t="s">
        <v>115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>"19:23:22.641"</f>
        <v>19:23:22.641</v>
      </c>
      <c r="T1133" t="str">
        <f>"19:23:22.641"</f>
        <v>19:23:22.641</v>
      </c>
      <c r="U1133" t="str">
        <f t="shared" si="52"/>
        <v>AB63B2</v>
      </c>
      <c r="V1133">
        <v>0</v>
      </c>
      <c r="W1133">
        <v>0</v>
      </c>
      <c r="X1133">
        <v>6</v>
      </c>
      <c r="Z1133">
        <v>0</v>
      </c>
      <c r="AA1133">
        <v>9</v>
      </c>
      <c r="AB1133">
        <v>3</v>
      </c>
      <c r="AC1133">
        <v>0</v>
      </c>
      <c r="AD1133">
        <v>10</v>
      </c>
      <c r="AE1133">
        <v>0</v>
      </c>
      <c r="AF1133">
        <v>0</v>
      </c>
      <c r="AG1133">
        <v>2</v>
      </c>
      <c r="AH1133">
        <v>0</v>
      </c>
      <c r="AI1133" t="s">
        <v>122</v>
      </c>
      <c r="AJ1133">
        <v>41.991506000000001</v>
      </c>
      <c r="AK1133" t="s">
        <v>335</v>
      </c>
      <c r="AL1133">
        <v>-87.894014999999996</v>
      </c>
      <c r="AS1133">
        <v>1</v>
      </c>
      <c r="AT1133" t="s">
        <v>118</v>
      </c>
      <c r="AU1133" t="b">
        <v>1</v>
      </c>
      <c r="AV1133">
        <v>81.56</v>
      </c>
      <c r="AW1133">
        <v>13.625</v>
      </c>
      <c r="AX1133">
        <v>1</v>
      </c>
      <c r="AZ1133">
        <v>7205</v>
      </c>
      <c r="BA1133">
        <v>1</v>
      </c>
      <c r="BB1133" t="str">
        <f t="shared" si="53"/>
        <v xml:space="preserve">KAP400  </v>
      </c>
      <c r="BC1133">
        <v>1</v>
      </c>
      <c r="BE1133">
        <v>0</v>
      </c>
      <c r="BF1133">
        <v>0</v>
      </c>
      <c r="BG1133">
        <v>0</v>
      </c>
      <c r="BI1133">
        <v>1</v>
      </c>
      <c r="BJ1133">
        <v>1</v>
      </c>
      <c r="BK1133">
        <v>1</v>
      </c>
      <c r="BL1133">
        <v>0</v>
      </c>
      <c r="BO1133">
        <v>0</v>
      </c>
      <c r="BP1133">
        <v>0</v>
      </c>
      <c r="BW1133" t="str">
        <f>"19:23:22.646"</f>
        <v>19:23:22.646</v>
      </c>
      <c r="BX1133" t="s">
        <v>119</v>
      </c>
      <c r="BY1133" t="s">
        <v>120</v>
      </c>
      <c r="CJ1133">
        <v>0</v>
      </c>
      <c r="CK1133">
        <v>0</v>
      </c>
      <c r="CL1133">
        <v>0</v>
      </c>
      <c r="CM1133">
        <v>2</v>
      </c>
      <c r="CN1133">
        <v>0</v>
      </c>
      <c r="CO1133">
        <v>6</v>
      </c>
      <c r="CP1133" t="s">
        <v>121</v>
      </c>
      <c r="CQ1133">
        <v>579</v>
      </c>
      <c r="CR1133">
        <v>0</v>
      </c>
      <c r="CW1133">
        <v>2637170</v>
      </c>
      <c r="CY1133">
        <v>0</v>
      </c>
      <c r="CZ1133">
        <v>0</v>
      </c>
      <c r="DA1133">
        <v>0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0</v>
      </c>
    </row>
    <row r="1134" spans="1:113" x14ac:dyDescent="0.3">
      <c r="A1134" t="str">
        <f>"06/16/2022 19:23:23.823"</f>
        <v>06/16/2022 19:23:23.823</v>
      </c>
      <c r="C1134" t="str">
        <f t="shared" si="54"/>
        <v>FFBF5BC0</v>
      </c>
      <c r="D1134" t="s">
        <v>113</v>
      </c>
      <c r="E1134">
        <v>8</v>
      </c>
      <c r="H1134">
        <v>206</v>
      </c>
      <c r="I1134" t="s">
        <v>114</v>
      </c>
      <c r="J1134" t="s">
        <v>115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>"19:23:23.523"</f>
        <v>19:23:23.523</v>
      </c>
      <c r="T1134" t="str">
        <f>"19:23:23.523"</f>
        <v>19:23:23.523</v>
      </c>
      <c r="U1134" t="str">
        <f t="shared" si="52"/>
        <v>AB63B2</v>
      </c>
      <c r="V1134">
        <v>0</v>
      </c>
      <c r="W1134">
        <v>0</v>
      </c>
      <c r="X1134">
        <v>6</v>
      </c>
      <c r="Z1134">
        <v>0</v>
      </c>
      <c r="AA1134">
        <v>9</v>
      </c>
      <c r="AB1134">
        <v>3</v>
      </c>
      <c r="AC1134">
        <v>0</v>
      </c>
      <c r="AD1134">
        <v>10</v>
      </c>
      <c r="AE1134">
        <v>0</v>
      </c>
      <c r="AF1134">
        <v>0</v>
      </c>
      <c r="AG1134">
        <v>2</v>
      </c>
      <c r="AH1134">
        <v>0</v>
      </c>
      <c r="AI1134" t="s">
        <v>1019</v>
      </c>
      <c r="AJ1134">
        <v>41.991526999999998</v>
      </c>
      <c r="AK1134" t="s">
        <v>1020</v>
      </c>
      <c r="AL1134">
        <v>-87.893929</v>
      </c>
      <c r="AS1134">
        <v>1</v>
      </c>
      <c r="AT1134" t="s">
        <v>118</v>
      </c>
      <c r="AU1134" t="b">
        <v>1</v>
      </c>
      <c r="AV1134">
        <v>75.94</v>
      </c>
      <c r="AW1134">
        <v>13.625</v>
      </c>
      <c r="AX1134">
        <v>1</v>
      </c>
      <c r="AZ1134">
        <v>7205</v>
      </c>
      <c r="BA1134">
        <v>1</v>
      </c>
      <c r="BB1134" t="str">
        <f t="shared" si="53"/>
        <v xml:space="preserve">KAP400  </v>
      </c>
      <c r="BC1134">
        <v>1</v>
      </c>
      <c r="BE1134">
        <v>0</v>
      </c>
      <c r="BF1134">
        <v>0</v>
      </c>
      <c r="BG1134">
        <v>0</v>
      </c>
      <c r="BI1134">
        <v>1</v>
      </c>
      <c r="BJ1134">
        <v>1</v>
      </c>
      <c r="BK1134">
        <v>1</v>
      </c>
      <c r="BL1134">
        <v>0</v>
      </c>
      <c r="BO1134">
        <v>0</v>
      </c>
      <c r="BP1134">
        <v>0</v>
      </c>
      <c r="BW1134" t="str">
        <f>"19:23:23.526"</f>
        <v>19:23:23.526</v>
      </c>
      <c r="BX1134" t="s">
        <v>119</v>
      </c>
      <c r="BY1134" t="s">
        <v>120</v>
      </c>
      <c r="CJ1134">
        <v>0</v>
      </c>
      <c r="CK1134">
        <v>0</v>
      </c>
      <c r="CL1134">
        <v>0</v>
      </c>
      <c r="CM1134">
        <v>2</v>
      </c>
      <c r="CN1134">
        <v>0</v>
      </c>
      <c r="CO1134">
        <v>7</v>
      </c>
      <c r="CP1134" t="s">
        <v>121</v>
      </c>
      <c r="CQ1134">
        <v>579</v>
      </c>
      <c r="CR1134">
        <v>0</v>
      </c>
      <c r="CW1134">
        <v>2638762</v>
      </c>
      <c r="CY1134">
        <v>0</v>
      </c>
      <c r="CZ1134">
        <v>0</v>
      </c>
      <c r="DA1134">
        <v>0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</row>
    <row r="1135" spans="1:113" x14ac:dyDescent="0.3">
      <c r="A1135" t="str">
        <f>"06/16/2022 19:23:24.901"</f>
        <v>06/16/2022 19:23:24.901</v>
      </c>
      <c r="C1135" t="str">
        <f t="shared" si="54"/>
        <v>FFBF5BC0</v>
      </c>
      <c r="D1135" t="s">
        <v>113</v>
      </c>
      <c r="E1135">
        <v>8</v>
      </c>
      <c r="H1135">
        <v>206</v>
      </c>
      <c r="I1135" t="s">
        <v>114</v>
      </c>
      <c r="J1135" t="s">
        <v>115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>"19:23:24.570"</f>
        <v>19:23:24.570</v>
      </c>
      <c r="T1135" t="str">
        <f>"19:23:24.570"</f>
        <v>19:23:24.570</v>
      </c>
      <c r="U1135" t="str">
        <f t="shared" si="52"/>
        <v>AB63B2</v>
      </c>
      <c r="V1135">
        <v>0</v>
      </c>
      <c r="W1135">
        <v>0</v>
      </c>
      <c r="X1135">
        <v>6</v>
      </c>
      <c r="Z1135">
        <v>0</v>
      </c>
      <c r="AA1135">
        <v>9</v>
      </c>
      <c r="AB1135">
        <v>3</v>
      </c>
      <c r="AC1135">
        <v>0</v>
      </c>
      <c r="AD1135">
        <v>10</v>
      </c>
      <c r="AE1135">
        <v>0</v>
      </c>
      <c r="AF1135">
        <v>0</v>
      </c>
      <c r="AG1135">
        <v>2</v>
      </c>
      <c r="AH1135">
        <v>0</v>
      </c>
      <c r="AI1135" t="s">
        <v>1019</v>
      </c>
      <c r="AJ1135">
        <v>41.991526999999998</v>
      </c>
      <c r="AK1135" t="s">
        <v>291</v>
      </c>
      <c r="AL1135">
        <v>-87.893844000000001</v>
      </c>
      <c r="AS1135">
        <v>1</v>
      </c>
      <c r="AT1135" t="s">
        <v>118</v>
      </c>
      <c r="AU1135" t="b">
        <v>1</v>
      </c>
      <c r="AV1135">
        <v>73.13</v>
      </c>
      <c r="AW1135">
        <v>13.125</v>
      </c>
      <c r="AX1135">
        <v>1</v>
      </c>
      <c r="AZ1135">
        <v>7205</v>
      </c>
      <c r="BA1135">
        <v>1</v>
      </c>
      <c r="BB1135" t="str">
        <f t="shared" si="53"/>
        <v xml:space="preserve">KAP400  </v>
      </c>
      <c r="BC1135">
        <v>1</v>
      </c>
      <c r="BE1135">
        <v>0</v>
      </c>
      <c r="BF1135">
        <v>0</v>
      </c>
      <c r="BG1135">
        <v>0</v>
      </c>
      <c r="BI1135">
        <v>1</v>
      </c>
      <c r="BJ1135">
        <v>1</v>
      </c>
      <c r="BK1135">
        <v>1</v>
      </c>
      <c r="BL1135">
        <v>0</v>
      </c>
      <c r="BO1135">
        <v>0</v>
      </c>
      <c r="BP1135">
        <v>0</v>
      </c>
      <c r="BW1135" t="str">
        <f>"19:23:24.576"</f>
        <v>19:23:24.576</v>
      </c>
      <c r="BX1135" t="s">
        <v>119</v>
      </c>
      <c r="BY1135" t="s">
        <v>120</v>
      </c>
      <c r="CJ1135">
        <v>0</v>
      </c>
      <c r="CK1135">
        <v>0</v>
      </c>
      <c r="CL1135">
        <v>0</v>
      </c>
      <c r="CM1135">
        <v>2</v>
      </c>
      <c r="CN1135">
        <v>0</v>
      </c>
      <c r="CO1135">
        <v>6</v>
      </c>
      <c r="CP1135" t="s">
        <v>121</v>
      </c>
      <c r="CQ1135">
        <v>579</v>
      </c>
      <c r="CR1135">
        <v>0</v>
      </c>
      <c r="CW1135">
        <v>2640642</v>
      </c>
      <c r="CY1135">
        <v>0</v>
      </c>
      <c r="CZ1135">
        <v>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</row>
    <row r="1136" spans="1:113" x14ac:dyDescent="0.3">
      <c r="A1136" t="str">
        <f>"06/16/2022 19:23:39.980"</f>
        <v>06/16/2022 19:23:39.980</v>
      </c>
      <c r="C1136" t="str">
        <f t="shared" si="54"/>
        <v>FFBF5BC0</v>
      </c>
      <c r="D1136" t="s">
        <v>113</v>
      </c>
      <c r="E1136">
        <v>8</v>
      </c>
      <c r="H1136">
        <v>206</v>
      </c>
      <c r="I1136" t="s">
        <v>114</v>
      </c>
      <c r="J1136" t="s">
        <v>115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>"19:23:39.633"</f>
        <v>19:23:39.633</v>
      </c>
      <c r="T1136" t="str">
        <f>"19:23:39.633"</f>
        <v>19:23:39.633</v>
      </c>
      <c r="U1136" t="str">
        <f t="shared" si="52"/>
        <v>AB63B2</v>
      </c>
      <c r="V1136">
        <v>0</v>
      </c>
      <c r="W1136">
        <v>0</v>
      </c>
      <c r="X1136">
        <v>6</v>
      </c>
      <c r="Z1136">
        <v>0</v>
      </c>
      <c r="AA1136">
        <v>9</v>
      </c>
      <c r="AB1136">
        <v>3</v>
      </c>
      <c r="AC1136">
        <v>0</v>
      </c>
      <c r="AD1136">
        <v>10</v>
      </c>
      <c r="AE1136">
        <v>0</v>
      </c>
      <c r="AF1136">
        <v>0</v>
      </c>
      <c r="AG1136">
        <v>2</v>
      </c>
      <c r="AH1136">
        <v>0</v>
      </c>
      <c r="AI1136" t="s">
        <v>1019</v>
      </c>
      <c r="AJ1136">
        <v>41.991526999999998</v>
      </c>
      <c r="AK1136" t="s">
        <v>818</v>
      </c>
      <c r="AL1136">
        <v>-87.892964000000006</v>
      </c>
      <c r="AS1136">
        <v>1</v>
      </c>
      <c r="AT1136" t="s">
        <v>118</v>
      </c>
      <c r="AU1136" t="b">
        <v>1</v>
      </c>
      <c r="AV1136">
        <v>112.5</v>
      </c>
      <c r="AW1136">
        <v>9.125</v>
      </c>
      <c r="AX1136">
        <v>1</v>
      </c>
      <c r="AZ1136">
        <v>7205</v>
      </c>
      <c r="BA1136">
        <v>1</v>
      </c>
      <c r="BB1136" t="str">
        <f t="shared" si="53"/>
        <v xml:space="preserve">KAP400  </v>
      </c>
      <c r="BC1136">
        <v>1</v>
      </c>
      <c r="BE1136">
        <v>0</v>
      </c>
      <c r="BF1136">
        <v>0</v>
      </c>
      <c r="BG1136">
        <v>0</v>
      </c>
      <c r="BI1136">
        <v>1</v>
      </c>
      <c r="BJ1136">
        <v>1</v>
      </c>
      <c r="BK1136">
        <v>1</v>
      </c>
      <c r="BL1136">
        <v>0</v>
      </c>
      <c r="BO1136">
        <v>0</v>
      </c>
      <c r="BP1136">
        <v>0</v>
      </c>
      <c r="BW1136" t="str">
        <f>"19:23:39.638"</f>
        <v>19:23:39.638</v>
      </c>
      <c r="BX1136" t="s">
        <v>119</v>
      </c>
      <c r="BY1136" t="s">
        <v>120</v>
      </c>
      <c r="CJ1136">
        <v>0</v>
      </c>
      <c r="CK1136">
        <v>0</v>
      </c>
      <c r="CL1136">
        <v>0</v>
      </c>
      <c r="CM1136">
        <v>2</v>
      </c>
      <c r="CN1136">
        <v>0</v>
      </c>
      <c r="CO1136">
        <v>7</v>
      </c>
      <c r="CP1136" t="s">
        <v>121</v>
      </c>
      <c r="CQ1136">
        <v>582</v>
      </c>
      <c r="CR1136">
        <v>0</v>
      </c>
      <c r="CW1136">
        <v>7043098</v>
      </c>
      <c r="CY1136">
        <v>0</v>
      </c>
      <c r="CZ1136">
        <v>0</v>
      </c>
      <c r="DA1136">
        <v>0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</row>
    <row r="1137" spans="1:113" x14ac:dyDescent="0.3">
      <c r="A1137" t="str">
        <f>"06/16/2022 19:23:40.808"</f>
        <v>06/16/2022 19:23:40.808</v>
      </c>
      <c r="C1137" t="str">
        <f t="shared" si="54"/>
        <v>FFBF5BC0</v>
      </c>
      <c r="D1137" t="s">
        <v>113</v>
      </c>
      <c r="E1137">
        <v>8</v>
      </c>
      <c r="H1137">
        <v>206</v>
      </c>
      <c r="I1137" t="s">
        <v>114</v>
      </c>
      <c r="J1137" t="s">
        <v>115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>"19:23:40.523"</f>
        <v>19:23:40.523</v>
      </c>
      <c r="T1137" t="str">
        <f>"19:23:40.523"</f>
        <v>19:23:40.523</v>
      </c>
      <c r="U1137" t="str">
        <f t="shared" si="52"/>
        <v>AB63B2</v>
      </c>
      <c r="V1137">
        <v>0</v>
      </c>
      <c r="W1137">
        <v>0</v>
      </c>
      <c r="X1137">
        <v>6</v>
      </c>
      <c r="Z1137">
        <v>0</v>
      </c>
      <c r="AA1137">
        <v>9</v>
      </c>
      <c r="AB1137">
        <v>3</v>
      </c>
      <c r="AC1137">
        <v>0</v>
      </c>
      <c r="AD1137">
        <v>10</v>
      </c>
      <c r="AE1137">
        <v>0</v>
      </c>
      <c r="AF1137">
        <v>0</v>
      </c>
      <c r="AG1137">
        <v>2</v>
      </c>
      <c r="AH1137">
        <v>0</v>
      </c>
      <c r="AI1137" t="s">
        <v>122</v>
      </c>
      <c r="AJ1137">
        <v>41.991506000000001</v>
      </c>
      <c r="AK1137" t="s">
        <v>1021</v>
      </c>
      <c r="AL1137">
        <v>-87.892921000000001</v>
      </c>
      <c r="AS1137">
        <v>1</v>
      </c>
      <c r="AT1137" t="s">
        <v>118</v>
      </c>
      <c r="AU1137" t="b">
        <v>1</v>
      </c>
      <c r="AV1137">
        <v>109.69</v>
      </c>
      <c r="AW1137">
        <v>9.625</v>
      </c>
      <c r="AX1137">
        <v>1</v>
      </c>
      <c r="AZ1137">
        <v>7205</v>
      </c>
      <c r="BA1137">
        <v>1</v>
      </c>
      <c r="BB1137" t="str">
        <f t="shared" si="53"/>
        <v xml:space="preserve">KAP400  </v>
      </c>
      <c r="BC1137">
        <v>1</v>
      </c>
      <c r="BE1137">
        <v>0</v>
      </c>
      <c r="BF1137">
        <v>0</v>
      </c>
      <c r="BG1137">
        <v>0</v>
      </c>
      <c r="BI1137">
        <v>1</v>
      </c>
      <c r="BJ1137">
        <v>1</v>
      </c>
      <c r="BK1137">
        <v>1</v>
      </c>
      <c r="BL1137">
        <v>0</v>
      </c>
      <c r="BO1137">
        <v>0</v>
      </c>
      <c r="BP1137">
        <v>0</v>
      </c>
      <c r="BW1137" t="str">
        <f>"19:23:40.531"</f>
        <v>19:23:40.531</v>
      </c>
      <c r="BX1137" t="s">
        <v>119</v>
      </c>
      <c r="BY1137" t="s">
        <v>120</v>
      </c>
      <c r="CJ1137">
        <v>0</v>
      </c>
      <c r="CK1137">
        <v>0</v>
      </c>
      <c r="CL1137">
        <v>0</v>
      </c>
      <c r="CM1137">
        <v>2</v>
      </c>
      <c r="CN1137">
        <v>0</v>
      </c>
      <c r="CO1137">
        <v>6</v>
      </c>
      <c r="CP1137" t="s">
        <v>121</v>
      </c>
      <c r="CQ1137">
        <v>579</v>
      </c>
      <c r="CR1137">
        <v>0</v>
      </c>
      <c r="CW1137">
        <v>2669761</v>
      </c>
      <c r="CY1137">
        <v>0</v>
      </c>
      <c r="CZ1137">
        <v>0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</row>
    <row r="1138" spans="1:113" x14ac:dyDescent="0.3">
      <c r="A1138" t="str">
        <f>"06/16/2022 19:23:41.777"</f>
        <v>06/16/2022 19:23:41.777</v>
      </c>
      <c r="C1138" t="str">
        <f t="shared" si="54"/>
        <v>FFBF5BC0</v>
      </c>
      <c r="D1138" t="s">
        <v>113</v>
      </c>
      <c r="E1138">
        <v>8</v>
      </c>
      <c r="H1138">
        <v>206</v>
      </c>
      <c r="I1138" t="s">
        <v>114</v>
      </c>
      <c r="J1138" t="s">
        <v>115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>"19:23:41.523"</f>
        <v>19:23:41.523</v>
      </c>
      <c r="T1138" t="str">
        <f>"19:23:41.523"</f>
        <v>19:23:41.523</v>
      </c>
      <c r="U1138" t="str">
        <f t="shared" si="52"/>
        <v>AB63B2</v>
      </c>
      <c r="V1138">
        <v>0</v>
      </c>
      <c r="W1138">
        <v>0</v>
      </c>
      <c r="X1138">
        <v>6</v>
      </c>
      <c r="Z1138">
        <v>0</v>
      </c>
      <c r="AA1138">
        <v>9</v>
      </c>
      <c r="AB1138">
        <v>3</v>
      </c>
      <c r="AC1138">
        <v>0</v>
      </c>
      <c r="AD1138">
        <v>10</v>
      </c>
      <c r="AE1138">
        <v>0</v>
      </c>
      <c r="AF1138">
        <v>0</v>
      </c>
      <c r="AG1138">
        <v>2</v>
      </c>
      <c r="AH1138">
        <v>0</v>
      </c>
      <c r="AI1138" t="s">
        <v>122</v>
      </c>
      <c r="AJ1138">
        <v>41.991506000000001</v>
      </c>
      <c r="AK1138" t="s">
        <v>1022</v>
      </c>
      <c r="AL1138">
        <v>-87.892877999999996</v>
      </c>
      <c r="AS1138">
        <v>1</v>
      </c>
      <c r="AT1138" t="s">
        <v>118</v>
      </c>
      <c r="AU1138" t="b">
        <v>1</v>
      </c>
      <c r="AV1138">
        <v>106.88</v>
      </c>
      <c r="AW1138">
        <v>9.625</v>
      </c>
      <c r="AX1138">
        <v>1</v>
      </c>
      <c r="AZ1138">
        <v>7205</v>
      </c>
      <c r="BA1138">
        <v>1</v>
      </c>
      <c r="BB1138" t="str">
        <f t="shared" si="53"/>
        <v xml:space="preserve">KAP400  </v>
      </c>
      <c r="BC1138">
        <v>1</v>
      </c>
      <c r="BE1138">
        <v>0</v>
      </c>
      <c r="BF1138">
        <v>0</v>
      </c>
      <c r="BG1138">
        <v>0</v>
      </c>
      <c r="BI1138">
        <v>1</v>
      </c>
      <c r="BJ1138">
        <v>1</v>
      </c>
      <c r="BK1138">
        <v>1</v>
      </c>
      <c r="BL1138">
        <v>0</v>
      </c>
      <c r="BO1138">
        <v>0</v>
      </c>
      <c r="BP1138">
        <v>0</v>
      </c>
      <c r="BW1138" t="str">
        <f>"19:23:41.529"</f>
        <v>19:23:41.529</v>
      </c>
      <c r="BX1138" t="s">
        <v>119</v>
      </c>
      <c r="BY1138" t="s">
        <v>120</v>
      </c>
      <c r="CJ1138">
        <v>0</v>
      </c>
      <c r="CK1138">
        <v>0</v>
      </c>
      <c r="CL1138">
        <v>0</v>
      </c>
      <c r="CM1138">
        <v>2</v>
      </c>
      <c r="CN1138">
        <v>0</v>
      </c>
      <c r="CO1138">
        <v>6</v>
      </c>
      <c r="CP1138" t="s">
        <v>121</v>
      </c>
      <c r="CQ1138">
        <v>579</v>
      </c>
      <c r="CR1138">
        <v>0</v>
      </c>
      <c r="CW1138">
        <v>2671625</v>
      </c>
      <c r="CY1138">
        <v>0</v>
      </c>
      <c r="CZ1138">
        <v>0</v>
      </c>
      <c r="DA1138">
        <v>0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0</v>
      </c>
    </row>
    <row r="1139" spans="1:113" x14ac:dyDescent="0.3">
      <c r="A1139" t="str">
        <f>"06/16/2022 19:23:42.786"</f>
        <v>06/16/2022 19:23:42.786</v>
      </c>
      <c r="C1139" t="str">
        <f t="shared" si="54"/>
        <v>FFBF5BC0</v>
      </c>
      <c r="D1139" t="s">
        <v>113</v>
      </c>
      <c r="E1139">
        <v>8</v>
      </c>
      <c r="H1139">
        <v>206</v>
      </c>
      <c r="I1139" t="s">
        <v>114</v>
      </c>
      <c r="J1139" t="s">
        <v>115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>"19:23:42.578"</f>
        <v>19:23:42.578</v>
      </c>
      <c r="T1139" t="str">
        <f>"19:23:42.578"</f>
        <v>19:23:42.578</v>
      </c>
      <c r="U1139" t="str">
        <f t="shared" si="52"/>
        <v>AB63B2</v>
      </c>
      <c r="V1139">
        <v>0</v>
      </c>
      <c r="W1139">
        <v>0</v>
      </c>
      <c r="X1139">
        <v>6</v>
      </c>
      <c r="Z1139">
        <v>0</v>
      </c>
      <c r="AA1139">
        <v>9</v>
      </c>
      <c r="AB1139">
        <v>3</v>
      </c>
      <c r="AC1139">
        <v>0</v>
      </c>
      <c r="AD1139">
        <v>10</v>
      </c>
      <c r="AE1139">
        <v>0</v>
      </c>
      <c r="AF1139">
        <v>0</v>
      </c>
      <c r="AG1139">
        <v>2</v>
      </c>
      <c r="AH1139">
        <v>0</v>
      </c>
      <c r="AI1139" t="s">
        <v>116</v>
      </c>
      <c r="AJ1139">
        <v>41.991484</v>
      </c>
      <c r="AK1139" t="s">
        <v>1023</v>
      </c>
      <c r="AL1139">
        <v>-87.892814000000001</v>
      </c>
      <c r="AS1139">
        <v>1</v>
      </c>
      <c r="AT1139" t="s">
        <v>118</v>
      </c>
      <c r="AU1139" t="b">
        <v>1</v>
      </c>
      <c r="AV1139">
        <v>106.88</v>
      </c>
      <c r="AW1139">
        <v>9.625</v>
      </c>
      <c r="AX1139">
        <v>1</v>
      </c>
      <c r="AZ1139">
        <v>7205</v>
      </c>
      <c r="BA1139">
        <v>1</v>
      </c>
      <c r="BB1139" t="str">
        <f t="shared" si="53"/>
        <v xml:space="preserve">KAP400  </v>
      </c>
      <c r="BC1139">
        <v>1</v>
      </c>
      <c r="BE1139">
        <v>0</v>
      </c>
      <c r="BF1139">
        <v>0</v>
      </c>
      <c r="BG1139">
        <v>0</v>
      </c>
      <c r="BI1139">
        <v>1</v>
      </c>
      <c r="BJ1139">
        <v>1</v>
      </c>
      <c r="BK1139">
        <v>1</v>
      </c>
      <c r="BL1139">
        <v>0</v>
      </c>
      <c r="BO1139">
        <v>0</v>
      </c>
      <c r="BP1139">
        <v>0</v>
      </c>
      <c r="BW1139" t="str">
        <f>"19:23:42.586"</f>
        <v>19:23:42.586</v>
      </c>
      <c r="BX1139" t="s">
        <v>119</v>
      </c>
      <c r="BY1139" t="s">
        <v>120</v>
      </c>
      <c r="CJ1139">
        <v>0</v>
      </c>
      <c r="CK1139">
        <v>0</v>
      </c>
      <c r="CL1139">
        <v>0</v>
      </c>
      <c r="CM1139">
        <v>2</v>
      </c>
      <c r="CN1139">
        <v>0</v>
      </c>
      <c r="CO1139">
        <v>7</v>
      </c>
      <c r="CP1139" t="s">
        <v>121</v>
      </c>
      <c r="CQ1139">
        <v>582</v>
      </c>
      <c r="CR1139">
        <v>0</v>
      </c>
      <c r="CW1139">
        <v>7046625</v>
      </c>
      <c r="CY1139">
        <v>0</v>
      </c>
      <c r="CZ1139">
        <v>0</v>
      </c>
      <c r="DA1139">
        <v>0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</row>
    <row r="1140" spans="1:113" x14ac:dyDescent="0.3">
      <c r="A1140" t="str">
        <f>"06/16/2022 19:23:43.911"</f>
        <v>06/16/2022 19:23:43.911</v>
      </c>
      <c r="C1140" t="str">
        <f t="shared" si="54"/>
        <v>FFBF5BC0</v>
      </c>
      <c r="D1140" t="s">
        <v>113</v>
      </c>
      <c r="E1140">
        <v>8</v>
      </c>
      <c r="H1140">
        <v>206</v>
      </c>
      <c r="I1140" t="s">
        <v>114</v>
      </c>
      <c r="J1140" t="s">
        <v>115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>"19:23:43.680"</f>
        <v>19:23:43.680</v>
      </c>
      <c r="T1140" t="str">
        <f>"19:23:43.680"</f>
        <v>19:23:43.680</v>
      </c>
      <c r="U1140" t="str">
        <f t="shared" si="52"/>
        <v>AB63B2</v>
      </c>
      <c r="V1140">
        <v>0</v>
      </c>
      <c r="W1140">
        <v>0</v>
      </c>
      <c r="X1140">
        <v>6</v>
      </c>
      <c r="Z1140">
        <v>0</v>
      </c>
      <c r="AA1140">
        <v>9</v>
      </c>
      <c r="AB1140">
        <v>3</v>
      </c>
      <c r="AC1140">
        <v>0</v>
      </c>
      <c r="AD1140">
        <v>10</v>
      </c>
      <c r="AE1140">
        <v>0</v>
      </c>
      <c r="AF1140">
        <v>0</v>
      </c>
      <c r="AG1140">
        <v>2</v>
      </c>
      <c r="AH1140">
        <v>0</v>
      </c>
      <c r="AI1140" t="s">
        <v>126</v>
      </c>
      <c r="AJ1140">
        <v>41.991463000000003</v>
      </c>
      <c r="AK1140" t="s">
        <v>1024</v>
      </c>
      <c r="AL1140">
        <v>-87.892748999999995</v>
      </c>
      <c r="AS1140">
        <v>1</v>
      </c>
      <c r="AT1140" t="s">
        <v>118</v>
      </c>
      <c r="AU1140" t="b">
        <v>1</v>
      </c>
      <c r="AV1140">
        <v>106.88</v>
      </c>
      <c r="AW1140">
        <v>9.125</v>
      </c>
      <c r="AX1140">
        <v>1</v>
      </c>
      <c r="AZ1140">
        <v>7205</v>
      </c>
      <c r="BA1140">
        <v>1</v>
      </c>
      <c r="BB1140" t="str">
        <f t="shared" si="53"/>
        <v xml:space="preserve">KAP400  </v>
      </c>
      <c r="BC1140">
        <v>1</v>
      </c>
      <c r="BE1140">
        <v>0</v>
      </c>
      <c r="BF1140">
        <v>0</v>
      </c>
      <c r="BG1140">
        <v>0</v>
      </c>
      <c r="BI1140">
        <v>1</v>
      </c>
      <c r="BJ1140">
        <v>1</v>
      </c>
      <c r="BK1140">
        <v>1</v>
      </c>
      <c r="BL1140">
        <v>0</v>
      </c>
      <c r="BO1140">
        <v>0</v>
      </c>
      <c r="BP1140">
        <v>0</v>
      </c>
      <c r="BW1140" t="str">
        <f>"19:23:43.684"</f>
        <v>19:23:43.684</v>
      </c>
      <c r="BX1140" t="s">
        <v>119</v>
      </c>
      <c r="BY1140" t="s">
        <v>120</v>
      </c>
      <c r="CJ1140">
        <v>0</v>
      </c>
      <c r="CK1140">
        <v>0</v>
      </c>
      <c r="CL1140">
        <v>0</v>
      </c>
      <c r="CM1140">
        <v>2</v>
      </c>
      <c r="CN1140">
        <v>0</v>
      </c>
      <c r="CO1140">
        <v>7</v>
      </c>
      <c r="CP1140" t="s">
        <v>121</v>
      </c>
      <c r="CQ1140">
        <v>581</v>
      </c>
      <c r="CR1140">
        <v>0</v>
      </c>
      <c r="CW1140">
        <v>16181822</v>
      </c>
      <c r="CY1140">
        <v>0</v>
      </c>
      <c r="CZ1140">
        <v>0</v>
      </c>
      <c r="DA1140">
        <v>0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</row>
    <row r="1141" spans="1:113" x14ac:dyDescent="0.3">
      <c r="A1141" t="str">
        <f>"06/16/2022 19:23:45.067"</f>
        <v>06/16/2022 19:23:45.067</v>
      </c>
      <c r="C1141" t="str">
        <f t="shared" si="54"/>
        <v>FFBF5BC0</v>
      </c>
      <c r="D1141" t="s">
        <v>113</v>
      </c>
      <c r="E1141">
        <v>8</v>
      </c>
      <c r="H1141">
        <v>206</v>
      </c>
      <c r="I1141" t="s">
        <v>114</v>
      </c>
      <c r="J1141" t="s">
        <v>115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>"19:23:44.672"</f>
        <v>19:23:44.672</v>
      </c>
      <c r="T1141" t="str">
        <f>"19:23:44.672"</f>
        <v>19:23:44.672</v>
      </c>
      <c r="U1141" t="str">
        <f t="shared" si="52"/>
        <v>AB63B2</v>
      </c>
      <c r="V1141">
        <v>0</v>
      </c>
      <c r="W1141">
        <v>0</v>
      </c>
      <c r="X1141">
        <v>6</v>
      </c>
      <c r="Z1141">
        <v>0</v>
      </c>
      <c r="AA1141">
        <v>9</v>
      </c>
      <c r="AB1141">
        <v>3</v>
      </c>
      <c r="AC1141">
        <v>0</v>
      </c>
      <c r="AD1141">
        <v>10</v>
      </c>
      <c r="AE1141">
        <v>0</v>
      </c>
      <c r="AF1141">
        <v>0</v>
      </c>
      <c r="AG1141">
        <v>2</v>
      </c>
      <c r="AH1141">
        <v>0</v>
      </c>
      <c r="AI1141" t="s">
        <v>126</v>
      </c>
      <c r="AJ1141">
        <v>41.991463000000003</v>
      </c>
      <c r="AK1141" t="s">
        <v>823</v>
      </c>
      <c r="AL1141">
        <v>-87.892706000000004</v>
      </c>
      <c r="AS1141">
        <v>1</v>
      </c>
      <c r="AT1141" t="s">
        <v>118</v>
      </c>
      <c r="AU1141" t="b">
        <v>1</v>
      </c>
      <c r="AV1141">
        <v>104.06</v>
      </c>
      <c r="AW1141">
        <v>8.625</v>
      </c>
      <c r="AX1141">
        <v>1</v>
      </c>
      <c r="AZ1141">
        <v>7205</v>
      </c>
      <c r="BA1141">
        <v>1</v>
      </c>
      <c r="BB1141" t="str">
        <f t="shared" si="53"/>
        <v xml:space="preserve">KAP400  </v>
      </c>
      <c r="BC1141">
        <v>1</v>
      </c>
      <c r="BE1141">
        <v>0</v>
      </c>
      <c r="BF1141">
        <v>0</v>
      </c>
      <c r="BG1141">
        <v>0</v>
      </c>
      <c r="BI1141">
        <v>1</v>
      </c>
      <c r="BJ1141">
        <v>1</v>
      </c>
      <c r="BK1141">
        <v>1</v>
      </c>
      <c r="BL1141">
        <v>0</v>
      </c>
      <c r="BO1141">
        <v>0</v>
      </c>
      <c r="BP1141">
        <v>0</v>
      </c>
      <c r="BW1141" t="str">
        <f>"19:23:44.680"</f>
        <v>19:23:44.680</v>
      </c>
      <c r="BX1141" t="s">
        <v>119</v>
      </c>
      <c r="BY1141" t="s">
        <v>120</v>
      </c>
      <c r="CJ1141">
        <v>0</v>
      </c>
      <c r="CK1141">
        <v>0</v>
      </c>
      <c r="CL1141">
        <v>0</v>
      </c>
      <c r="CM1141">
        <v>2</v>
      </c>
      <c r="CN1141">
        <v>0</v>
      </c>
      <c r="CO1141">
        <v>7</v>
      </c>
      <c r="CP1141" t="s">
        <v>121</v>
      </c>
      <c r="CQ1141">
        <v>582</v>
      </c>
      <c r="CR1141">
        <v>0</v>
      </c>
      <c r="CW1141">
        <v>7048984</v>
      </c>
      <c r="CY1141">
        <v>0</v>
      </c>
      <c r="CZ1141">
        <v>0</v>
      </c>
      <c r="DA1141">
        <v>0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</row>
    <row r="1142" spans="1:113" x14ac:dyDescent="0.3">
      <c r="A1142" t="str">
        <f>"06/16/2022 19:23:45.895"</f>
        <v>06/16/2022 19:23:45.895</v>
      </c>
      <c r="C1142" t="str">
        <f t="shared" si="54"/>
        <v>FFBF5BC0</v>
      </c>
      <c r="D1142" t="s">
        <v>113</v>
      </c>
      <c r="E1142">
        <v>8</v>
      </c>
      <c r="H1142">
        <v>206</v>
      </c>
      <c r="I1142" t="s">
        <v>114</v>
      </c>
      <c r="J1142" t="s">
        <v>115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>"19:23:45.609"</f>
        <v>19:23:45.609</v>
      </c>
      <c r="T1142" t="str">
        <f>"19:23:45.609"</f>
        <v>19:23:45.609</v>
      </c>
      <c r="U1142" t="str">
        <f t="shared" si="52"/>
        <v>AB63B2</v>
      </c>
      <c r="V1142">
        <v>0</v>
      </c>
      <c r="W1142">
        <v>0</v>
      </c>
      <c r="X1142">
        <v>6</v>
      </c>
      <c r="Z1142">
        <v>0</v>
      </c>
      <c r="AA1142">
        <v>9</v>
      </c>
      <c r="AB1142">
        <v>3</v>
      </c>
      <c r="AC1142">
        <v>0</v>
      </c>
      <c r="AD1142">
        <v>10</v>
      </c>
      <c r="AE1142">
        <v>0</v>
      </c>
      <c r="AF1142">
        <v>0</v>
      </c>
      <c r="AG1142">
        <v>2</v>
      </c>
      <c r="AH1142">
        <v>0</v>
      </c>
      <c r="AI1142" t="s">
        <v>126</v>
      </c>
      <c r="AJ1142">
        <v>41.991463000000003</v>
      </c>
      <c r="AK1142" t="s">
        <v>825</v>
      </c>
      <c r="AL1142">
        <v>-87.892662999999999</v>
      </c>
      <c r="AS1142">
        <v>1</v>
      </c>
      <c r="AT1142" t="s">
        <v>118</v>
      </c>
      <c r="AU1142" t="b">
        <v>1</v>
      </c>
      <c r="AV1142">
        <v>101.25</v>
      </c>
      <c r="AW1142">
        <v>8.625</v>
      </c>
      <c r="AX1142">
        <v>1</v>
      </c>
      <c r="AZ1142">
        <v>7205</v>
      </c>
      <c r="BA1142">
        <v>1</v>
      </c>
      <c r="BB1142" t="str">
        <f t="shared" si="53"/>
        <v xml:space="preserve">KAP400  </v>
      </c>
      <c r="BC1142">
        <v>1</v>
      </c>
      <c r="BE1142">
        <v>0</v>
      </c>
      <c r="BF1142">
        <v>0</v>
      </c>
      <c r="BG1142">
        <v>0</v>
      </c>
      <c r="BI1142">
        <v>1</v>
      </c>
      <c r="BJ1142">
        <v>1</v>
      </c>
      <c r="BK1142">
        <v>1</v>
      </c>
      <c r="BL1142">
        <v>0</v>
      </c>
      <c r="BO1142">
        <v>0</v>
      </c>
      <c r="BP1142">
        <v>0</v>
      </c>
      <c r="BW1142" t="str">
        <f>"19:23:45.610"</f>
        <v>19:23:45.610</v>
      </c>
      <c r="BX1142" t="s">
        <v>119</v>
      </c>
      <c r="BY1142" t="s">
        <v>120</v>
      </c>
      <c r="CJ1142">
        <v>0</v>
      </c>
      <c r="CK1142">
        <v>0</v>
      </c>
      <c r="CL1142">
        <v>0</v>
      </c>
      <c r="CM1142">
        <v>2</v>
      </c>
      <c r="CN1142">
        <v>0</v>
      </c>
      <c r="CO1142">
        <v>7</v>
      </c>
      <c r="CP1142" t="s">
        <v>121</v>
      </c>
      <c r="CQ1142">
        <v>582</v>
      </c>
      <c r="CR1142">
        <v>0</v>
      </c>
      <c r="CW1142">
        <v>7050064</v>
      </c>
      <c r="CY1142">
        <v>0</v>
      </c>
      <c r="CZ1142">
        <v>0</v>
      </c>
      <c r="DA1142">
        <v>0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</row>
    <row r="1143" spans="1:113" x14ac:dyDescent="0.3">
      <c r="A1143" t="str">
        <f>"06/16/2022 19:23:46.981"</f>
        <v>06/16/2022 19:23:46.981</v>
      </c>
      <c r="C1143" t="str">
        <f t="shared" si="54"/>
        <v>FFBF5BC0</v>
      </c>
      <c r="D1143" t="s">
        <v>113</v>
      </c>
      <c r="E1143">
        <v>8</v>
      </c>
      <c r="H1143">
        <v>206</v>
      </c>
      <c r="I1143" t="s">
        <v>114</v>
      </c>
      <c r="J1143" t="s">
        <v>115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>"19:23:46.594"</f>
        <v>19:23:46.594</v>
      </c>
      <c r="T1143" t="str">
        <f>"19:23:46.594"</f>
        <v>19:23:46.594</v>
      </c>
      <c r="U1143" t="str">
        <f t="shared" si="52"/>
        <v>AB63B2</v>
      </c>
      <c r="V1143">
        <v>0</v>
      </c>
      <c r="W1143">
        <v>0</v>
      </c>
      <c r="X1143">
        <v>6</v>
      </c>
      <c r="Z1143">
        <v>0</v>
      </c>
      <c r="AA1143">
        <v>9</v>
      </c>
      <c r="AB1143">
        <v>3</v>
      </c>
      <c r="AC1143">
        <v>0</v>
      </c>
      <c r="AD1143">
        <v>10</v>
      </c>
      <c r="AE1143">
        <v>0</v>
      </c>
      <c r="AF1143">
        <v>0</v>
      </c>
      <c r="AG1143">
        <v>2</v>
      </c>
      <c r="AH1143">
        <v>0</v>
      </c>
      <c r="AI1143" t="s">
        <v>1017</v>
      </c>
      <c r="AJ1143">
        <v>41.991441000000002</v>
      </c>
      <c r="AK1143" t="s">
        <v>826</v>
      </c>
      <c r="AL1143">
        <v>-87.892599000000004</v>
      </c>
      <c r="AS1143">
        <v>1</v>
      </c>
      <c r="AT1143" t="s">
        <v>118</v>
      </c>
      <c r="AU1143" t="b">
        <v>1</v>
      </c>
      <c r="AV1143">
        <v>98.44</v>
      </c>
      <c r="AW1143">
        <v>8.125</v>
      </c>
      <c r="AX1143">
        <v>1</v>
      </c>
      <c r="AZ1143">
        <v>7205</v>
      </c>
      <c r="BA1143">
        <v>1</v>
      </c>
      <c r="BB1143" t="str">
        <f t="shared" si="53"/>
        <v xml:space="preserve">KAP400  </v>
      </c>
      <c r="BC1143">
        <v>1</v>
      </c>
      <c r="BE1143">
        <v>0</v>
      </c>
      <c r="BF1143">
        <v>0</v>
      </c>
      <c r="BG1143">
        <v>0</v>
      </c>
      <c r="BI1143">
        <v>1</v>
      </c>
      <c r="BJ1143">
        <v>1</v>
      </c>
      <c r="BK1143">
        <v>1</v>
      </c>
      <c r="BL1143">
        <v>0</v>
      </c>
      <c r="BO1143">
        <v>0</v>
      </c>
      <c r="BP1143">
        <v>0</v>
      </c>
      <c r="BW1143" t="str">
        <f>"19:23:46.602"</f>
        <v>19:23:46.602</v>
      </c>
      <c r="BX1143" t="s">
        <v>119</v>
      </c>
      <c r="BY1143" t="s">
        <v>120</v>
      </c>
      <c r="CJ1143">
        <v>0</v>
      </c>
      <c r="CK1143">
        <v>0</v>
      </c>
      <c r="CL1143">
        <v>0</v>
      </c>
      <c r="CM1143">
        <v>2</v>
      </c>
      <c r="CN1143">
        <v>0</v>
      </c>
      <c r="CO1143">
        <v>6</v>
      </c>
      <c r="CP1143" t="s">
        <v>121</v>
      </c>
      <c r="CQ1143">
        <v>582</v>
      </c>
      <c r="CR1143">
        <v>0</v>
      </c>
      <c r="CW1143">
        <v>7051286</v>
      </c>
      <c r="CY1143">
        <v>0</v>
      </c>
      <c r="CZ1143">
        <v>0</v>
      </c>
      <c r="DA1143">
        <v>0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</row>
    <row r="1144" spans="1:113" x14ac:dyDescent="0.3">
      <c r="A1144" t="str">
        <f>"06/16/2022 19:23:47.903"</f>
        <v>06/16/2022 19:23:47.903</v>
      </c>
      <c r="C1144" t="str">
        <f t="shared" si="54"/>
        <v>FFBF5BC0</v>
      </c>
      <c r="D1144" t="s">
        <v>113</v>
      </c>
      <c r="E1144">
        <v>8</v>
      </c>
      <c r="H1144">
        <v>206</v>
      </c>
      <c r="I1144" t="s">
        <v>114</v>
      </c>
      <c r="J1144" t="s">
        <v>115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>"19:23:47.672"</f>
        <v>19:23:47.672</v>
      </c>
      <c r="T1144" t="str">
        <f>"19:23:47.672"</f>
        <v>19:23:47.672</v>
      </c>
      <c r="U1144" t="str">
        <f t="shared" si="52"/>
        <v>AB63B2</v>
      </c>
      <c r="V1144">
        <v>0</v>
      </c>
      <c r="W1144">
        <v>0</v>
      </c>
      <c r="X1144">
        <v>6</v>
      </c>
      <c r="Z1144">
        <v>0</v>
      </c>
      <c r="AA1144">
        <v>9</v>
      </c>
      <c r="AB1144">
        <v>3</v>
      </c>
      <c r="AC1144">
        <v>0</v>
      </c>
      <c r="AD1144">
        <v>10</v>
      </c>
      <c r="AE1144">
        <v>0</v>
      </c>
      <c r="AF1144">
        <v>0</v>
      </c>
      <c r="AG1144">
        <v>2</v>
      </c>
      <c r="AH1144">
        <v>0</v>
      </c>
      <c r="AI1144" t="s">
        <v>1017</v>
      </c>
      <c r="AJ1144">
        <v>41.991441000000002</v>
      </c>
      <c r="AK1144" t="s">
        <v>1025</v>
      </c>
      <c r="AL1144">
        <v>-87.892555999999999</v>
      </c>
      <c r="AS1144">
        <v>1</v>
      </c>
      <c r="AT1144" t="s">
        <v>118</v>
      </c>
      <c r="AU1144" t="b">
        <v>1</v>
      </c>
      <c r="AV1144">
        <v>95.63</v>
      </c>
      <c r="AW1144">
        <v>7.625</v>
      </c>
      <c r="AX1144">
        <v>1</v>
      </c>
      <c r="AZ1144">
        <v>7205</v>
      </c>
      <c r="BA1144">
        <v>1</v>
      </c>
      <c r="BB1144" t="str">
        <f t="shared" si="53"/>
        <v xml:space="preserve">KAP400  </v>
      </c>
      <c r="BC1144">
        <v>1</v>
      </c>
      <c r="BE1144">
        <v>0</v>
      </c>
      <c r="BF1144">
        <v>0</v>
      </c>
      <c r="BG1144">
        <v>0</v>
      </c>
      <c r="BI1144">
        <v>1</v>
      </c>
      <c r="BJ1144">
        <v>1</v>
      </c>
      <c r="BK1144">
        <v>1</v>
      </c>
      <c r="BL1144">
        <v>0</v>
      </c>
      <c r="BO1144">
        <v>0</v>
      </c>
      <c r="BP1144">
        <v>0</v>
      </c>
      <c r="BW1144" t="str">
        <f>"19:23:47.675"</f>
        <v>19:23:47.675</v>
      </c>
      <c r="BX1144" t="s">
        <v>119</v>
      </c>
      <c r="BY1144" t="s">
        <v>120</v>
      </c>
      <c r="CJ1144">
        <v>0</v>
      </c>
      <c r="CK1144">
        <v>0</v>
      </c>
      <c r="CL1144">
        <v>0</v>
      </c>
      <c r="CM1144">
        <v>2</v>
      </c>
      <c r="CN1144">
        <v>0</v>
      </c>
      <c r="CO1144">
        <v>7</v>
      </c>
      <c r="CP1144" t="s">
        <v>121</v>
      </c>
      <c r="CQ1144">
        <v>582</v>
      </c>
      <c r="CR1144">
        <v>0</v>
      </c>
      <c r="CW1144">
        <v>7052486</v>
      </c>
      <c r="CY1144">
        <v>0</v>
      </c>
      <c r="CZ1144">
        <v>0</v>
      </c>
      <c r="DA1144">
        <v>0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</row>
    <row r="1145" spans="1:113" x14ac:dyDescent="0.3">
      <c r="A1145" t="str">
        <f>"06/16/2022 19:23:48.871"</f>
        <v>06/16/2022 19:23:48.871</v>
      </c>
      <c r="C1145" t="str">
        <f t="shared" si="54"/>
        <v>FFBF5BC0</v>
      </c>
      <c r="D1145" t="s">
        <v>113</v>
      </c>
      <c r="E1145">
        <v>8</v>
      </c>
      <c r="H1145">
        <v>206</v>
      </c>
      <c r="I1145" t="s">
        <v>114</v>
      </c>
      <c r="J1145" t="s">
        <v>115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>"19:23:48.617"</f>
        <v>19:23:48.617</v>
      </c>
      <c r="T1145" t="str">
        <f>"19:23:48.617"</f>
        <v>19:23:48.617</v>
      </c>
      <c r="U1145" t="str">
        <f t="shared" si="52"/>
        <v>AB63B2</v>
      </c>
      <c r="V1145">
        <v>0</v>
      </c>
      <c r="W1145">
        <v>0</v>
      </c>
      <c r="X1145">
        <v>6</v>
      </c>
      <c r="Z1145">
        <v>0</v>
      </c>
      <c r="AA1145">
        <v>9</v>
      </c>
      <c r="AB1145">
        <v>3</v>
      </c>
      <c r="AC1145">
        <v>0</v>
      </c>
      <c r="AD1145">
        <v>10</v>
      </c>
      <c r="AE1145">
        <v>0</v>
      </c>
      <c r="AF1145">
        <v>0</v>
      </c>
      <c r="AG1145">
        <v>2</v>
      </c>
      <c r="AH1145">
        <v>0</v>
      </c>
      <c r="AI1145" t="s">
        <v>1017</v>
      </c>
      <c r="AJ1145">
        <v>41.991441000000002</v>
      </c>
      <c r="AK1145" t="s">
        <v>827</v>
      </c>
      <c r="AL1145">
        <v>-87.892534999999995</v>
      </c>
      <c r="AS1145">
        <v>1</v>
      </c>
      <c r="AT1145" t="s">
        <v>118</v>
      </c>
      <c r="AU1145" t="b">
        <v>1</v>
      </c>
      <c r="AV1145">
        <v>90</v>
      </c>
      <c r="AW1145">
        <v>7.125</v>
      </c>
      <c r="AX1145">
        <v>1</v>
      </c>
      <c r="AZ1145">
        <v>7205</v>
      </c>
      <c r="BA1145">
        <v>1</v>
      </c>
      <c r="BB1145" t="str">
        <f t="shared" si="53"/>
        <v xml:space="preserve">KAP400  </v>
      </c>
      <c r="BC1145">
        <v>1</v>
      </c>
      <c r="BE1145">
        <v>0</v>
      </c>
      <c r="BF1145">
        <v>0</v>
      </c>
      <c r="BG1145">
        <v>0</v>
      </c>
      <c r="BI1145">
        <v>1</v>
      </c>
      <c r="BJ1145">
        <v>1</v>
      </c>
      <c r="BK1145">
        <v>1</v>
      </c>
      <c r="BL1145">
        <v>0</v>
      </c>
      <c r="BO1145">
        <v>0</v>
      </c>
      <c r="BP1145">
        <v>0</v>
      </c>
      <c r="BW1145" t="str">
        <f>"19:23:48.622"</f>
        <v>19:23:48.622</v>
      </c>
      <c r="BX1145" t="s">
        <v>119</v>
      </c>
      <c r="BY1145" t="s">
        <v>120</v>
      </c>
      <c r="CJ1145">
        <v>0</v>
      </c>
      <c r="CK1145">
        <v>0</v>
      </c>
      <c r="CL1145">
        <v>0</v>
      </c>
      <c r="CM1145">
        <v>2</v>
      </c>
      <c r="CN1145">
        <v>0</v>
      </c>
      <c r="CO1145">
        <v>7</v>
      </c>
      <c r="CP1145" t="s">
        <v>121</v>
      </c>
      <c r="CQ1145">
        <v>582</v>
      </c>
      <c r="CR1145">
        <v>0</v>
      </c>
      <c r="CW1145">
        <v>7053545</v>
      </c>
      <c r="CY1145">
        <v>0</v>
      </c>
      <c r="CZ1145">
        <v>0</v>
      </c>
      <c r="DA1145">
        <v>0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</row>
    <row r="1146" spans="1:113" x14ac:dyDescent="0.3">
      <c r="A1146" t="str">
        <f>"06/16/2022 19:23:49.918"</f>
        <v>06/16/2022 19:23:49.918</v>
      </c>
      <c r="C1146" t="str">
        <f t="shared" si="54"/>
        <v>FFBF5BC0</v>
      </c>
      <c r="D1146" t="s">
        <v>113</v>
      </c>
      <c r="E1146">
        <v>8</v>
      </c>
      <c r="H1146">
        <v>206</v>
      </c>
      <c r="I1146" t="s">
        <v>114</v>
      </c>
      <c r="J1146" t="s">
        <v>115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>"19:23:49.617"</f>
        <v>19:23:49.617</v>
      </c>
      <c r="T1146" t="str">
        <f>"19:23:49.617"</f>
        <v>19:23:49.617</v>
      </c>
      <c r="U1146" t="str">
        <f t="shared" si="52"/>
        <v>AB63B2</v>
      </c>
      <c r="V1146">
        <v>0</v>
      </c>
      <c r="W1146">
        <v>0</v>
      </c>
      <c r="X1146">
        <v>6</v>
      </c>
      <c r="Z1146">
        <v>0</v>
      </c>
      <c r="AA1146">
        <v>9</v>
      </c>
      <c r="AB1146">
        <v>3</v>
      </c>
      <c r="AC1146">
        <v>0</v>
      </c>
      <c r="AD1146">
        <v>10</v>
      </c>
      <c r="AE1146">
        <v>0</v>
      </c>
      <c r="AF1146">
        <v>0</v>
      </c>
      <c r="AG1146">
        <v>2</v>
      </c>
      <c r="AH1146">
        <v>0</v>
      </c>
      <c r="AI1146" t="s">
        <v>1017</v>
      </c>
      <c r="AJ1146">
        <v>41.991441000000002</v>
      </c>
      <c r="AK1146" t="s">
        <v>829</v>
      </c>
      <c r="AL1146">
        <v>-87.892470000000003</v>
      </c>
      <c r="AS1146">
        <v>1</v>
      </c>
      <c r="AT1146" t="s">
        <v>118</v>
      </c>
      <c r="AU1146" t="b">
        <v>1</v>
      </c>
      <c r="AV1146">
        <v>81.56</v>
      </c>
      <c r="AW1146">
        <v>6.125</v>
      </c>
      <c r="AX1146">
        <v>1</v>
      </c>
      <c r="AZ1146">
        <v>7205</v>
      </c>
      <c r="BA1146">
        <v>1</v>
      </c>
      <c r="BB1146" t="str">
        <f t="shared" si="53"/>
        <v xml:space="preserve">KAP400  </v>
      </c>
      <c r="BC1146">
        <v>1</v>
      </c>
      <c r="BE1146">
        <v>0</v>
      </c>
      <c r="BF1146">
        <v>0</v>
      </c>
      <c r="BG1146">
        <v>0</v>
      </c>
      <c r="BI1146">
        <v>1</v>
      </c>
      <c r="BJ1146">
        <v>1</v>
      </c>
      <c r="BK1146">
        <v>1</v>
      </c>
      <c r="BL1146">
        <v>0</v>
      </c>
      <c r="BO1146">
        <v>0</v>
      </c>
      <c r="BP1146">
        <v>0</v>
      </c>
      <c r="BW1146" t="str">
        <f>"19:23:49.620"</f>
        <v>19:23:49.620</v>
      </c>
      <c r="BX1146" t="s">
        <v>119</v>
      </c>
      <c r="BY1146" t="s">
        <v>120</v>
      </c>
      <c r="CJ1146">
        <v>0</v>
      </c>
      <c r="CK1146">
        <v>0</v>
      </c>
      <c r="CL1146">
        <v>0</v>
      </c>
      <c r="CM1146">
        <v>2</v>
      </c>
      <c r="CN1146">
        <v>0</v>
      </c>
      <c r="CO1146">
        <v>7</v>
      </c>
      <c r="CP1146" t="s">
        <v>121</v>
      </c>
      <c r="CQ1146">
        <v>582</v>
      </c>
      <c r="CR1146">
        <v>0</v>
      </c>
      <c r="CW1146">
        <v>7054748</v>
      </c>
      <c r="CY1146">
        <v>0</v>
      </c>
      <c r="CZ1146">
        <v>0</v>
      </c>
      <c r="DA1146">
        <v>0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</row>
    <row r="1147" spans="1:113" x14ac:dyDescent="0.3">
      <c r="A1147" t="str">
        <f>"06/16/2022 19:23:50.668"</f>
        <v>06/16/2022 19:23:50.668</v>
      </c>
      <c r="C1147" t="str">
        <f t="shared" si="54"/>
        <v>FFBF5BC0</v>
      </c>
      <c r="D1147" t="s">
        <v>113</v>
      </c>
      <c r="E1147">
        <v>8</v>
      </c>
      <c r="H1147">
        <v>206</v>
      </c>
      <c r="I1147" t="s">
        <v>114</v>
      </c>
      <c r="J1147" t="s">
        <v>115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>"19:23:50.453"</f>
        <v>19:23:50.453</v>
      </c>
      <c r="T1147" t="str">
        <f>"19:23:50.453"</f>
        <v>19:23:50.453</v>
      </c>
      <c r="U1147" t="str">
        <f t="shared" si="52"/>
        <v>AB63B2</v>
      </c>
      <c r="V1147">
        <v>0</v>
      </c>
      <c r="W1147">
        <v>0</v>
      </c>
      <c r="X1147">
        <v>6</v>
      </c>
      <c r="Z1147">
        <v>0</v>
      </c>
      <c r="AA1147">
        <v>9</v>
      </c>
      <c r="AB1147">
        <v>3</v>
      </c>
      <c r="AC1147">
        <v>0</v>
      </c>
      <c r="AD1147">
        <v>10</v>
      </c>
      <c r="AE1147">
        <v>0</v>
      </c>
      <c r="AF1147">
        <v>0</v>
      </c>
      <c r="AG1147">
        <v>2</v>
      </c>
      <c r="AH1147">
        <v>0</v>
      </c>
      <c r="AI1147" t="s">
        <v>1017</v>
      </c>
      <c r="AJ1147">
        <v>41.991441000000002</v>
      </c>
      <c r="AK1147" t="s">
        <v>1026</v>
      </c>
      <c r="AL1147">
        <v>-87.892448999999999</v>
      </c>
      <c r="AS1147">
        <v>1</v>
      </c>
      <c r="AT1147" t="s">
        <v>118</v>
      </c>
      <c r="AU1147" t="b">
        <v>1</v>
      </c>
      <c r="AV1147">
        <v>70.31</v>
      </c>
      <c r="AW1147">
        <v>6.125</v>
      </c>
      <c r="AX1147">
        <v>1</v>
      </c>
      <c r="AZ1147">
        <v>7205</v>
      </c>
      <c r="BA1147">
        <v>1</v>
      </c>
      <c r="BB1147" t="str">
        <f t="shared" si="53"/>
        <v xml:space="preserve">KAP400  </v>
      </c>
      <c r="BC1147">
        <v>1</v>
      </c>
      <c r="BE1147">
        <v>0</v>
      </c>
      <c r="BF1147">
        <v>0</v>
      </c>
      <c r="BG1147">
        <v>0</v>
      </c>
      <c r="BI1147">
        <v>1</v>
      </c>
      <c r="BJ1147">
        <v>1</v>
      </c>
      <c r="BK1147">
        <v>1</v>
      </c>
      <c r="BL1147">
        <v>0</v>
      </c>
      <c r="BO1147">
        <v>0</v>
      </c>
      <c r="BP1147">
        <v>0</v>
      </c>
      <c r="BW1147" t="str">
        <f>"19:23:50.460"</f>
        <v>19:23:50.460</v>
      </c>
      <c r="BX1147" t="s">
        <v>119</v>
      </c>
      <c r="BY1147" t="s">
        <v>120</v>
      </c>
      <c r="CJ1147">
        <v>0</v>
      </c>
      <c r="CK1147">
        <v>0</v>
      </c>
      <c r="CL1147">
        <v>0</v>
      </c>
      <c r="CM1147">
        <v>2</v>
      </c>
      <c r="CN1147">
        <v>0</v>
      </c>
      <c r="CO1147">
        <v>6</v>
      </c>
      <c r="CP1147" t="s">
        <v>121</v>
      </c>
      <c r="CQ1147">
        <v>582</v>
      </c>
      <c r="CR1147">
        <v>0</v>
      </c>
      <c r="CW1147">
        <v>7055693</v>
      </c>
      <c r="CY1147">
        <v>0</v>
      </c>
      <c r="CZ1147">
        <v>0</v>
      </c>
      <c r="DA1147">
        <v>0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</row>
    <row r="1148" spans="1:113" x14ac:dyDescent="0.3">
      <c r="A1148" t="str">
        <f>"06/16/2022 19:23:51.559"</f>
        <v>06/16/2022 19:23:51.559</v>
      </c>
      <c r="C1148" t="str">
        <f t="shared" si="54"/>
        <v>FFBF5BC0</v>
      </c>
      <c r="D1148" t="s">
        <v>113</v>
      </c>
      <c r="E1148">
        <v>8</v>
      </c>
      <c r="H1148">
        <v>206</v>
      </c>
      <c r="I1148" t="s">
        <v>114</v>
      </c>
      <c r="J1148" t="s">
        <v>115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>"19:23:51.313"</f>
        <v>19:23:51.313</v>
      </c>
      <c r="T1148" t="str">
        <f>"19:23:51.313"</f>
        <v>19:23:51.313</v>
      </c>
      <c r="U1148" t="str">
        <f t="shared" si="52"/>
        <v>AB63B2</v>
      </c>
      <c r="V1148">
        <v>0</v>
      </c>
      <c r="W1148">
        <v>0</v>
      </c>
      <c r="X1148">
        <v>6</v>
      </c>
      <c r="Z1148">
        <v>0</v>
      </c>
      <c r="AA1148">
        <v>9</v>
      </c>
      <c r="AB1148">
        <v>3</v>
      </c>
      <c r="AC1148">
        <v>0</v>
      </c>
      <c r="AD1148">
        <v>10</v>
      </c>
      <c r="AE1148">
        <v>0</v>
      </c>
      <c r="AF1148">
        <v>0</v>
      </c>
      <c r="AG1148">
        <v>2</v>
      </c>
      <c r="AH1148">
        <v>0</v>
      </c>
      <c r="AI1148" t="s">
        <v>1017</v>
      </c>
      <c r="AJ1148">
        <v>41.991441000000002</v>
      </c>
      <c r="AK1148" t="s">
        <v>1027</v>
      </c>
      <c r="AL1148">
        <v>-87.892426999999998</v>
      </c>
      <c r="AS1148">
        <v>1</v>
      </c>
      <c r="AT1148" t="s">
        <v>118</v>
      </c>
      <c r="AU1148" t="b">
        <v>1</v>
      </c>
      <c r="AV1148">
        <v>56.25</v>
      </c>
      <c r="AW1148">
        <v>5.625</v>
      </c>
      <c r="AX1148">
        <v>1</v>
      </c>
      <c r="AZ1148">
        <v>7205</v>
      </c>
      <c r="BA1148">
        <v>1</v>
      </c>
      <c r="BB1148" t="str">
        <f t="shared" si="53"/>
        <v xml:space="preserve">KAP400  </v>
      </c>
      <c r="BC1148">
        <v>1</v>
      </c>
      <c r="BE1148">
        <v>0</v>
      </c>
      <c r="BF1148">
        <v>0</v>
      </c>
      <c r="BG1148">
        <v>0</v>
      </c>
      <c r="BI1148">
        <v>1</v>
      </c>
      <c r="BJ1148">
        <v>1</v>
      </c>
      <c r="BK1148">
        <v>1</v>
      </c>
      <c r="BL1148">
        <v>0</v>
      </c>
      <c r="BO1148">
        <v>0</v>
      </c>
      <c r="BP1148">
        <v>0</v>
      </c>
      <c r="BW1148" t="str">
        <f>"19:23:51.317"</f>
        <v>19:23:51.317</v>
      </c>
      <c r="BX1148" t="s">
        <v>119</v>
      </c>
      <c r="BY1148" t="s">
        <v>120</v>
      </c>
      <c r="CJ1148">
        <v>0</v>
      </c>
      <c r="CK1148">
        <v>0</v>
      </c>
      <c r="CL1148">
        <v>0</v>
      </c>
      <c r="CM1148">
        <v>2</v>
      </c>
      <c r="CN1148">
        <v>0</v>
      </c>
      <c r="CO1148">
        <v>6</v>
      </c>
      <c r="CP1148" t="s">
        <v>121</v>
      </c>
      <c r="CQ1148">
        <v>581</v>
      </c>
      <c r="CR1148">
        <v>0</v>
      </c>
      <c r="CW1148">
        <v>16191563</v>
      </c>
      <c r="CY1148">
        <v>0</v>
      </c>
      <c r="CZ1148">
        <v>0</v>
      </c>
      <c r="DA1148">
        <v>0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</row>
    <row r="1149" spans="1:113" x14ac:dyDescent="0.3">
      <c r="A1149" t="str">
        <f>"06/16/2022 19:23:52.454"</f>
        <v>06/16/2022 19:23:52.454</v>
      </c>
      <c r="C1149" t="str">
        <f t="shared" si="54"/>
        <v>FFBF5BC0</v>
      </c>
      <c r="D1149" t="s">
        <v>113</v>
      </c>
      <c r="E1149">
        <v>8</v>
      </c>
      <c r="H1149">
        <v>206</v>
      </c>
      <c r="I1149" t="s">
        <v>114</v>
      </c>
      <c r="J1149" t="s">
        <v>115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>"19:23:52.234"</f>
        <v>19:23:52.234</v>
      </c>
      <c r="T1149" t="str">
        <f>"19:23:52.234"</f>
        <v>19:23:52.234</v>
      </c>
      <c r="U1149" t="str">
        <f t="shared" si="52"/>
        <v>AB63B2</v>
      </c>
      <c r="V1149">
        <v>0</v>
      </c>
      <c r="W1149">
        <v>0</v>
      </c>
      <c r="X1149">
        <v>6</v>
      </c>
      <c r="Z1149">
        <v>0</v>
      </c>
      <c r="AA1149">
        <v>9</v>
      </c>
      <c r="AB1149">
        <v>3</v>
      </c>
      <c r="AC1149">
        <v>0</v>
      </c>
      <c r="AD1149">
        <v>10</v>
      </c>
      <c r="AE1149">
        <v>0</v>
      </c>
      <c r="AF1149">
        <v>0</v>
      </c>
      <c r="AG1149">
        <v>2</v>
      </c>
      <c r="AH1149">
        <v>0</v>
      </c>
      <c r="AI1149" t="s">
        <v>1017</v>
      </c>
      <c r="AJ1149">
        <v>41.991441000000002</v>
      </c>
      <c r="AK1149" t="s">
        <v>831</v>
      </c>
      <c r="AL1149">
        <v>-87.892405999999994</v>
      </c>
      <c r="AS1149">
        <v>1</v>
      </c>
      <c r="AT1149" t="s">
        <v>118</v>
      </c>
      <c r="AU1149" t="b">
        <v>1</v>
      </c>
      <c r="AV1149">
        <v>39.380000000000003</v>
      </c>
      <c r="AW1149">
        <v>4.625</v>
      </c>
      <c r="AX1149">
        <v>1</v>
      </c>
      <c r="AZ1149">
        <v>7205</v>
      </c>
      <c r="BA1149">
        <v>1</v>
      </c>
      <c r="BB1149" t="str">
        <f t="shared" si="53"/>
        <v xml:space="preserve">KAP400  </v>
      </c>
      <c r="BC1149">
        <v>1</v>
      </c>
      <c r="BE1149">
        <v>0</v>
      </c>
      <c r="BF1149">
        <v>0</v>
      </c>
      <c r="BG1149">
        <v>0</v>
      </c>
      <c r="BI1149">
        <v>1</v>
      </c>
      <c r="BJ1149">
        <v>1</v>
      </c>
      <c r="BK1149">
        <v>1</v>
      </c>
      <c r="BL1149">
        <v>0</v>
      </c>
      <c r="BO1149">
        <v>0</v>
      </c>
      <c r="BP1149">
        <v>0</v>
      </c>
      <c r="BW1149" t="str">
        <f>"19:23:52.241"</f>
        <v>19:23:52.241</v>
      </c>
      <c r="BX1149" t="s">
        <v>119</v>
      </c>
      <c r="BY1149" t="s">
        <v>120</v>
      </c>
      <c r="CJ1149">
        <v>0</v>
      </c>
      <c r="CK1149">
        <v>0</v>
      </c>
      <c r="CL1149">
        <v>0</v>
      </c>
      <c r="CM1149">
        <v>2</v>
      </c>
      <c r="CN1149">
        <v>0</v>
      </c>
      <c r="CO1149">
        <v>7</v>
      </c>
      <c r="CP1149" t="s">
        <v>121</v>
      </c>
      <c r="CQ1149">
        <v>582</v>
      </c>
      <c r="CR1149">
        <v>0</v>
      </c>
      <c r="CW1149">
        <v>7057679</v>
      </c>
      <c r="CY1149">
        <v>0</v>
      </c>
      <c r="CZ1149">
        <v>0</v>
      </c>
      <c r="DA1149">
        <v>0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</row>
    <row r="1150" spans="1:113" x14ac:dyDescent="0.3">
      <c r="A1150" t="str">
        <f>"06/16/2022 19:23:53.438"</f>
        <v>06/16/2022 19:23:53.438</v>
      </c>
      <c r="C1150" t="str">
        <f t="shared" si="54"/>
        <v>FFBF5BC0</v>
      </c>
      <c r="D1150" t="s">
        <v>113</v>
      </c>
      <c r="E1150">
        <v>8</v>
      </c>
      <c r="H1150">
        <v>206</v>
      </c>
      <c r="I1150" t="s">
        <v>114</v>
      </c>
      <c r="J1150" t="s">
        <v>115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>"19:23:53.148"</f>
        <v>19:23:53.148</v>
      </c>
      <c r="T1150" t="str">
        <f>"19:23:53.148"</f>
        <v>19:23:53.148</v>
      </c>
      <c r="U1150" t="str">
        <f t="shared" si="52"/>
        <v>AB63B2</v>
      </c>
      <c r="V1150">
        <v>0</v>
      </c>
      <c r="W1150">
        <v>0</v>
      </c>
      <c r="X1150">
        <v>6</v>
      </c>
      <c r="Z1150">
        <v>0</v>
      </c>
      <c r="AA1150">
        <v>9</v>
      </c>
      <c r="AB1150">
        <v>3</v>
      </c>
      <c r="AC1150">
        <v>0</v>
      </c>
      <c r="AD1150">
        <v>10</v>
      </c>
      <c r="AE1150">
        <v>0</v>
      </c>
      <c r="AF1150">
        <v>0</v>
      </c>
      <c r="AG1150">
        <v>2</v>
      </c>
      <c r="AH1150">
        <v>0</v>
      </c>
      <c r="AI1150" t="s">
        <v>1017</v>
      </c>
      <c r="AJ1150">
        <v>41.991441000000002</v>
      </c>
      <c r="AK1150" t="s">
        <v>1028</v>
      </c>
      <c r="AL1150">
        <v>-87.892363000000003</v>
      </c>
      <c r="AS1150">
        <v>1</v>
      </c>
      <c r="AT1150" t="s">
        <v>118</v>
      </c>
      <c r="AU1150" t="b">
        <v>1</v>
      </c>
      <c r="AV1150">
        <v>33.75</v>
      </c>
      <c r="AW1150">
        <v>3.625</v>
      </c>
      <c r="AX1150">
        <v>1</v>
      </c>
      <c r="AZ1150">
        <v>7205</v>
      </c>
      <c r="BA1150">
        <v>1</v>
      </c>
      <c r="BB1150" t="str">
        <f t="shared" si="53"/>
        <v xml:space="preserve">KAP400  </v>
      </c>
      <c r="BC1150">
        <v>1</v>
      </c>
      <c r="BE1150">
        <v>0</v>
      </c>
      <c r="BF1150">
        <v>0</v>
      </c>
      <c r="BG1150">
        <v>0</v>
      </c>
      <c r="BI1150">
        <v>1</v>
      </c>
      <c r="BJ1150">
        <v>1</v>
      </c>
      <c r="BK1150">
        <v>1</v>
      </c>
      <c r="BL1150">
        <v>0</v>
      </c>
      <c r="BO1150">
        <v>0</v>
      </c>
      <c r="BP1150">
        <v>0</v>
      </c>
      <c r="BW1150" t="str">
        <f>"19:23:53.150"</f>
        <v>19:23:53.150</v>
      </c>
      <c r="BX1150" t="s">
        <v>119</v>
      </c>
      <c r="BY1150" t="s">
        <v>120</v>
      </c>
      <c r="CJ1150">
        <v>0</v>
      </c>
      <c r="CK1150">
        <v>0</v>
      </c>
      <c r="CL1150">
        <v>0</v>
      </c>
      <c r="CM1150">
        <v>2</v>
      </c>
      <c r="CN1150">
        <v>0</v>
      </c>
      <c r="CO1150">
        <v>7</v>
      </c>
      <c r="CP1150" t="s">
        <v>121</v>
      </c>
      <c r="CQ1150">
        <v>581</v>
      </c>
      <c r="CR1150">
        <v>0</v>
      </c>
      <c r="CW1150">
        <v>16193678</v>
      </c>
      <c r="CY1150">
        <v>0</v>
      </c>
      <c r="CZ1150">
        <v>0</v>
      </c>
      <c r="DA1150">
        <v>0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</row>
    <row r="1151" spans="1:113" x14ac:dyDescent="0.3">
      <c r="A1151" t="str">
        <f>"06/16/2022 19:23:54.454"</f>
        <v>06/16/2022 19:23:54.454</v>
      </c>
      <c r="C1151" t="str">
        <f t="shared" si="54"/>
        <v>FFBF5BC0</v>
      </c>
      <c r="D1151" t="s">
        <v>113</v>
      </c>
      <c r="E1151">
        <v>8</v>
      </c>
      <c r="H1151">
        <v>206</v>
      </c>
      <c r="I1151" t="s">
        <v>114</v>
      </c>
      <c r="J1151" t="s">
        <v>115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>"19:23:54.172"</f>
        <v>19:23:54.172</v>
      </c>
      <c r="T1151" t="str">
        <f>"19:23:54.172"</f>
        <v>19:23:54.172</v>
      </c>
      <c r="U1151" t="str">
        <f t="shared" si="52"/>
        <v>AB63B2</v>
      </c>
      <c r="V1151">
        <v>0</v>
      </c>
      <c r="W1151">
        <v>0</v>
      </c>
      <c r="X1151">
        <v>6</v>
      </c>
      <c r="Z1151">
        <v>0</v>
      </c>
      <c r="AA1151">
        <v>9</v>
      </c>
      <c r="AB1151">
        <v>3</v>
      </c>
      <c r="AC1151">
        <v>0</v>
      </c>
      <c r="AD1151">
        <v>10</v>
      </c>
      <c r="AE1151">
        <v>0</v>
      </c>
      <c r="AF1151">
        <v>0</v>
      </c>
      <c r="AG1151">
        <v>2</v>
      </c>
      <c r="AH1151">
        <v>0</v>
      </c>
      <c r="AI1151" t="s">
        <v>126</v>
      </c>
      <c r="AJ1151">
        <v>41.991463000000003</v>
      </c>
      <c r="AK1151" t="s">
        <v>1028</v>
      </c>
      <c r="AL1151">
        <v>-87.892363000000003</v>
      </c>
      <c r="AS1151">
        <v>1</v>
      </c>
      <c r="AT1151" t="s">
        <v>118</v>
      </c>
      <c r="AU1151" t="b">
        <v>1</v>
      </c>
      <c r="AV1151">
        <v>19.690000000000001</v>
      </c>
      <c r="AW1151">
        <v>3.125</v>
      </c>
      <c r="AX1151">
        <v>1</v>
      </c>
      <c r="AZ1151">
        <v>7205</v>
      </c>
      <c r="BA1151">
        <v>1</v>
      </c>
      <c r="BB1151" t="str">
        <f t="shared" si="53"/>
        <v xml:space="preserve">KAP400  </v>
      </c>
      <c r="BC1151">
        <v>1</v>
      </c>
      <c r="BE1151">
        <v>0</v>
      </c>
      <c r="BF1151">
        <v>0</v>
      </c>
      <c r="BG1151">
        <v>0</v>
      </c>
      <c r="BI1151">
        <v>1</v>
      </c>
      <c r="BJ1151">
        <v>1</v>
      </c>
      <c r="BK1151">
        <v>1</v>
      </c>
      <c r="BL1151">
        <v>0</v>
      </c>
      <c r="BO1151">
        <v>0</v>
      </c>
      <c r="BP1151">
        <v>0</v>
      </c>
      <c r="BW1151" t="str">
        <f>"19:23:54.174"</f>
        <v>19:23:54.174</v>
      </c>
      <c r="BX1151" t="s">
        <v>119</v>
      </c>
      <c r="BY1151" t="s">
        <v>120</v>
      </c>
      <c r="CJ1151">
        <v>0</v>
      </c>
      <c r="CK1151">
        <v>0</v>
      </c>
      <c r="CL1151">
        <v>0</v>
      </c>
      <c r="CM1151">
        <v>2</v>
      </c>
      <c r="CN1151">
        <v>0</v>
      </c>
      <c r="CO1151">
        <v>7</v>
      </c>
      <c r="CP1151" t="s">
        <v>121</v>
      </c>
      <c r="CQ1151">
        <v>582</v>
      </c>
      <c r="CR1151">
        <v>0</v>
      </c>
      <c r="CW1151">
        <v>7059749</v>
      </c>
      <c r="CY1151">
        <v>0</v>
      </c>
      <c r="CZ1151">
        <v>0</v>
      </c>
      <c r="DA1151">
        <v>0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</row>
    <row r="1152" spans="1:113" x14ac:dyDescent="0.3">
      <c r="A1152" t="str">
        <f>"06/16/2022 19:23:55.251"</f>
        <v>06/16/2022 19:23:55.251</v>
      </c>
      <c r="C1152" t="str">
        <f t="shared" si="54"/>
        <v>FFBF5BC0</v>
      </c>
      <c r="D1152" t="s">
        <v>113</v>
      </c>
      <c r="E1152">
        <v>8</v>
      </c>
      <c r="H1152">
        <v>206</v>
      </c>
      <c r="I1152" t="s">
        <v>114</v>
      </c>
      <c r="J1152" t="s">
        <v>115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>"19:23:55.000"</f>
        <v>19:23:55.000</v>
      </c>
      <c r="T1152" t="str">
        <f>"19:23:55.000"</f>
        <v>19:23:55.000</v>
      </c>
      <c r="U1152" t="str">
        <f t="shared" si="52"/>
        <v>AB63B2</v>
      </c>
      <c r="V1152">
        <v>0</v>
      </c>
      <c r="W1152">
        <v>0</v>
      </c>
      <c r="X1152">
        <v>6</v>
      </c>
      <c r="Z1152">
        <v>0</v>
      </c>
      <c r="AA1152">
        <v>9</v>
      </c>
      <c r="AB1152">
        <v>3</v>
      </c>
      <c r="AC1152">
        <v>0</v>
      </c>
      <c r="AD1152">
        <v>10</v>
      </c>
      <c r="AE1152">
        <v>0</v>
      </c>
      <c r="AF1152">
        <v>0</v>
      </c>
      <c r="AG1152">
        <v>2</v>
      </c>
      <c r="AH1152">
        <v>0</v>
      </c>
      <c r="AI1152" t="s">
        <v>126</v>
      </c>
      <c r="AJ1152">
        <v>41.991463000000003</v>
      </c>
      <c r="AK1152" t="s">
        <v>1028</v>
      </c>
      <c r="AL1152">
        <v>-87.892363000000003</v>
      </c>
      <c r="AS1152">
        <v>1</v>
      </c>
      <c r="AT1152" t="s">
        <v>118</v>
      </c>
      <c r="AU1152" t="b">
        <v>1</v>
      </c>
      <c r="AV1152">
        <v>11.25</v>
      </c>
      <c r="AW1152">
        <v>2.125</v>
      </c>
      <c r="AX1152">
        <v>1</v>
      </c>
      <c r="AZ1152">
        <v>7205</v>
      </c>
      <c r="BA1152">
        <v>1</v>
      </c>
      <c r="BB1152" t="str">
        <f t="shared" si="53"/>
        <v xml:space="preserve">KAP400  </v>
      </c>
      <c r="BC1152">
        <v>1</v>
      </c>
      <c r="BE1152">
        <v>0</v>
      </c>
      <c r="BF1152">
        <v>0</v>
      </c>
      <c r="BG1152">
        <v>0</v>
      </c>
      <c r="BI1152">
        <v>1</v>
      </c>
      <c r="BJ1152">
        <v>1</v>
      </c>
      <c r="BK1152">
        <v>1</v>
      </c>
      <c r="BL1152">
        <v>0</v>
      </c>
      <c r="BO1152">
        <v>0</v>
      </c>
      <c r="BP1152">
        <v>0</v>
      </c>
      <c r="BW1152" t="str">
        <f>"19:23:55.002"</f>
        <v>19:23:55.002</v>
      </c>
      <c r="BX1152" t="s">
        <v>119</v>
      </c>
      <c r="BY1152" t="s">
        <v>120</v>
      </c>
      <c r="CJ1152">
        <v>0</v>
      </c>
      <c r="CK1152">
        <v>0</v>
      </c>
      <c r="CL1152">
        <v>0</v>
      </c>
      <c r="CM1152">
        <v>2</v>
      </c>
      <c r="CN1152">
        <v>0</v>
      </c>
      <c r="CO1152">
        <v>7</v>
      </c>
      <c r="CP1152" t="s">
        <v>121</v>
      </c>
      <c r="CQ1152">
        <v>582</v>
      </c>
      <c r="CR1152">
        <v>0</v>
      </c>
      <c r="CW1152">
        <v>7060672</v>
      </c>
      <c r="CY1152">
        <v>0</v>
      </c>
      <c r="CZ1152">
        <v>0</v>
      </c>
      <c r="DA1152">
        <v>0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</row>
    <row r="1153" spans="1:113" x14ac:dyDescent="0.3">
      <c r="A1153" t="str">
        <f>"06/16/2022 19:23:56.251"</f>
        <v>06/16/2022 19:23:56.251</v>
      </c>
      <c r="C1153" t="str">
        <f t="shared" si="54"/>
        <v>FFBF5BC0</v>
      </c>
      <c r="D1153" t="s">
        <v>113</v>
      </c>
      <c r="E1153">
        <v>8</v>
      </c>
      <c r="H1153">
        <v>206</v>
      </c>
      <c r="I1153" t="s">
        <v>114</v>
      </c>
      <c r="J1153" t="s">
        <v>115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>"19:23:56.031"</f>
        <v>19:23:56.031</v>
      </c>
      <c r="T1153" t="str">
        <f>"19:23:56.031"</f>
        <v>19:23:56.031</v>
      </c>
      <c r="U1153" t="str">
        <f t="shared" si="52"/>
        <v>AB63B2</v>
      </c>
      <c r="V1153">
        <v>0</v>
      </c>
      <c r="W1153">
        <v>0</v>
      </c>
      <c r="X1153">
        <v>6</v>
      </c>
      <c r="Z1153">
        <v>0</v>
      </c>
      <c r="AA1153">
        <v>9</v>
      </c>
      <c r="AB1153">
        <v>3</v>
      </c>
      <c r="AC1153">
        <v>0</v>
      </c>
      <c r="AD1153">
        <v>10</v>
      </c>
      <c r="AE1153">
        <v>0</v>
      </c>
      <c r="AF1153">
        <v>0</v>
      </c>
      <c r="AG1153">
        <v>2</v>
      </c>
      <c r="AH1153">
        <v>0</v>
      </c>
      <c r="AI1153" t="s">
        <v>116</v>
      </c>
      <c r="AJ1153">
        <v>41.991484</v>
      </c>
      <c r="AK1153" t="s">
        <v>833</v>
      </c>
      <c r="AL1153">
        <v>-87.892341999999999</v>
      </c>
      <c r="AS1153">
        <v>1</v>
      </c>
      <c r="AT1153" t="s">
        <v>118</v>
      </c>
      <c r="AU1153" t="b">
        <v>1</v>
      </c>
      <c r="AV1153">
        <v>5.63</v>
      </c>
      <c r="AW1153">
        <v>1.375</v>
      </c>
      <c r="AX1153">
        <v>1</v>
      </c>
      <c r="AZ1153">
        <v>7205</v>
      </c>
      <c r="BA1153">
        <v>1</v>
      </c>
      <c r="BB1153" t="str">
        <f t="shared" si="53"/>
        <v xml:space="preserve">KAP400  </v>
      </c>
      <c r="BC1153">
        <v>1</v>
      </c>
      <c r="BE1153">
        <v>0</v>
      </c>
      <c r="BF1153">
        <v>0</v>
      </c>
      <c r="BG1153">
        <v>0</v>
      </c>
      <c r="BI1153">
        <v>1</v>
      </c>
      <c r="BJ1153">
        <v>1</v>
      </c>
      <c r="BK1153">
        <v>1</v>
      </c>
      <c r="BL1153">
        <v>0</v>
      </c>
      <c r="BO1153">
        <v>0</v>
      </c>
      <c r="BP1153">
        <v>0</v>
      </c>
      <c r="BW1153" t="str">
        <f>"19:23:56.032"</f>
        <v>19:23:56.032</v>
      </c>
      <c r="BX1153" t="s">
        <v>119</v>
      </c>
      <c r="BY1153" t="s">
        <v>120</v>
      </c>
      <c r="CJ1153">
        <v>0</v>
      </c>
      <c r="CK1153">
        <v>0</v>
      </c>
      <c r="CL1153">
        <v>0</v>
      </c>
      <c r="CM1153">
        <v>2</v>
      </c>
      <c r="CN1153">
        <v>0</v>
      </c>
      <c r="CO1153">
        <v>7</v>
      </c>
      <c r="CP1153" t="s">
        <v>121</v>
      </c>
      <c r="CQ1153">
        <v>582</v>
      </c>
      <c r="CR1153">
        <v>0</v>
      </c>
      <c r="CW1153">
        <v>7061815</v>
      </c>
      <c r="CY1153">
        <v>0</v>
      </c>
      <c r="CZ1153">
        <v>0</v>
      </c>
      <c r="DA1153">
        <v>0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</row>
    <row r="1154" spans="1:113" x14ac:dyDescent="0.3">
      <c r="A1154" t="str">
        <f>"06/16/2022 19:23:57.387"</f>
        <v>06/16/2022 19:23:57.387</v>
      </c>
      <c r="C1154" t="str">
        <f t="shared" si="54"/>
        <v>FFBF5BC0</v>
      </c>
      <c r="D1154" t="s">
        <v>113</v>
      </c>
      <c r="E1154">
        <v>8</v>
      </c>
      <c r="H1154">
        <v>206</v>
      </c>
      <c r="I1154" t="s">
        <v>114</v>
      </c>
      <c r="J1154" t="s">
        <v>115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>"19:23:57.117"</f>
        <v>19:23:57.117</v>
      </c>
      <c r="T1154" t="str">
        <f>"19:23:57.117"</f>
        <v>19:23:57.117</v>
      </c>
      <c r="U1154" t="str">
        <f t="shared" ref="U1154:U1171" si="55">"AB63B2"</f>
        <v>AB63B2</v>
      </c>
      <c r="V1154">
        <v>0</v>
      </c>
      <c r="W1154">
        <v>0</v>
      </c>
      <c r="X1154">
        <v>6</v>
      </c>
      <c r="Z1154">
        <v>0</v>
      </c>
      <c r="AA1154">
        <v>9</v>
      </c>
      <c r="AB1154">
        <v>3</v>
      </c>
      <c r="AC1154">
        <v>0</v>
      </c>
      <c r="AD1154">
        <v>10</v>
      </c>
      <c r="AE1154">
        <v>0</v>
      </c>
      <c r="AF1154">
        <v>0</v>
      </c>
      <c r="AG1154">
        <v>2</v>
      </c>
      <c r="AH1154">
        <v>0</v>
      </c>
      <c r="AI1154" t="s">
        <v>116</v>
      </c>
      <c r="AJ1154">
        <v>41.991484</v>
      </c>
      <c r="AK1154" t="s">
        <v>1028</v>
      </c>
      <c r="AL1154">
        <v>-87.892363000000003</v>
      </c>
      <c r="AS1154">
        <v>1</v>
      </c>
      <c r="AT1154" t="s">
        <v>118</v>
      </c>
      <c r="AU1154" t="b">
        <v>1</v>
      </c>
      <c r="AV1154">
        <v>2.81</v>
      </c>
      <c r="AW1154">
        <v>0.875</v>
      </c>
      <c r="AX1154">
        <v>1</v>
      </c>
      <c r="AZ1154">
        <v>7205</v>
      </c>
      <c r="BA1154">
        <v>1</v>
      </c>
      <c r="BB1154" t="str">
        <f t="shared" ref="BB1154:BB1171" si="56">"KAP400  "</f>
        <v xml:space="preserve">KAP400  </v>
      </c>
      <c r="BC1154">
        <v>1</v>
      </c>
      <c r="BE1154">
        <v>0</v>
      </c>
      <c r="BF1154">
        <v>0</v>
      </c>
      <c r="BG1154">
        <v>0</v>
      </c>
      <c r="BI1154">
        <v>1</v>
      </c>
      <c r="BJ1154">
        <v>1</v>
      </c>
      <c r="BK1154">
        <v>1</v>
      </c>
      <c r="BL1154">
        <v>0</v>
      </c>
      <c r="BO1154">
        <v>0</v>
      </c>
      <c r="BP1154">
        <v>0</v>
      </c>
      <c r="BW1154" t="str">
        <f>"19:23:57.120"</f>
        <v>19:23:57.120</v>
      </c>
      <c r="BX1154" t="s">
        <v>119</v>
      </c>
      <c r="BY1154" t="s">
        <v>120</v>
      </c>
      <c r="CJ1154">
        <v>0</v>
      </c>
      <c r="CK1154">
        <v>0</v>
      </c>
      <c r="CL1154">
        <v>0</v>
      </c>
      <c r="CM1154">
        <v>2</v>
      </c>
      <c r="CN1154">
        <v>0</v>
      </c>
      <c r="CO1154">
        <v>6</v>
      </c>
      <c r="CP1154" t="s">
        <v>121</v>
      </c>
      <c r="CQ1154">
        <v>579</v>
      </c>
      <c r="CR1154">
        <v>0</v>
      </c>
      <c r="CW1154">
        <v>2699842</v>
      </c>
      <c r="CY1154">
        <v>0</v>
      </c>
      <c r="CZ1154">
        <v>0</v>
      </c>
      <c r="DA1154">
        <v>0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</row>
    <row r="1155" spans="1:113" x14ac:dyDescent="0.3">
      <c r="A1155" t="str">
        <f>"06/16/2022 19:23:58.434"</f>
        <v>06/16/2022 19:23:58.434</v>
      </c>
      <c r="C1155" t="str">
        <f t="shared" si="54"/>
        <v>FFBF5BC0</v>
      </c>
      <c r="D1155" t="s">
        <v>113</v>
      </c>
      <c r="E1155">
        <v>8</v>
      </c>
      <c r="H1155">
        <v>206</v>
      </c>
      <c r="I1155" t="s">
        <v>114</v>
      </c>
      <c r="J1155" t="s">
        <v>115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>"19:23:58.180"</f>
        <v>19:23:58.180</v>
      </c>
      <c r="T1155" t="str">
        <f>"19:23:58.180"</f>
        <v>19:23:58.180</v>
      </c>
      <c r="U1155" t="str">
        <f t="shared" si="55"/>
        <v>AB63B2</v>
      </c>
      <c r="V1155">
        <v>0</v>
      </c>
      <c r="W1155">
        <v>0</v>
      </c>
      <c r="X1155">
        <v>6</v>
      </c>
      <c r="Z1155">
        <v>0</v>
      </c>
      <c r="AA1155">
        <v>9</v>
      </c>
      <c r="AB1155">
        <v>3</v>
      </c>
      <c r="AC1155">
        <v>0</v>
      </c>
      <c r="AD1155">
        <v>10</v>
      </c>
      <c r="AE1155">
        <v>0</v>
      </c>
      <c r="AF1155">
        <v>0</v>
      </c>
      <c r="AG1155">
        <v>2</v>
      </c>
      <c r="AH1155">
        <v>0</v>
      </c>
      <c r="AI1155" t="s">
        <v>116</v>
      </c>
      <c r="AJ1155">
        <v>41.991484</v>
      </c>
      <c r="AK1155" t="s">
        <v>833</v>
      </c>
      <c r="AL1155">
        <v>-87.892341999999999</v>
      </c>
      <c r="AS1155">
        <v>1</v>
      </c>
      <c r="AT1155" t="s">
        <v>118</v>
      </c>
      <c r="AU1155" t="b">
        <v>1</v>
      </c>
      <c r="AV1155">
        <v>2.81</v>
      </c>
      <c r="AW1155">
        <v>1.125</v>
      </c>
      <c r="AX1155">
        <v>1</v>
      </c>
      <c r="AZ1155">
        <v>7205</v>
      </c>
      <c r="BA1155">
        <v>1</v>
      </c>
      <c r="BB1155" t="str">
        <f t="shared" si="56"/>
        <v xml:space="preserve">KAP400  </v>
      </c>
      <c r="BC1155">
        <v>1</v>
      </c>
      <c r="BE1155">
        <v>0</v>
      </c>
      <c r="BF1155">
        <v>0</v>
      </c>
      <c r="BG1155">
        <v>0</v>
      </c>
      <c r="BI1155">
        <v>1</v>
      </c>
      <c r="BJ1155">
        <v>1</v>
      </c>
      <c r="BK1155">
        <v>1</v>
      </c>
      <c r="BL1155">
        <v>0</v>
      </c>
      <c r="BO1155">
        <v>0</v>
      </c>
      <c r="BP1155">
        <v>0</v>
      </c>
      <c r="BW1155" t="str">
        <f>"19:23:58.184"</f>
        <v>19:23:58.184</v>
      </c>
      <c r="BX1155" t="s">
        <v>119</v>
      </c>
      <c r="BY1155" t="s">
        <v>120</v>
      </c>
      <c r="CJ1155">
        <v>0</v>
      </c>
      <c r="CK1155">
        <v>0</v>
      </c>
      <c r="CL1155">
        <v>0</v>
      </c>
      <c r="CM1155">
        <v>2</v>
      </c>
      <c r="CN1155">
        <v>0</v>
      </c>
      <c r="CO1155">
        <v>6</v>
      </c>
      <c r="CP1155" t="s">
        <v>121</v>
      </c>
      <c r="CQ1155">
        <v>581</v>
      </c>
      <c r="CR1155">
        <v>0</v>
      </c>
      <c r="CW1155">
        <v>16199659</v>
      </c>
      <c r="CY1155">
        <v>0</v>
      </c>
      <c r="CZ1155">
        <v>0</v>
      </c>
      <c r="DA1155">
        <v>0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0</v>
      </c>
      <c r="DI1155">
        <v>0</v>
      </c>
    </row>
    <row r="1156" spans="1:113" x14ac:dyDescent="0.3">
      <c r="A1156" t="str">
        <f>"06/16/2022 19:23:59.247"</f>
        <v>06/16/2022 19:23:59.247</v>
      </c>
      <c r="C1156" t="str">
        <f t="shared" si="54"/>
        <v>FFBF5BC0</v>
      </c>
      <c r="D1156" t="s">
        <v>113</v>
      </c>
      <c r="E1156">
        <v>8</v>
      </c>
      <c r="H1156">
        <v>206</v>
      </c>
      <c r="I1156" t="s">
        <v>114</v>
      </c>
      <c r="J1156" t="s">
        <v>115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>"19:23:59.055"</f>
        <v>19:23:59.055</v>
      </c>
      <c r="T1156" t="str">
        <f>"19:23:59.055"</f>
        <v>19:23:59.055</v>
      </c>
      <c r="U1156" t="str">
        <f t="shared" si="55"/>
        <v>AB63B2</v>
      </c>
      <c r="V1156">
        <v>0</v>
      </c>
      <c r="W1156">
        <v>0</v>
      </c>
      <c r="X1156">
        <v>6</v>
      </c>
      <c r="Z1156">
        <v>0</v>
      </c>
      <c r="AA1156">
        <v>9</v>
      </c>
      <c r="AB1156">
        <v>3</v>
      </c>
      <c r="AC1156">
        <v>0</v>
      </c>
      <c r="AD1156">
        <v>10</v>
      </c>
      <c r="AE1156">
        <v>0</v>
      </c>
      <c r="AF1156">
        <v>0</v>
      </c>
      <c r="AG1156">
        <v>2</v>
      </c>
      <c r="AH1156">
        <v>0</v>
      </c>
      <c r="AI1156" t="s">
        <v>116</v>
      </c>
      <c r="AJ1156">
        <v>41.991484</v>
      </c>
      <c r="AK1156" t="s">
        <v>1028</v>
      </c>
      <c r="AL1156">
        <v>-87.892363000000003</v>
      </c>
      <c r="AS1156">
        <v>1</v>
      </c>
      <c r="AT1156" t="s">
        <v>118</v>
      </c>
      <c r="AU1156" t="b">
        <v>1</v>
      </c>
      <c r="AV1156">
        <v>2.81</v>
      </c>
      <c r="AW1156">
        <v>1.375</v>
      </c>
      <c r="AX1156">
        <v>1</v>
      </c>
      <c r="AZ1156">
        <v>7205</v>
      </c>
      <c r="BA1156">
        <v>1</v>
      </c>
      <c r="BB1156" t="str">
        <f t="shared" si="56"/>
        <v xml:space="preserve">KAP400  </v>
      </c>
      <c r="BC1156">
        <v>1</v>
      </c>
      <c r="BE1156">
        <v>0</v>
      </c>
      <c r="BF1156">
        <v>0</v>
      </c>
      <c r="BG1156">
        <v>0</v>
      </c>
      <c r="BI1156">
        <v>1</v>
      </c>
      <c r="BJ1156">
        <v>1</v>
      </c>
      <c r="BK1156">
        <v>1</v>
      </c>
      <c r="BL1156">
        <v>0</v>
      </c>
      <c r="BO1156">
        <v>0</v>
      </c>
      <c r="BP1156">
        <v>0</v>
      </c>
      <c r="BW1156" t="str">
        <f>"19:23:59.059"</f>
        <v>19:23:59.059</v>
      </c>
      <c r="BX1156" t="s">
        <v>119</v>
      </c>
      <c r="BY1156" t="s">
        <v>120</v>
      </c>
      <c r="CJ1156">
        <v>0</v>
      </c>
      <c r="CK1156">
        <v>0</v>
      </c>
      <c r="CL1156">
        <v>0</v>
      </c>
      <c r="CM1156">
        <v>2</v>
      </c>
      <c r="CN1156">
        <v>0</v>
      </c>
      <c r="CO1156">
        <v>6</v>
      </c>
      <c r="CP1156" t="s">
        <v>121</v>
      </c>
      <c r="CQ1156">
        <v>582</v>
      </c>
      <c r="CR1156">
        <v>0</v>
      </c>
      <c r="CW1156">
        <v>7065046</v>
      </c>
      <c r="CY1156">
        <v>0</v>
      </c>
      <c r="CZ1156">
        <v>0</v>
      </c>
      <c r="DA1156">
        <v>0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</row>
    <row r="1157" spans="1:113" x14ac:dyDescent="0.3">
      <c r="A1157" t="str">
        <f>"06/16/2022 19:24:00.373"</f>
        <v>06/16/2022 19:24:00.373</v>
      </c>
      <c r="C1157" t="str">
        <f t="shared" si="54"/>
        <v>FFBF5BC0</v>
      </c>
      <c r="D1157" t="s">
        <v>113</v>
      </c>
      <c r="E1157">
        <v>8</v>
      </c>
      <c r="H1157">
        <v>206</v>
      </c>
      <c r="I1157" t="s">
        <v>114</v>
      </c>
      <c r="J1157" t="s">
        <v>115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>"19:24:00.047"</f>
        <v>19:24:00.047</v>
      </c>
      <c r="T1157" t="str">
        <f>"19:24:00.047"</f>
        <v>19:24:00.047</v>
      </c>
      <c r="U1157" t="str">
        <f t="shared" si="55"/>
        <v>AB63B2</v>
      </c>
      <c r="V1157">
        <v>0</v>
      </c>
      <c r="W1157">
        <v>0</v>
      </c>
      <c r="X1157">
        <v>6</v>
      </c>
      <c r="Z1157">
        <v>0</v>
      </c>
      <c r="AA1157">
        <v>9</v>
      </c>
      <c r="AB1157">
        <v>3</v>
      </c>
      <c r="AC1157">
        <v>0</v>
      </c>
      <c r="AD1157">
        <v>10</v>
      </c>
      <c r="AE1157">
        <v>0</v>
      </c>
      <c r="AF1157">
        <v>0</v>
      </c>
      <c r="AG1157">
        <v>2</v>
      </c>
      <c r="AH1157">
        <v>0</v>
      </c>
      <c r="AI1157" t="s">
        <v>116</v>
      </c>
      <c r="AJ1157">
        <v>41.991484</v>
      </c>
      <c r="AK1157" t="s">
        <v>1028</v>
      </c>
      <c r="AL1157">
        <v>-87.892363000000003</v>
      </c>
      <c r="AS1157">
        <v>1</v>
      </c>
      <c r="AT1157" t="s">
        <v>118</v>
      </c>
      <c r="AU1157" t="b">
        <v>1</v>
      </c>
      <c r="AV1157">
        <v>2.81</v>
      </c>
      <c r="AW1157">
        <v>0.375</v>
      </c>
      <c r="AX1157">
        <v>1</v>
      </c>
      <c r="AZ1157">
        <v>7205</v>
      </c>
      <c r="BA1157">
        <v>1</v>
      </c>
      <c r="BB1157" t="str">
        <f t="shared" si="56"/>
        <v xml:space="preserve">KAP400  </v>
      </c>
      <c r="BC1157">
        <v>1</v>
      </c>
      <c r="BE1157">
        <v>0</v>
      </c>
      <c r="BF1157">
        <v>0</v>
      </c>
      <c r="BG1157">
        <v>0</v>
      </c>
      <c r="BI1157">
        <v>1</v>
      </c>
      <c r="BJ1157">
        <v>1</v>
      </c>
      <c r="BK1157">
        <v>1</v>
      </c>
      <c r="BL1157">
        <v>0</v>
      </c>
      <c r="BO1157">
        <v>0</v>
      </c>
      <c r="BP1157">
        <v>0</v>
      </c>
      <c r="BW1157" t="str">
        <f>"19:24:00.048"</f>
        <v>19:24:00.048</v>
      </c>
      <c r="BX1157" t="s">
        <v>119</v>
      </c>
      <c r="BY1157" t="s">
        <v>120</v>
      </c>
      <c r="CJ1157">
        <v>0</v>
      </c>
      <c r="CK1157">
        <v>0</v>
      </c>
      <c r="CL1157">
        <v>0</v>
      </c>
      <c r="CM1157">
        <v>2</v>
      </c>
      <c r="CN1157">
        <v>0</v>
      </c>
      <c r="CO1157">
        <v>7</v>
      </c>
      <c r="CP1157" t="s">
        <v>121</v>
      </c>
      <c r="CQ1157">
        <v>581</v>
      </c>
      <c r="CR1157">
        <v>0</v>
      </c>
      <c r="CW1157">
        <v>16202005</v>
      </c>
      <c r="CY1157">
        <v>0</v>
      </c>
      <c r="CZ1157">
        <v>0</v>
      </c>
      <c r="DA1157">
        <v>0</v>
      </c>
      <c r="DB1157">
        <v>0</v>
      </c>
      <c r="DC1157">
        <v>0</v>
      </c>
      <c r="DD1157">
        <v>0</v>
      </c>
      <c r="DE1157">
        <v>0</v>
      </c>
      <c r="DF1157">
        <v>0</v>
      </c>
      <c r="DG1157">
        <v>0</v>
      </c>
      <c r="DH1157">
        <v>0</v>
      </c>
      <c r="DI1157">
        <v>0</v>
      </c>
    </row>
    <row r="1158" spans="1:113" x14ac:dyDescent="0.3">
      <c r="A1158" t="str">
        <f>"06/16/2022 19:24:01.451"</f>
        <v>06/16/2022 19:24:01.451</v>
      </c>
      <c r="C1158" t="str">
        <f t="shared" si="54"/>
        <v>FFBF5BC0</v>
      </c>
      <c r="D1158" t="s">
        <v>113</v>
      </c>
      <c r="E1158">
        <v>8</v>
      </c>
      <c r="H1158">
        <v>206</v>
      </c>
      <c r="I1158" t="s">
        <v>114</v>
      </c>
      <c r="J1158" t="s">
        <v>115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>"19:24:00.938"</f>
        <v>19:24:00.938</v>
      </c>
      <c r="T1158" t="str">
        <f>"19:24:00.938"</f>
        <v>19:24:00.938</v>
      </c>
      <c r="U1158" t="str">
        <f t="shared" si="55"/>
        <v>AB63B2</v>
      </c>
      <c r="V1158">
        <v>0</v>
      </c>
      <c r="W1158">
        <v>0</v>
      </c>
      <c r="X1158">
        <v>6</v>
      </c>
      <c r="Z1158">
        <v>0</v>
      </c>
      <c r="AA1158">
        <v>9</v>
      </c>
      <c r="AB1158">
        <v>3</v>
      </c>
      <c r="AC1158">
        <v>0</v>
      </c>
      <c r="AD1158">
        <v>10</v>
      </c>
      <c r="AE1158">
        <v>0</v>
      </c>
      <c r="AF1158">
        <v>0</v>
      </c>
      <c r="AG1158">
        <v>2</v>
      </c>
      <c r="AH1158">
        <v>0</v>
      </c>
      <c r="AI1158" t="s">
        <v>122</v>
      </c>
      <c r="AJ1158">
        <v>41.991506000000001</v>
      </c>
      <c r="AK1158" t="s">
        <v>1028</v>
      </c>
      <c r="AL1158">
        <v>-87.892363000000003</v>
      </c>
      <c r="AS1158">
        <v>1</v>
      </c>
      <c r="AT1158" t="s">
        <v>118</v>
      </c>
      <c r="AU1158" t="b">
        <v>1</v>
      </c>
      <c r="AV1158">
        <v>2.81</v>
      </c>
      <c r="AW1158">
        <v>0.25</v>
      </c>
      <c r="AX1158">
        <v>1</v>
      </c>
      <c r="AZ1158">
        <v>7205</v>
      </c>
      <c r="BA1158">
        <v>1</v>
      </c>
      <c r="BB1158" t="str">
        <f t="shared" si="56"/>
        <v xml:space="preserve">KAP400  </v>
      </c>
      <c r="BC1158">
        <v>1</v>
      </c>
      <c r="BE1158">
        <v>0</v>
      </c>
      <c r="BF1158">
        <v>0</v>
      </c>
      <c r="BG1158">
        <v>0</v>
      </c>
      <c r="BI1158">
        <v>1</v>
      </c>
      <c r="BJ1158">
        <v>1</v>
      </c>
      <c r="BK1158">
        <v>1</v>
      </c>
      <c r="BL1158">
        <v>0</v>
      </c>
      <c r="BO1158">
        <v>0</v>
      </c>
      <c r="BP1158">
        <v>0</v>
      </c>
      <c r="BW1158" t="str">
        <f>"19:24:00.943"</f>
        <v>19:24:00.943</v>
      </c>
      <c r="BX1158" t="s">
        <v>119</v>
      </c>
      <c r="BY1158" t="s">
        <v>120</v>
      </c>
      <c r="CJ1158">
        <v>0</v>
      </c>
      <c r="CK1158">
        <v>0</v>
      </c>
      <c r="CL1158">
        <v>0</v>
      </c>
      <c r="CM1158">
        <v>2</v>
      </c>
      <c r="CN1158">
        <v>0</v>
      </c>
      <c r="CO1158">
        <v>7</v>
      </c>
      <c r="CP1158" t="s">
        <v>121</v>
      </c>
      <c r="CQ1158">
        <v>582</v>
      </c>
      <c r="CR1158">
        <v>0</v>
      </c>
      <c r="CW1158">
        <v>7067238</v>
      </c>
      <c r="CY1158">
        <v>0</v>
      </c>
      <c r="CZ1158">
        <v>0</v>
      </c>
      <c r="DA1158">
        <v>0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</row>
    <row r="1159" spans="1:113" x14ac:dyDescent="0.3">
      <c r="A1159" t="str">
        <f>"06/16/2022 19:24:02.106"</f>
        <v>06/16/2022 19:24:02.106</v>
      </c>
      <c r="C1159" t="str">
        <f t="shared" si="54"/>
        <v>FFBF5BC0</v>
      </c>
      <c r="D1159" t="s">
        <v>113</v>
      </c>
      <c r="E1159">
        <v>8</v>
      </c>
      <c r="H1159">
        <v>206</v>
      </c>
      <c r="I1159" t="s">
        <v>114</v>
      </c>
      <c r="J1159" t="s">
        <v>115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>"19:24:01.914"</f>
        <v>19:24:01.914</v>
      </c>
      <c r="T1159" t="str">
        <f>"19:24:01.914"</f>
        <v>19:24:01.914</v>
      </c>
      <c r="U1159" t="str">
        <f t="shared" si="55"/>
        <v>AB63B2</v>
      </c>
      <c r="V1159">
        <v>0</v>
      </c>
      <c r="W1159">
        <v>0</v>
      </c>
      <c r="X1159">
        <v>6</v>
      </c>
      <c r="Z1159">
        <v>0</v>
      </c>
      <c r="AA1159">
        <v>9</v>
      </c>
      <c r="AB1159">
        <v>3</v>
      </c>
      <c r="AC1159">
        <v>0</v>
      </c>
      <c r="AD1159">
        <v>10</v>
      </c>
      <c r="AE1159">
        <v>0</v>
      </c>
      <c r="AF1159">
        <v>0</v>
      </c>
      <c r="AG1159">
        <v>2</v>
      </c>
      <c r="AH1159">
        <v>0</v>
      </c>
      <c r="AI1159" t="s">
        <v>122</v>
      </c>
      <c r="AJ1159">
        <v>41.991506000000001</v>
      </c>
      <c r="AK1159" t="s">
        <v>1028</v>
      </c>
      <c r="AL1159">
        <v>-87.892363000000003</v>
      </c>
      <c r="AS1159">
        <v>1</v>
      </c>
      <c r="AT1159" t="s">
        <v>118</v>
      </c>
      <c r="AU1159" t="b">
        <v>1</v>
      </c>
      <c r="AV1159">
        <v>2.81</v>
      </c>
      <c r="AW1159">
        <v>0.25</v>
      </c>
      <c r="AX1159">
        <v>1</v>
      </c>
      <c r="AZ1159">
        <v>7205</v>
      </c>
      <c r="BA1159">
        <v>1</v>
      </c>
      <c r="BB1159" t="str">
        <f t="shared" si="56"/>
        <v xml:space="preserve">KAP400  </v>
      </c>
      <c r="BC1159">
        <v>1</v>
      </c>
      <c r="BE1159">
        <v>0</v>
      </c>
      <c r="BF1159">
        <v>0</v>
      </c>
      <c r="BG1159">
        <v>0</v>
      </c>
      <c r="BI1159">
        <v>1</v>
      </c>
      <c r="BJ1159">
        <v>1</v>
      </c>
      <c r="BK1159">
        <v>1</v>
      </c>
      <c r="BL1159">
        <v>0</v>
      </c>
      <c r="BO1159">
        <v>0</v>
      </c>
      <c r="BP1159">
        <v>0</v>
      </c>
      <c r="BW1159" t="str">
        <f>"19:24:01.919"</f>
        <v>19:24:01.919</v>
      </c>
      <c r="BX1159" t="s">
        <v>119</v>
      </c>
      <c r="BY1159" t="s">
        <v>120</v>
      </c>
      <c r="CJ1159">
        <v>0</v>
      </c>
      <c r="CK1159">
        <v>0</v>
      </c>
      <c r="CL1159">
        <v>0</v>
      </c>
      <c r="CM1159">
        <v>2</v>
      </c>
      <c r="CN1159">
        <v>0</v>
      </c>
      <c r="CO1159">
        <v>7</v>
      </c>
      <c r="CP1159" t="s">
        <v>121</v>
      </c>
      <c r="CQ1159">
        <v>581</v>
      </c>
      <c r="CR1159">
        <v>0</v>
      </c>
      <c r="CW1159">
        <v>16204327</v>
      </c>
      <c r="CY1159">
        <v>0</v>
      </c>
      <c r="CZ1159">
        <v>0</v>
      </c>
      <c r="DA1159">
        <v>0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</row>
    <row r="1160" spans="1:113" x14ac:dyDescent="0.3">
      <c r="A1160" t="str">
        <f>"06/16/2022 19:24:03.216"</f>
        <v>06/16/2022 19:24:03.216</v>
      </c>
      <c r="C1160" t="str">
        <f t="shared" si="54"/>
        <v>FFBF5BC0</v>
      </c>
      <c r="D1160" t="s">
        <v>113</v>
      </c>
      <c r="E1160">
        <v>8</v>
      </c>
      <c r="H1160">
        <v>206</v>
      </c>
      <c r="I1160" t="s">
        <v>114</v>
      </c>
      <c r="J1160" t="s">
        <v>115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>"19:24:02.961"</f>
        <v>19:24:02.961</v>
      </c>
      <c r="T1160" t="str">
        <f>"19:24:02.961"</f>
        <v>19:24:02.961</v>
      </c>
      <c r="U1160" t="str">
        <f t="shared" si="55"/>
        <v>AB63B2</v>
      </c>
      <c r="V1160">
        <v>0</v>
      </c>
      <c r="W1160">
        <v>0</v>
      </c>
      <c r="X1160">
        <v>6</v>
      </c>
      <c r="Z1160">
        <v>0</v>
      </c>
      <c r="AA1160">
        <v>9</v>
      </c>
      <c r="AB1160">
        <v>3</v>
      </c>
      <c r="AC1160">
        <v>0</v>
      </c>
      <c r="AD1160">
        <v>10</v>
      </c>
      <c r="AE1160">
        <v>0</v>
      </c>
      <c r="AF1160">
        <v>0</v>
      </c>
      <c r="AG1160">
        <v>2</v>
      </c>
      <c r="AH1160">
        <v>0</v>
      </c>
      <c r="AI1160" t="s">
        <v>116</v>
      </c>
      <c r="AJ1160">
        <v>41.991484</v>
      </c>
      <c r="AK1160" t="s">
        <v>1028</v>
      </c>
      <c r="AL1160">
        <v>-87.892363000000003</v>
      </c>
      <c r="AS1160">
        <v>1</v>
      </c>
      <c r="AT1160" t="s">
        <v>118</v>
      </c>
      <c r="AU1160" t="b">
        <v>1</v>
      </c>
      <c r="AV1160">
        <v>2.81</v>
      </c>
      <c r="AW1160">
        <v>0.25</v>
      </c>
      <c r="AX1160">
        <v>1</v>
      </c>
      <c r="AZ1160">
        <v>7205</v>
      </c>
      <c r="BA1160">
        <v>1</v>
      </c>
      <c r="BB1160" t="str">
        <f t="shared" si="56"/>
        <v xml:space="preserve">KAP400  </v>
      </c>
      <c r="BC1160">
        <v>1</v>
      </c>
      <c r="BE1160">
        <v>0</v>
      </c>
      <c r="BF1160">
        <v>0</v>
      </c>
      <c r="BG1160">
        <v>0</v>
      </c>
      <c r="BI1160">
        <v>1</v>
      </c>
      <c r="BJ1160">
        <v>1</v>
      </c>
      <c r="BK1160">
        <v>1</v>
      </c>
      <c r="BL1160">
        <v>0</v>
      </c>
      <c r="BO1160">
        <v>0</v>
      </c>
      <c r="BP1160">
        <v>0</v>
      </c>
      <c r="BW1160" t="str">
        <f>"19:24:02.965"</f>
        <v>19:24:02.965</v>
      </c>
      <c r="BX1160" t="s">
        <v>119</v>
      </c>
      <c r="BY1160" t="s">
        <v>120</v>
      </c>
      <c r="CJ1160">
        <v>0</v>
      </c>
      <c r="CK1160">
        <v>0</v>
      </c>
      <c r="CL1160">
        <v>0</v>
      </c>
      <c r="CM1160">
        <v>2</v>
      </c>
      <c r="CN1160">
        <v>0</v>
      </c>
      <c r="CO1160">
        <v>7</v>
      </c>
      <c r="CP1160" t="s">
        <v>121</v>
      </c>
      <c r="CQ1160">
        <v>582</v>
      </c>
      <c r="CR1160">
        <v>0</v>
      </c>
      <c r="CW1160">
        <v>7069405</v>
      </c>
      <c r="CY1160">
        <v>0</v>
      </c>
      <c r="CZ1160">
        <v>0</v>
      </c>
      <c r="DA1160">
        <v>0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</row>
    <row r="1161" spans="1:113" x14ac:dyDescent="0.3">
      <c r="A1161" t="str">
        <f>"06/16/2022 19:24:04.200"</f>
        <v>06/16/2022 19:24:04.200</v>
      </c>
      <c r="C1161" t="str">
        <f t="shared" si="54"/>
        <v>FFBF5BC0</v>
      </c>
      <c r="D1161" t="s">
        <v>113</v>
      </c>
      <c r="E1161">
        <v>8</v>
      </c>
      <c r="H1161">
        <v>206</v>
      </c>
      <c r="I1161" t="s">
        <v>114</v>
      </c>
      <c r="J1161" t="s">
        <v>115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>"19:24:03.938"</f>
        <v>19:24:03.938</v>
      </c>
      <c r="T1161" t="str">
        <f>"19:24:03.938"</f>
        <v>19:24:03.938</v>
      </c>
      <c r="U1161" t="str">
        <f t="shared" si="55"/>
        <v>AB63B2</v>
      </c>
      <c r="V1161">
        <v>0</v>
      </c>
      <c r="W1161">
        <v>0</v>
      </c>
      <c r="X1161">
        <v>6</v>
      </c>
      <c r="Z1161">
        <v>0</v>
      </c>
      <c r="AA1161">
        <v>9</v>
      </c>
      <c r="AB1161">
        <v>3</v>
      </c>
      <c r="AC1161">
        <v>0</v>
      </c>
      <c r="AD1161">
        <v>10</v>
      </c>
      <c r="AE1161">
        <v>0</v>
      </c>
      <c r="AF1161">
        <v>0</v>
      </c>
      <c r="AG1161">
        <v>2</v>
      </c>
      <c r="AH1161">
        <v>0</v>
      </c>
      <c r="AI1161" t="s">
        <v>116</v>
      </c>
      <c r="AJ1161">
        <v>41.991484</v>
      </c>
      <c r="AK1161" t="s">
        <v>1028</v>
      </c>
      <c r="AL1161">
        <v>-87.892363000000003</v>
      </c>
      <c r="AS1161">
        <v>1</v>
      </c>
      <c r="AT1161" t="s">
        <v>118</v>
      </c>
      <c r="AU1161" t="b">
        <v>1</v>
      </c>
      <c r="AV1161">
        <v>2.81</v>
      </c>
      <c r="AW1161">
        <v>0.25</v>
      </c>
      <c r="AX1161">
        <v>1</v>
      </c>
      <c r="AZ1161">
        <v>7205</v>
      </c>
      <c r="BA1161">
        <v>1</v>
      </c>
      <c r="BB1161" t="str">
        <f t="shared" si="56"/>
        <v xml:space="preserve">KAP400  </v>
      </c>
      <c r="BC1161">
        <v>1</v>
      </c>
      <c r="BE1161">
        <v>0</v>
      </c>
      <c r="BF1161">
        <v>0</v>
      </c>
      <c r="BG1161">
        <v>0</v>
      </c>
      <c r="BI1161">
        <v>1</v>
      </c>
      <c r="BJ1161">
        <v>1</v>
      </c>
      <c r="BK1161">
        <v>1</v>
      </c>
      <c r="BL1161">
        <v>0</v>
      </c>
      <c r="BO1161">
        <v>0</v>
      </c>
      <c r="BP1161">
        <v>0</v>
      </c>
      <c r="BW1161" t="str">
        <f>"19:24:03.941"</f>
        <v>19:24:03.941</v>
      </c>
      <c r="BX1161" t="s">
        <v>119</v>
      </c>
      <c r="BY1161" t="s">
        <v>120</v>
      </c>
      <c r="CJ1161">
        <v>0</v>
      </c>
      <c r="CK1161">
        <v>0</v>
      </c>
      <c r="CL1161">
        <v>0</v>
      </c>
      <c r="CM1161">
        <v>2</v>
      </c>
      <c r="CN1161">
        <v>0</v>
      </c>
      <c r="CO1161">
        <v>7</v>
      </c>
      <c r="CP1161" t="s">
        <v>121</v>
      </c>
      <c r="CQ1161">
        <v>581</v>
      </c>
      <c r="CR1161">
        <v>0</v>
      </c>
      <c r="CW1161">
        <v>16206795</v>
      </c>
      <c r="CY1161">
        <v>0</v>
      </c>
      <c r="CZ1161">
        <v>0</v>
      </c>
      <c r="DA1161">
        <v>0</v>
      </c>
      <c r="DB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</row>
    <row r="1162" spans="1:113" x14ac:dyDescent="0.3">
      <c r="A1162" t="str">
        <f>"06/16/2022 19:24:05.279"</f>
        <v>06/16/2022 19:24:05.279</v>
      </c>
      <c r="C1162" t="str">
        <f t="shared" si="54"/>
        <v>FFBF5BC0</v>
      </c>
      <c r="D1162" t="s">
        <v>113</v>
      </c>
      <c r="E1162">
        <v>8</v>
      </c>
      <c r="H1162">
        <v>206</v>
      </c>
      <c r="I1162" t="s">
        <v>114</v>
      </c>
      <c r="J1162" t="s">
        <v>115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>"19:24:05.086"</f>
        <v>19:24:05.086</v>
      </c>
      <c r="T1162" t="str">
        <f>"19:24:05.086"</f>
        <v>19:24:05.086</v>
      </c>
      <c r="U1162" t="str">
        <f t="shared" si="55"/>
        <v>AB63B2</v>
      </c>
      <c r="V1162">
        <v>0</v>
      </c>
      <c r="W1162">
        <v>0</v>
      </c>
      <c r="X1162">
        <v>6</v>
      </c>
      <c r="Z1162">
        <v>0</v>
      </c>
      <c r="AA1162">
        <v>9</v>
      </c>
      <c r="AB1162">
        <v>3</v>
      </c>
      <c r="AC1162">
        <v>0</v>
      </c>
      <c r="AD1162">
        <v>10</v>
      </c>
      <c r="AE1162">
        <v>0</v>
      </c>
      <c r="AF1162">
        <v>0</v>
      </c>
      <c r="AG1162">
        <v>2</v>
      </c>
      <c r="AH1162">
        <v>0</v>
      </c>
      <c r="AI1162" t="s">
        <v>116</v>
      </c>
      <c r="AJ1162">
        <v>41.991484</v>
      </c>
      <c r="AK1162" t="s">
        <v>1028</v>
      </c>
      <c r="AL1162">
        <v>-87.892363000000003</v>
      </c>
      <c r="AS1162">
        <v>1</v>
      </c>
      <c r="AT1162" t="s">
        <v>118</v>
      </c>
      <c r="AU1162" t="b">
        <v>1</v>
      </c>
      <c r="AV1162">
        <v>2.81</v>
      </c>
      <c r="AW1162">
        <v>0.25</v>
      </c>
      <c r="AX1162">
        <v>1</v>
      </c>
      <c r="AZ1162">
        <v>7205</v>
      </c>
      <c r="BA1162">
        <v>1</v>
      </c>
      <c r="BB1162" t="str">
        <f t="shared" si="56"/>
        <v xml:space="preserve">KAP400  </v>
      </c>
      <c r="BC1162">
        <v>1</v>
      </c>
      <c r="BE1162">
        <v>0</v>
      </c>
      <c r="BF1162">
        <v>0</v>
      </c>
      <c r="BG1162">
        <v>0</v>
      </c>
      <c r="BI1162">
        <v>1</v>
      </c>
      <c r="BJ1162">
        <v>1</v>
      </c>
      <c r="BK1162">
        <v>1</v>
      </c>
      <c r="BL1162">
        <v>0</v>
      </c>
      <c r="BO1162">
        <v>0</v>
      </c>
      <c r="BP1162">
        <v>0</v>
      </c>
      <c r="BW1162" t="str">
        <f>"19:24:05.088"</f>
        <v>19:24:05.088</v>
      </c>
      <c r="BX1162" t="s">
        <v>119</v>
      </c>
      <c r="BY1162" t="s">
        <v>120</v>
      </c>
      <c r="CJ1162">
        <v>0</v>
      </c>
      <c r="CK1162">
        <v>0</v>
      </c>
      <c r="CL1162">
        <v>0</v>
      </c>
      <c r="CM1162">
        <v>2</v>
      </c>
      <c r="CN1162">
        <v>0</v>
      </c>
      <c r="CO1162">
        <v>7</v>
      </c>
      <c r="CP1162" t="s">
        <v>121</v>
      </c>
      <c r="CQ1162">
        <v>582</v>
      </c>
      <c r="CR1162">
        <v>0</v>
      </c>
      <c r="CW1162">
        <v>7071856</v>
      </c>
      <c r="CY1162">
        <v>0</v>
      </c>
      <c r="CZ1162">
        <v>0</v>
      </c>
      <c r="DA1162">
        <v>0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</row>
    <row r="1163" spans="1:113" x14ac:dyDescent="0.3">
      <c r="A1163" t="str">
        <f>"06/16/2022 19:24:06.419"</f>
        <v>06/16/2022 19:24:06.419</v>
      </c>
      <c r="C1163" t="str">
        <f t="shared" si="54"/>
        <v>FFBF5BC0</v>
      </c>
      <c r="D1163" t="s">
        <v>113</v>
      </c>
      <c r="E1163">
        <v>8</v>
      </c>
      <c r="H1163">
        <v>206</v>
      </c>
      <c r="I1163" t="s">
        <v>114</v>
      </c>
      <c r="J1163" t="s">
        <v>115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>"19:24:06.000"</f>
        <v>19:24:06.000</v>
      </c>
      <c r="T1163" t="str">
        <f>"19:24:06.000"</f>
        <v>19:24:06.000</v>
      </c>
      <c r="U1163" t="str">
        <f t="shared" si="55"/>
        <v>AB63B2</v>
      </c>
      <c r="V1163">
        <v>0</v>
      </c>
      <c r="W1163">
        <v>0</v>
      </c>
      <c r="X1163">
        <v>6</v>
      </c>
      <c r="Z1163">
        <v>0</v>
      </c>
      <c r="AA1163">
        <v>9</v>
      </c>
      <c r="AB1163">
        <v>3</v>
      </c>
      <c r="AC1163">
        <v>0</v>
      </c>
      <c r="AD1163">
        <v>10</v>
      </c>
      <c r="AE1163">
        <v>0</v>
      </c>
      <c r="AF1163">
        <v>0</v>
      </c>
      <c r="AG1163">
        <v>2</v>
      </c>
      <c r="AH1163">
        <v>0</v>
      </c>
      <c r="AI1163" t="s">
        <v>116</v>
      </c>
      <c r="AJ1163">
        <v>41.991484</v>
      </c>
      <c r="AK1163" t="s">
        <v>833</v>
      </c>
      <c r="AL1163">
        <v>-87.892341999999999</v>
      </c>
      <c r="AS1163">
        <v>1</v>
      </c>
      <c r="AT1163" t="s">
        <v>118</v>
      </c>
      <c r="AU1163" t="b">
        <v>1</v>
      </c>
      <c r="AV1163">
        <v>2.81</v>
      </c>
      <c r="AW1163">
        <v>0.25</v>
      </c>
      <c r="AX1163">
        <v>1</v>
      </c>
      <c r="AZ1163">
        <v>7205</v>
      </c>
      <c r="BA1163">
        <v>1</v>
      </c>
      <c r="BB1163" t="str">
        <f t="shared" si="56"/>
        <v xml:space="preserve">KAP400  </v>
      </c>
      <c r="BC1163">
        <v>1</v>
      </c>
      <c r="BE1163">
        <v>0</v>
      </c>
      <c r="BF1163">
        <v>0</v>
      </c>
      <c r="BG1163">
        <v>0</v>
      </c>
      <c r="BI1163">
        <v>1</v>
      </c>
      <c r="BJ1163">
        <v>1</v>
      </c>
      <c r="BK1163">
        <v>1</v>
      </c>
      <c r="BL1163">
        <v>0</v>
      </c>
      <c r="BO1163">
        <v>0</v>
      </c>
      <c r="BP1163">
        <v>0</v>
      </c>
      <c r="BW1163" t="str">
        <f>"19:24:06.004"</f>
        <v>19:24:06.004</v>
      </c>
      <c r="BX1163" t="s">
        <v>119</v>
      </c>
      <c r="BY1163" t="s">
        <v>120</v>
      </c>
      <c r="CJ1163">
        <v>0</v>
      </c>
      <c r="CK1163">
        <v>0</v>
      </c>
      <c r="CL1163">
        <v>0</v>
      </c>
      <c r="CM1163">
        <v>2</v>
      </c>
      <c r="CN1163">
        <v>0</v>
      </c>
      <c r="CO1163">
        <v>7</v>
      </c>
      <c r="CP1163" t="s">
        <v>121</v>
      </c>
      <c r="CQ1163">
        <v>582</v>
      </c>
      <c r="CR1163">
        <v>0</v>
      </c>
      <c r="CW1163">
        <v>7072878</v>
      </c>
      <c r="CY1163">
        <v>0</v>
      </c>
      <c r="CZ1163">
        <v>0</v>
      </c>
      <c r="DA1163">
        <v>0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</row>
    <row r="1164" spans="1:113" x14ac:dyDescent="0.3">
      <c r="A1164" t="str">
        <f>"06/16/2022 19:24:07.247"</f>
        <v>06/16/2022 19:24:07.247</v>
      </c>
      <c r="C1164" t="str">
        <f t="shared" si="54"/>
        <v>FFBF5BC0</v>
      </c>
      <c r="D1164" t="s">
        <v>113</v>
      </c>
      <c r="E1164">
        <v>8</v>
      </c>
      <c r="H1164">
        <v>206</v>
      </c>
      <c r="I1164" t="s">
        <v>114</v>
      </c>
      <c r="J1164" t="s">
        <v>115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>"19:24:07.070"</f>
        <v>19:24:07.070</v>
      </c>
      <c r="T1164" t="str">
        <f>"19:24:07.070"</f>
        <v>19:24:07.070</v>
      </c>
      <c r="U1164" t="str">
        <f t="shared" si="55"/>
        <v>AB63B2</v>
      </c>
      <c r="V1164">
        <v>0</v>
      </c>
      <c r="W1164">
        <v>0</v>
      </c>
      <c r="X1164">
        <v>6</v>
      </c>
      <c r="Z1164">
        <v>0</v>
      </c>
      <c r="AA1164">
        <v>9</v>
      </c>
      <c r="AB1164">
        <v>3</v>
      </c>
      <c r="AC1164">
        <v>0</v>
      </c>
      <c r="AD1164">
        <v>10</v>
      </c>
      <c r="AE1164">
        <v>0</v>
      </c>
      <c r="AF1164">
        <v>0</v>
      </c>
      <c r="AG1164">
        <v>2</v>
      </c>
      <c r="AH1164">
        <v>0</v>
      </c>
      <c r="AI1164" t="s">
        <v>116</v>
      </c>
      <c r="AJ1164">
        <v>41.991484</v>
      </c>
      <c r="AK1164" t="s">
        <v>833</v>
      </c>
      <c r="AL1164">
        <v>-87.892341999999999</v>
      </c>
      <c r="AS1164">
        <v>1</v>
      </c>
      <c r="AT1164" t="s">
        <v>118</v>
      </c>
      <c r="AU1164" t="b">
        <v>1</v>
      </c>
      <c r="AV1164">
        <v>2.81</v>
      </c>
      <c r="AW1164">
        <v>0.25</v>
      </c>
      <c r="AX1164">
        <v>1</v>
      </c>
      <c r="AZ1164">
        <v>7205</v>
      </c>
      <c r="BA1164">
        <v>1</v>
      </c>
      <c r="BB1164" t="str">
        <f t="shared" si="56"/>
        <v xml:space="preserve">KAP400  </v>
      </c>
      <c r="BC1164">
        <v>1</v>
      </c>
      <c r="BE1164">
        <v>0</v>
      </c>
      <c r="BF1164">
        <v>0</v>
      </c>
      <c r="BG1164">
        <v>0</v>
      </c>
      <c r="BI1164">
        <v>1</v>
      </c>
      <c r="BJ1164">
        <v>1</v>
      </c>
      <c r="BK1164">
        <v>1</v>
      </c>
      <c r="BL1164">
        <v>0</v>
      </c>
      <c r="BO1164">
        <v>0</v>
      </c>
      <c r="BP1164">
        <v>0</v>
      </c>
      <c r="BW1164" t="str">
        <f>"19:24:07.072"</f>
        <v>19:24:07.072</v>
      </c>
      <c r="BX1164" t="s">
        <v>119</v>
      </c>
      <c r="BY1164" t="s">
        <v>120</v>
      </c>
      <c r="CJ1164">
        <v>0</v>
      </c>
      <c r="CK1164">
        <v>0</v>
      </c>
      <c r="CL1164">
        <v>0</v>
      </c>
      <c r="CM1164">
        <v>2</v>
      </c>
      <c r="CN1164">
        <v>0</v>
      </c>
      <c r="CO1164">
        <v>7</v>
      </c>
      <c r="CP1164" t="s">
        <v>121</v>
      </c>
      <c r="CQ1164">
        <v>581</v>
      </c>
      <c r="CR1164">
        <v>0</v>
      </c>
      <c r="CW1164">
        <v>16210597</v>
      </c>
      <c r="CY1164">
        <v>0</v>
      </c>
      <c r="CZ1164">
        <v>0</v>
      </c>
      <c r="DA1164">
        <v>0</v>
      </c>
      <c r="DB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</row>
    <row r="1165" spans="1:113" x14ac:dyDescent="0.3">
      <c r="A1165" t="str">
        <f>"06/16/2022 19:24:08.357"</f>
        <v>06/16/2022 19:24:08.357</v>
      </c>
      <c r="C1165" t="str">
        <f t="shared" si="54"/>
        <v>FFBF5BC0</v>
      </c>
      <c r="D1165" t="s">
        <v>113</v>
      </c>
      <c r="E1165">
        <v>8</v>
      </c>
      <c r="H1165">
        <v>206</v>
      </c>
      <c r="I1165" t="s">
        <v>114</v>
      </c>
      <c r="J1165" t="s">
        <v>115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>"19:24:08.172"</f>
        <v>19:24:08.172</v>
      </c>
      <c r="T1165" t="str">
        <f>"19:24:08.172"</f>
        <v>19:24:08.172</v>
      </c>
      <c r="U1165" t="str">
        <f t="shared" si="55"/>
        <v>AB63B2</v>
      </c>
      <c r="V1165">
        <v>0</v>
      </c>
      <c r="W1165">
        <v>0</v>
      </c>
      <c r="X1165">
        <v>6</v>
      </c>
      <c r="Z1165">
        <v>0</v>
      </c>
      <c r="AA1165">
        <v>9</v>
      </c>
      <c r="AB1165">
        <v>3</v>
      </c>
      <c r="AC1165">
        <v>0</v>
      </c>
      <c r="AD1165">
        <v>10</v>
      </c>
      <c r="AE1165">
        <v>0</v>
      </c>
      <c r="AF1165">
        <v>0</v>
      </c>
      <c r="AG1165">
        <v>2</v>
      </c>
      <c r="AH1165">
        <v>0</v>
      </c>
      <c r="AI1165" t="s">
        <v>116</v>
      </c>
      <c r="AJ1165">
        <v>41.991484</v>
      </c>
      <c r="AK1165" t="s">
        <v>1028</v>
      </c>
      <c r="AL1165">
        <v>-87.892363000000003</v>
      </c>
      <c r="AS1165">
        <v>1</v>
      </c>
      <c r="AT1165" t="s">
        <v>118</v>
      </c>
      <c r="AU1165" t="b">
        <v>1</v>
      </c>
      <c r="AV1165">
        <v>2.81</v>
      </c>
      <c r="AW1165">
        <v>0.25</v>
      </c>
      <c r="AX1165">
        <v>1</v>
      </c>
      <c r="AZ1165">
        <v>7205</v>
      </c>
      <c r="BA1165">
        <v>1</v>
      </c>
      <c r="BB1165" t="str">
        <f t="shared" si="56"/>
        <v xml:space="preserve">KAP400  </v>
      </c>
      <c r="BC1165">
        <v>1</v>
      </c>
      <c r="BE1165">
        <v>0</v>
      </c>
      <c r="BF1165">
        <v>0</v>
      </c>
      <c r="BG1165">
        <v>0</v>
      </c>
      <c r="BI1165">
        <v>1</v>
      </c>
      <c r="BJ1165">
        <v>1</v>
      </c>
      <c r="BK1165">
        <v>1</v>
      </c>
      <c r="BL1165">
        <v>0</v>
      </c>
      <c r="BO1165">
        <v>0</v>
      </c>
      <c r="BP1165">
        <v>0</v>
      </c>
      <c r="BW1165" t="str">
        <f>"19:24:08.176"</f>
        <v>19:24:08.176</v>
      </c>
      <c r="BX1165" t="s">
        <v>119</v>
      </c>
      <c r="BY1165" t="s">
        <v>120</v>
      </c>
      <c r="CJ1165">
        <v>0</v>
      </c>
      <c r="CK1165">
        <v>0</v>
      </c>
      <c r="CL1165">
        <v>0</v>
      </c>
      <c r="CM1165">
        <v>2</v>
      </c>
      <c r="CN1165">
        <v>0</v>
      </c>
      <c r="CO1165">
        <v>7</v>
      </c>
      <c r="CP1165" t="s">
        <v>121</v>
      </c>
      <c r="CQ1165">
        <v>581</v>
      </c>
      <c r="CR1165">
        <v>0</v>
      </c>
      <c r="CW1165">
        <v>16211948</v>
      </c>
      <c r="CY1165">
        <v>0</v>
      </c>
      <c r="CZ1165">
        <v>0</v>
      </c>
      <c r="DA1165">
        <v>0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</row>
    <row r="1166" spans="1:113" x14ac:dyDescent="0.3">
      <c r="A1166" t="str">
        <f>"06/16/2022 19:24:09.451"</f>
        <v>06/16/2022 19:24:09.451</v>
      </c>
      <c r="C1166" t="str">
        <f t="shared" si="54"/>
        <v>FFBF5BC0</v>
      </c>
      <c r="D1166" t="s">
        <v>113</v>
      </c>
      <c r="E1166">
        <v>8</v>
      </c>
      <c r="H1166">
        <v>206</v>
      </c>
      <c r="I1166" t="s">
        <v>114</v>
      </c>
      <c r="J1166" t="s">
        <v>115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>"19:24:09.234"</f>
        <v>19:24:09.234</v>
      </c>
      <c r="T1166" t="str">
        <f>"19:24:09.234"</f>
        <v>19:24:09.234</v>
      </c>
      <c r="U1166" t="str">
        <f t="shared" si="55"/>
        <v>AB63B2</v>
      </c>
      <c r="V1166">
        <v>0</v>
      </c>
      <c r="W1166">
        <v>0</v>
      </c>
      <c r="X1166">
        <v>6</v>
      </c>
      <c r="Z1166">
        <v>0</v>
      </c>
      <c r="AA1166">
        <v>9</v>
      </c>
      <c r="AB1166">
        <v>3</v>
      </c>
      <c r="AC1166">
        <v>0</v>
      </c>
      <c r="AD1166">
        <v>10</v>
      </c>
      <c r="AE1166">
        <v>0</v>
      </c>
      <c r="AF1166">
        <v>0</v>
      </c>
      <c r="AG1166">
        <v>2</v>
      </c>
      <c r="AH1166">
        <v>0</v>
      </c>
      <c r="AI1166" t="s">
        <v>116</v>
      </c>
      <c r="AJ1166">
        <v>41.991484</v>
      </c>
      <c r="AK1166" t="s">
        <v>833</v>
      </c>
      <c r="AL1166">
        <v>-87.892341999999999</v>
      </c>
      <c r="AS1166">
        <v>1</v>
      </c>
      <c r="AT1166" t="s">
        <v>118</v>
      </c>
      <c r="AU1166" t="b">
        <v>1</v>
      </c>
      <c r="AV1166">
        <v>2.81</v>
      </c>
      <c r="AW1166">
        <v>0.25</v>
      </c>
      <c r="AX1166">
        <v>1</v>
      </c>
      <c r="AZ1166">
        <v>7205</v>
      </c>
      <c r="BA1166">
        <v>1</v>
      </c>
      <c r="BB1166" t="str">
        <f t="shared" si="56"/>
        <v xml:space="preserve">KAP400  </v>
      </c>
      <c r="BC1166">
        <v>1</v>
      </c>
      <c r="BE1166">
        <v>0</v>
      </c>
      <c r="BF1166">
        <v>0</v>
      </c>
      <c r="BG1166">
        <v>0</v>
      </c>
      <c r="BI1166">
        <v>1</v>
      </c>
      <c r="BJ1166">
        <v>1</v>
      </c>
      <c r="BK1166">
        <v>1</v>
      </c>
      <c r="BL1166">
        <v>0</v>
      </c>
      <c r="BO1166">
        <v>0</v>
      </c>
      <c r="BP1166">
        <v>0</v>
      </c>
      <c r="BW1166" t="str">
        <f>"19:24:09.235"</f>
        <v>19:24:09.235</v>
      </c>
      <c r="BX1166" t="s">
        <v>119</v>
      </c>
      <c r="BY1166" t="s">
        <v>120</v>
      </c>
      <c r="CJ1166">
        <v>0</v>
      </c>
      <c r="CK1166">
        <v>0</v>
      </c>
      <c r="CL1166">
        <v>0</v>
      </c>
      <c r="CM1166">
        <v>2</v>
      </c>
      <c r="CN1166">
        <v>0</v>
      </c>
      <c r="CO1166">
        <v>7</v>
      </c>
      <c r="CP1166" t="s">
        <v>121</v>
      </c>
      <c r="CQ1166">
        <v>581</v>
      </c>
      <c r="CR1166">
        <v>0</v>
      </c>
      <c r="CW1166">
        <v>16213279</v>
      </c>
      <c r="CY1166">
        <v>0</v>
      </c>
      <c r="CZ1166">
        <v>0</v>
      </c>
      <c r="DA1166">
        <v>0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</row>
    <row r="1167" spans="1:113" x14ac:dyDescent="0.3">
      <c r="A1167" t="str">
        <f>"06/16/2022 19:24:11.091"</f>
        <v>06/16/2022 19:24:11.091</v>
      </c>
      <c r="C1167" t="str">
        <f t="shared" si="54"/>
        <v>FFBF5BC0</v>
      </c>
      <c r="D1167" t="s">
        <v>113</v>
      </c>
      <c r="E1167">
        <v>8</v>
      </c>
      <c r="H1167">
        <v>206</v>
      </c>
      <c r="I1167" t="s">
        <v>114</v>
      </c>
      <c r="J1167" t="s">
        <v>115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>"19:24:10.766"</f>
        <v>19:24:10.766</v>
      </c>
      <c r="T1167" t="str">
        <f>"19:24:10.766"</f>
        <v>19:24:10.766</v>
      </c>
      <c r="U1167" t="str">
        <f t="shared" si="55"/>
        <v>AB63B2</v>
      </c>
      <c r="V1167">
        <v>0</v>
      </c>
      <c r="W1167">
        <v>0</v>
      </c>
      <c r="X1167">
        <v>6</v>
      </c>
      <c r="Z1167">
        <v>0</v>
      </c>
      <c r="AA1167">
        <v>9</v>
      </c>
      <c r="AB1167">
        <v>3</v>
      </c>
      <c r="AC1167">
        <v>0</v>
      </c>
      <c r="AD1167">
        <v>10</v>
      </c>
      <c r="AE1167">
        <v>0</v>
      </c>
      <c r="AF1167">
        <v>0</v>
      </c>
      <c r="AG1167">
        <v>2</v>
      </c>
      <c r="AH1167">
        <v>0</v>
      </c>
      <c r="AI1167" t="s">
        <v>122</v>
      </c>
      <c r="AJ1167">
        <v>41.991506000000001</v>
      </c>
      <c r="AK1167" t="s">
        <v>1028</v>
      </c>
      <c r="AL1167">
        <v>-87.892363000000003</v>
      </c>
      <c r="AS1167">
        <v>1</v>
      </c>
      <c r="AT1167" t="s">
        <v>118</v>
      </c>
      <c r="AU1167" t="b">
        <v>1</v>
      </c>
      <c r="AV1167">
        <v>2.81</v>
      </c>
      <c r="AW1167">
        <v>0.125</v>
      </c>
      <c r="AX1167">
        <v>1</v>
      </c>
      <c r="AZ1167">
        <v>7205</v>
      </c>
      <c r="BA1167">
        <v>1</v>
      </c>
      <c r="BB1167" t="str">
        <f t="shared" si="56"/>
        <v xml:space="preserve">KAP400  </v>
      </c>
      <c r="BC1167">
        <v>1</v>
      </c>
      <c r="BE1167">
        <v>0</v>
      </c>
      <c r="BF1167">
        <v>0</v>
      </c>
      <c r="BG1167">
        <v>0</v>
      </c>
      <c r="BI1167">
        <v>1</v>
      </c>
      <c r="BJ1167">
        <v>1</v>
      </c>
      <c r="BK1167">
        <v>1</v>
      </c>
      <c r="BL1167">
        <v>0</v>
      </c>
      <c r="BO1167">
        <v>0</v>
      </c>
      <c r="BP1167">
        <v>0</v>
      </c>
      <c r="BW1167" t="str">
        <f>"19:24:10.770"</f>
        <v>19:24:10.770</v>
      </c>
      <c r="BX1167" t="s">
        <v>119</v>
      </c>
      <c r="BY1167" t="s">
        <v>120</v>
      </c>
      <c r="CJ1167">
        <v>0</v>
      </c>
      <c r="CK1167">
        <v>0</v>
      </c>
      <c r="CL1167">
        <v>0</v>
      </c>
      <c r="CM1167">
        <v>2</v>
      </c>
      <c r="CN1167">
        <v>0</v>
      </c>
      <c r="CO1167">
        <v>7</v>
      </c>
      <c r="CP1167" t="s">
        <v>121</v>
      </c>
      <c r="CQ1167">
        <v>581</v>
      </c>
      <c r="CR1167">
        <v>0</v>
      </c>
      <c r="CW1167">
        <v>16215330</v>
      </c>
      <c r="CY1167">
        <v>0</v>
      </c>
      <c r="CZ1167">
        <v>0</v>
      </c>
      <c r="DA1167">
        <v>0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</row>
    <row r="1168" spans="1:113" x14ac:dyDescent="0.3">
      <c r="A1168" t="str">
        <f>"06/16/2022 19:24:11.859"</f>
        <v>06/16/2022 19:24:11.859</v>
      </c>
      <c r="C1168" t="str">
        <f t="shared" si="54"/>
        <v>FFBF5BC0</v>
      </c>
      <c r="D1168" t="s">
        <v>113</v>
      </c>
      <c r="E1168">
        <v>8</v>
      </c>
      <c r="H1168">
        <v>206</v>
      </c>
      <c r="I1168" t="s">
        <v>114</v>
      </c>
      <c r="J1168" t="s">
        <v>115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>"19:24:11.672"</f>
        <v>19:24:11.672</v>
      </c>
      <c r="T1168" t="str">
        <f>"19:24:11.672"</f>
        <v>19:24:11.672</v>
      </c>
      <c r="U1168" t="str">
        <f t="shared" si="55"/>
        <v>AB63B2</v>
      </c>
      <c r="V1168">
        <v>0</v>
      </c>
      <c r="W1168">
        <v>0</v>
      </c>
      <c r="X1168">
        <v>6</v>
      </c>
      <c r="Z1168">
        <v>0</v>
      </c>
      <c r="AA1168">
        <v>9</v>
      </c>
      <c r="AB1168">
        <v>3</v>
      </c>
      <c r="AC1168">
        <v>0</v>
      </c>
      <c r="AD1168">
        <v>10</v>
      </c>
      <c r="AE1168">
        <v>0</v>
      </c>
      <c r="AF1168">
        <v>0</v>
      </c>
      <c r="AG1168">
        <v>2</v>
      </c>
      <c r="AH1168">
        <v>0</v>
      </c>
      <c r="AI1168" t="s">
        <v>116</v>
      </c>
      <c r="AJ1168">
        <v>41.991484</v>
      </c>
      <c r="AK1168" t="s">
        <v>1028</v>
      </c>
      <c r="AL1168">
        <v>-87.892363000000003</v>
      </c>
      <c r="AS1168">
        <v>1</v>
      </c>
      <c r="AT1168" t="s">
        <v>118</v>
      </c>
      <c r="AU1168" t="b">
        <v>1</v>
      </c>
      <c r="AV1168">
        <v>2.81</v>
      </c>
      <c r="AW1168">
        <v>0.25</v>
      </c>
      <c r="AX1168">
        <v>1</v>
      </c>
      <c r="AZ1168">
        <v>7205</v>
      </c>
      <c r="BA1168">
        <v>1</v>
      </c>
      <c r="BB1168" t="str">
        <f t="shared" si="56"/>
        <v xml:space="preserve">KAP400  </v>
      </c>
      <c r="BC1168">
        <v>1</v>
      </c>
      <c r="BE1168">
        <v>0</v>
      </c>
      <c r="BF1168">
        <v>0</v>
      </c>
      <c r="BG1168">
        <v>0</v>
      </c>
      <c r="BI1168">
        <v>1</v>
      </c>
      <c r="BJ1168">
        <v>1</v>
      </c>
      <c r="BK1168">
        <v>1</v>
      </c>
      <c r="BL1168">
        <v>0</v>
      </c>
      <c r="BO1168">
        <v>0</v>
      </c>
      <c r="BP1168">
        <v>0</v>
      </c>
      <c r="BW1168" t="str">
        <f>"19:24:11.676"</f>
        <v>19:24:11.676</v>
      </c>
      <c r="BX1168" t="s">
        <v>119</v>
      </c>
      <c r="BY1168" t="s">
        <v>120</v>
      </c>
      <c r="CJ1168">
        <v>0</v>
      </c>
      <c r="CK1168">
        <v>0</v>
      </c>
      <c r="CL1168">
        <v>0</v>
      </c>
      <c r="CM1168">
        <v>2</v>
      </c>
      <c r="CN1168">
        <v>0</v>
      </c>
      <c r="CO1168">
        <v>7</v>
      </c>
      <c r="CP1168" t="s">
        <v>121</v>
      </c>
      <c r="CQ1168">
        <v>582</v>
      </c>
      <c r="CR1168">
        <v>0</v>
      </c>
      <c r="CW1168">
        <v>7079164</v>
      </c>
      <c r="CY1168">
        <v>0</v>
      </c>
      <c r="CZ1168">
        <v>0</v>
      </c>
      <c r="DA1168">
        <v>0</v>
      </c>
      <c r="DB1168">
        <v>0</v>
      </c>
      <c r="DC1168">
        <v>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</row>
    <row r="1169" spans="1:113" x14ac:dyDescent="0.3">
      <c r="A1169" t="str">
        <f>"06/16/2022 19:24:13.005"</f>
        <v>06/16/2022 19:24:13.005</v>
      </c>
      <c r="C1169" t="str">
        <f t="shared" si="54"/>
        <v>FFBF5BC0</v>
      </c>
      <c r="D1169" t="s">
        <v>113</v>
      </c>
      <c r="E1169">
        <v>8</v>
      </c>
      <c r="H1169">
        <v>206</v>
      </c>
      <c r="I1169" t="s">
        <v>114</v>
      </c>
      <c r="J1169" t="s">
        <v>115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>"19:24:12.711"</f>
        <v>19:24:12.711</v>
      </c>
      <c r="T1169" t="str">
        <f>"19:24:12.711"</f>
        <v>19:24:12.711</v>
      </c>
      <c r="U1169" t="str">
        <f t="shared" si="55"/>
        <v>AB63B2</v>
      </c>
      <c r="V1169">
        <v>0</v>
      </c>
      <c r="W1169">
        <v>0</v>
      </c>
      <c r="X1169">
        <v>6</v>
      </c>
      <c r="Z1169">
        <v>0</v>
      </c>
      <c r="AA1169">
        <v>9</v>
      </c>
      <c r="AB1169">
        <v>3</v>
      </c>
      <c r="AC1169">
        <v>0</v>
      </c>
      <c r="AD1169">
        <v>10</v>
      </c>
      <c r="AE1169">
        <v>0</v>
      </c>
      <c r="AF1169">
        <v>0</v>
      </c>
      <c r="AG1169">
        <v>2</v>
      </c>
      <c r="AH1169">
        <v>0</v>
      </c>
      <c r="AI1169" t="s">
        <v>122</v>
      </c>
      <c r="AJ1169">
        <v>41.991506000000001</v>
      </c>
      <c r="AK1169" t="s">
        <v>1028</v>
      </c>
      <c r="AL1169">
        <v>-87.892363000000003</v>
      </c>
      <c r="AS1169">
        <v>1</v>
      </c>
      <c r="AT1169" t="s">
        <v>118</v>
      </c>
      <c r="AU1169" t="b">
        <v>1</v>
      </c>
      <c r="AV1169">
        <v>2.81</v>
      </c>
      <c r="AW1169">
        <v>0.25</v>
      </c>
      <c r="AX1169">
        <v>1</v>
      </c>
      <c r="AZ1169">
        <v>7205</v>
      </c>
      <c r="BA1169">
        <v>1</v>
      </c>
      <c r="BB1169" t="str">
        <f t="shared" si="56"/>
        <v xml:space="preserve">KAP400  </v>
      </c>
      <c r="BC1169">
        <v>1</v>
      </c>
      <c r="BE1169">
        <v>0</v>
      </c>
      <c r="BF1169">
        <v>0</v>
      </c>
      <c r="BG1169">
        <v>0</v>
      </c>
      <c r="BI1169">
        <v>1</v>
      </c>
      <c r="BJ1169">
        <v>1</v>
      </c>
      <c r="BK1169">
        <v>1</v>
      </c>
      <c r="BL1169">
        <v>0</v>
      </c>
      <c r="BO1169">
        <v>0</v>
      </c>
      <c r="BP1169">
        <v>0</v>
      </c>
      <c r="BW1169" t="str">
        <f>"19:24:12.712"</f>
        <v>19:24:12.712</v>
      </c>
      <c r="BX1169" t="s">
        <v>119</v>
      </c>
      <c r="BY1169" t="s">
        <v>120</v>
      </c>
      <c r="CJ1169">
        <v>0</v>
      </c>
      <c r="CK1169">
        <v>0</v>
      </c>
      <c r="CL1169">
        <v>0</v>
      </c>
      <c r="CM1169">
        <v>2</v>
      </c>
      <c r="CN1169">
        <v>0</v>
      </c>
      <c r="CO1169">
        <v>7</v>
      </c>
      <c r="CP1169" t="s">
        <v>121</v>
      </c>
      <c r="CQ1169">
        <v>581</v>
      </c>
      <c r="CR1169">
        <v>0</v>
      </c>
      <c r="CW1169">
        <v>16217779</v>
      </c>
      <c r="CY1169">
        <v>0</v>
      </c>
      <c r="CZ1169">
        <v>0</v>
      </c>
      <c r="DA1169">
        <v>0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</row>
    <row r="1170" spans="1:113" x14ac:dyDescent="0.3">
      <c r="A1170" t="str">
        <f>"06/16/2022 19:24:13.864"</f>
        <v>06/16/2022 19:24:13.864</v>
      </c>
      <c r="C1170" t="str">
        <f t="shared" si="54"/>
        <v>FFBF5BC0</v>
      </c>
      <c r="D1170" t="s">
        <v>113</v>
      </c>
      <c r="E1170">
        <v>8</v>
      </c>
      <c r="H1170">
        <v>206</v>
      </c>
      <c r="I1170" t="s">
        <v>114</v>
      </c>
      <c r="J1170" t="s">
        <v>115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>"19:24:13.648"</f>
        <v>19:24:13.648</v>
      </c>
      <c r="T1170" t="str">
        <f>"19:24:13.648"</f>
        <v>19:24:13.648</v>
      </c>
      <c r="U1170" t="str">
        <f t="shared" si="55"/>
        <v>AB63B2</v>
      </c>
      <c r="V1170">
        <v>0</v>
      </c>
      <c r="W1170">
        <v>0</v>
      </c>
      <c r="X1170">
        <v>6</v>
      </c>
      <c r="Z1170">
        <v>0</v>
      </c>
      <c r="AA1170">
        <v>9</v>
      </c>
      <c r="AB1170">
        <v>3</v>
      </c>
      <c r="AC1170">
        <v>0</v>
      </c>
      <c r="AD1170">
        <v>10</v>
      </c>
      <c r="AE1170">
        <v>0</v>
      </c>
      <c r="AF1170">
        <v>0</v>
      </c>
      <c r="AG1170">
        <v>2</v>
      </c>
      <c r="AH1170">
        <v>0</v>
      </c>
      <c r="AI1170" t="s">
        <v>116</v>
      </c>
      <c r="AJ1170">
        <v>41.991484</v>
      </c>
      <c r="AK1170" t="s">
        <v>1028</v>
      </c>
      <c r="AL1170">
        <v>-87.892363000000003</v>
      </c>
      <c r="AS1170">
        <v>1</v>
      </c>
      <c r="AT1170" t="s">
        <v>118</v>
      </c>
      <c r="AU1170" t="b">
        <v>1</v>
      </c>
      <c r="AV1170">
        <v>2.81</v>
      </c>
      <c r="AW1170">
        <v>0.25</v>
      </c>
      <c r="AX1170">
        <v>1</v>
      </c>
      <c r="AZ1170">
        <v>7205</v>
      </c>
      <c r="BA1170">
        <v>1</v>
      </c>
      <c r="BB1170" t="str">
        <f t="shared" si="56"/>
        <v xml:space="preserve">KAP400  </v>
      </c>
      <c r="BC1170">
        <v>1</v>
      </c>
      <c r="BE1170">
        <v>0</v>
      </c>
      <c r="BF1170">
        <v>0</v>
      </c>
      <c r="BG1170">
        <v>0</v>
      </c>
      <c r="BI1170">
        <v>1</v>
      </c>
      <c r="BJ1170">
        <v>1</v>
      </c>
      <c r="BK1170">
        <v>1</v>
      </c>
      <c r="BL1170">
        <v>0</v>
      </c>
      <c r="BO1170">
        <v>0</v>
      </c>
      <c r="BP1170">
        <v>0</v>
      </c>
      <c r="BW1170" t="str">
        <f>"19:24:13.649"</f>
        <v>19:24:13.649</v>
      </c>
      <c r="BX1170" t="s">
        <v>119</v>
      </c>
      <c r="BY1170" t="s">
        <v>120</v>
      </c>
      <c r="CJ1170">
        <v>0</v>
      </c>
      <c r="CK1170">
        <v>0</v>
      </c>
      <c r="CL1170">
        <v>0</v>
      </c>
      <c r="CM1170">
        <v>2</v>
      </c>
      <c r="CN1170">
        <v>0</v>
      </c>
      <c r="CO1170">
        <v>7</v>
      </c>
      <c r="CP1170" t="s">
        <v>121</v>
      </c>
      <c r="CQ1170">
        <v>582</v>
      </c>
      <c r="CR1170">
        <v>0</v>
      </c>
      <c r="CW1170">
        <v>7081438</v>
      </c>
      <c r="CY1170">
        <v>0</v>
      </c>
      <c r="CZ1170">
        <v>0</v>
      </c>
      <c r="DA1170">
        <v>0</v>
      </c>
      <c r="DB1170">
        <v>0</v>
      </c>
      <c r="DC1170">
        <v>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</row>
    <row r="1171" spans="1:113" x14ac:dyDescent="0.3">
      <c r="A1171" t="str">
        <f>"06/16/2022 19:24:14.770"</f>
        <v>06/16/2022 19:24:14.770</v>
      </c>
      <c r="C1171" t="str">
        <f t="shared" si="54"/>
        <v>FFBF5BC0</v>
      </c>
      <c r="D1171" t="s">
        <v>113</v>
      </c>
      <c r="E1171">
        <v>8</v>
      </c>
      <c r="H1171">
        <v>206</v>
      </c>
      <c r="I1171" t="s">
        <v>114</v>
      </c>
      <c r="J1171" t="s">
        <v>115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>"19:24:14.609"</f>
        <v>19:24:14.609</v>
      </c>
      <c r="T1171" t="str">
        <f>"19:24:14.609"</f>
        <v>19:24:14.609</v>
      </c>
      <c r="U1171" t="str">
        <f t="shared" si="55"/>
        <v>AB63B2</v>
      </c>
      <c r="V1171">
        <v>0</v>
      </c>
      <c r="W1171">
        <v>0</v>
      </c>
      <c r="X1171">
        <v>6</v>
      </c>
      <c r="Z1171">
        <v>0</v>
      </c>
      <c r="AA1171">
        <v>9</v>
      </c>
      <c r="AB1171">
        <v>3</v>
      </c>
      <c r="AC1171">
        <v>0</v>
      </c>
      <c r="AD1171">
        <v>10</v>
      </c>
      <c r="AE1171">
        <v>0</v>
      </c>
      <c r="AF1171">
        <v>0</v>
      </c>
      <c r="AG1171">
        <v>2</v>
      </c>
      <c r="AH1171">
        <v>0</v>
      </c>
      <c r="AI1171" t="s">
        <v>116</v>
      </c>
      <c r="AJ1171">
        <v>41.991484</v>
      </c>
      <c r="AK1171" t="s">
        <v>1028</v>
      </c>
      <c r="AL1171">
        <v>-87.892363000000003</v>
      </c>
      <c r="AS1171">
        <v>1</v>
      </c>
      <c r="AT1171" t="s">
        <v>118</v>
      </c>
      <c r="AU1171" t="b">
        <v>1</v>
      </c>
      <c r="AV1171">
        <v>2.81</v>
      </c>
      <c r="AW1171">
        <v>0.25</v>
      </c>
      <c r="AX1171">
        <v>1</v>
      </c>
      <c r="AZ1171">
        <v>7205</v>
      </c>
      <c r="BA1171">
        <v>1</v>
      </c>
      <c r="BB1171" t="str">
        <f t="shared" si="56"/>
        <v xml:space="preserve">KAP400  </v>
      </c>
      <c r="BC1171">
        <v>1</v>
      </c>
      <c r="BE1171">
        <v>0</v>
      </c>
      <c r="BF1171">
        <v>0</v>
      </c>
      <c r="BG1171">
        <v>0</v>
      </c>
      <c r="BI1171">
        <v>1</v>
      </c>
      <c r="BJ1171">
        <v>1</v>
      </c>
      <c r="BK1171">
        <v>1</v>
      </c>
      <c r="BL1171">
        <v>0</v>
      </c>
      <c r="BO1171">
        <v>0</v>
      </c>
      <c r="BP1171">
        <v>0</v>
      </c>
      <c r="BW1171" t="str">
        <f>"19:24:14.612"</f>
        <v>19:24:14.612</v>
      </c>
      <c r="BX1171" t="s">
        <v>119</v>
      </c>
      <c r="BY1171" t="s">
        <v>120</v>
      </c>
      <c r="CJ1171">
        <v>0</v>
      </c>
      <c r="CK1171">
        <v>0</v>
      </c>
      <c r="CL1171">
        <v>0</v>
      </c>
      <c r="CM1171">
        <v>2</v>
      </c>
      <c r="CN1171">
        <v>0</v>
      </c>
      <c r="CO1171">
        <v>7</v>
      </c>
      <c r="CP1171" t="s">
        <v>121</v>
      </c>
      <c r="CQ1171">
        <v>581</v>
      </c>
      <c r="CR1171">
        <v>0</v>
      </c>
      <c r="CW1171">
        <v>16220173</v>
      </c>
      <c r="CY1171">
        <v>0</v>
      </c>
      <c r="CZ1171">
        <v>0</v>
      </c>
      <c r="DA1171">
        <v>0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20220616_AB63B2_486791973_ADSB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2022-08-11T19:24:28Z</dcterms:created>
  <dcterms:modified xsi:type="dcterms:W3CDTF">2022-08-11T19:24:28Z</dcterms:modified>
</cp:coreProperties>
</file>