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J:\Accident Investigation\Accident Investigation Access Only\NIRS\2026 NTSB Requests\26-179 N445JS\"/>
    </mc:Choice>
  </mc:AlternateContent>
  <xr:revisionPtr revIDLastSave="0" documentId="8_{B770E8F0-1E7E-4B71-BC3F-71A754E69357}" xr6:coauthVersionLast="47" xr6:coauthVersionMax="47" xr10:uidLastSave="{00000000-0000-0000-0000-000000000000}"/>
  <bookViews>
    <workbookView xWindow="-120" yWindow="-120" windowWidth="25440" windowHeight="15270" xr2:uid="{1D6F14F3-4E0D-4F42-A7F0-71EF70C90BF1}"/>
  </bookViews>
  <sheets>
    <sheet name="20260417_A55E09_620477490_ADSB" sheetId="1" r:id="rId1"/>
  </sheets>
  <calcPr calcId="0"/>
</workbook>
</file>

<file path=xl/calcChain.xml><?xml version="1.0" encoding="utf-8"?>
<calcChain xmlns="http://schemas.openxmlformats.org/spreadsheetml/2006/main">
  <c r="A2" i="1" l="1"/>
  <c r="C2" i="1"/>
  <c r="E2" i="1"/>
  <c r="S2" i="1"/>
  <c r="T2" i="1"/>
  <c r="U2" i="1"/>
  <c r="BB2" i="1"/>
  <c r="BD2" i="1"/>
  <c r="CE2" i="1"/>
  <c r="A3" i="1"/>
  <c r="C3" i="1"/>
  <c r="E3" i="1"/>
  <c r="S3" i="1"/>
  <c r="T3" i="1"/>
  <c r="U3" i="1"/>
  <c r="BB3" i="1"/>
  <c r="BD3" i="1"/>
  <c r="CE3" i="1"/>
  <c r="A4" i="1"/>
  <c r="C4" i="1"/>
  <c r="E4" i="1"/>
  <c r="S4" i="1"/>
  <c r="T4" i="1"/>
  <c r="U4" i="1"/>
  <c r="BB4" i="1"/>
  <c r="BD4" i="1"/>
  <c r="CE4" i="1"/>
  <c r="A5" i="1"/>
  <c r="C5" i="1"/>
  <c r="E5" i="1"/>
  <c r="S5" i="1"/>
  <c r="T5" i="1"/>
  <c r="U5" i="1"/>
  <c r="BB5" i="1"/>
  <c r="BD5" i="1"/>
  <c r="CE5" i="1"/>
  <c r="A6" i="1"/>
  <c r="C6" i="1"/>
  <c r="E6" i="1"/>
  <c r="S6" i="1"/>
  <c r="T6" i="1"/>
  <c r="U6" i="1"/>
  <c r="BB6" i="1"/>
  <c r="BD6" i="1"/>
  <c r="CE6" i="1"/>
  <c r="A7" i="1"/>
  <c r="C7" i="1"/>
  <c r="E7" i="1"/>
  <c r="S7" i="1"/>
  <c r="T7" i="1"/>
  <c r="U7" i="1"/>
  <c r="BB7" i="1"/>
  <c r="BD7" i="1"/>
  <c r="CE7" i="1"/>
  <c r="A8" i="1"/>
  <c r="C8" i="1"/>
  <c r="E8" i="1"/>
  <c r="S8" i="1"/>
  <c r="T8" i="1"/>
  <c r="U8" i="1"/>
  <c r="BB8" i="1"/>
  <c r="BD8" i="1"/>
  <c r="CE8" i="1"/>
  <c r="A9" i="1"/>
  <c r="C9" i="1"/>
  <c r="E9" i="1"/>
  <c r="S9" i="1"/>
  <c r="T9" i="1"/>
  <c r="U9" i="1"/>
  <c r="BB9" i="1"/>
  <c r="BD9" i="1"/>
  <c r="CE9" i="1"/>
  <c r="A10" i="1"/>
  <c r="C10" i="1"/>
  <c r="E10" i="1"/>
  <c r="S10" i="1"/>
  <c r="T10" i="1"/>
  <c r="U10" i="1"/>
  <c r="BB10" i="1"/>
  <c r="BD10" i="1"/>
  <c r="CE10" i="1"/>
  <c r="A11" i="1"/>
  <c r="C11" i="1"/>
  <c r="E11" i="1"/>
  <c r="S11" i="1"/>
  <c r="T11" i="1"/>
  <c r="U11" i="1"/>
  <c r="BB11" i="1"/>
  <c r="BD11" i="1"/>
  <c r="CE11" i="1"/>
  <c r="A12" i="1"/>
  <c r="C12" i="1"/>
  <c r="E12" i="1"/>
  <c r="S12" i="1"/>
  <c r="T12" i="1"/>
  <c r="U12" i="1"/>
  <c r="BB12" i="1"/>
  <c r="BD12" i="1"/>
  <c r="CE12" i="1"/>
  <c r="A13" i="1"/>
  <c r="C13" i="1"/>
  <c r="E13" i="1"/>
  <c r="S13" i="1"/>
  <c r="T13" i="1"/>
  <c r="U13" i="1"/>
  <c r="BB13" i="1"/>
  <c r="BD13" i="1"/>
  <c r="CE13" i="1"/>
  <c r="A14" i="1"/>
  <c r="C14" i="1"/>
  <c r="E14" i="1"/>
  <c r="S14" i="1"/>
  <c r="T14" i="1"/>
  <c r="U14" i="1"/>
  <c r="BB14" i="1"/>
  <c r="BD14" i="1"/>
  <c r="CE14" i="1"/>
  <c r="A15" i="1"/>
  <c r="C15" i="1"/>
  <c r="E15" i="1"/>
  <c r="S15" i="1"/>
  <c r="T15" i="1"/>
  <c r="U15" i="1"/>
  <c r="BB15" i="1"/>
  <c r="BD15" i="1"/>
  <c r="CE15" i="1"/>
  <c r="A16" i="1"/>
  <c r="C16" i="1"/>
  <c r="E16" i="1"/>
  <c r="S16" i="1"/>
  <c r="T16" i="1"/>
  <c r="U16" i="1"/>
  <c r="BB16" i="1"/>
  <c r="BD16" i="1"/>
  <c r="CE16" i="1"/>
  <c r="A17" i="1"/>
  <c r="C17" i="1"/>
  <c r="E17" i="1"/>
  <c r="S17" i="1"/>
  <c r="T17" i="1"/>
  <c r="U17" i="1"/>
  <c r="BB17" i="1"/>
  <c r="BD17" i="1"/>
  <c r="CE17" i="1"/>
  <c r="A18" i="1"/>
  <c r="C18" i="1"/>
  <c r="E18" i="1"/>
  <c r="S18" i="1"/>
  <c r="T18" i="1"/>
  <c r="U18" i="1"/>
  <c r="BB18" i="1"/>
  <c r="BD18" i="1"/>
  <c r="CE18" i="1"/>
  <c r="A19" i="1"/>
  <c r="C19" i="1"/>
  <c r="E19" i="1"/>
  <c r="S19" i="1"/>
  <c r="T19" i="1"/>
  <c r="U19" i="1"/>
  <c r="BB19" i="1"/>
  <c r="BD19" i="1"/>
  <c r="CE19" i="1"/>
  <c r="A20" i="1"/>
  <c r="C20" i="1"/>
  <c r="E20" i="1"/>
  <c r="S20" i="1"/>
  <c r="T20" i="1"/>
  <c r="U20" i="1"/>
  <c r="BB20" i="1"/>
  <c r="BD20" i="1"/>
  <c r="CE20" i="1"/>
  <c r="A21" i="1"/>
  <c r="C21" i="1"/>
  <c r="E21" i="1"/>
  <c r="S21" i="1"/>
  <c r="T21" i="1"/>
  <c r="U21" i="1"/>
  <c r="BB21" i="1"/>
  <c r="BD21" i="1"/>
  <c r="CE21" i="1"/>
  <c r="A22" i="1"/>
  <c r="C22" i="1"/>
  <c r="E22" i="1"/>
  <c r="S22" i="1"/>
  <c r="T22" i="1"/>
  <c r="U22" i="1"/>
  <c r="BB22" i="1"/>
  <c r="BD22" i="1"/>
  <c r="CE22" i="1"/>
  <c r="A23" i="1"/>
  <c r="C23" i="1"/>
  <c r="E23" i="1"/>
  <c r="S23" i="1"/>
  <c r="T23" i="1"/>
  <c r="U23" i="1"/>
  <c r="BB23" i="1"/>
  <c r="BD23" i="1"/>
  <c r="CE23" i="1"/>
  <c r="A24" i="1"/>
  <c r="C24" i="1"/>
  <c r="E24" i="1"/>
  <c r="S24" i="1"/>
  <c r="T24" i="1"/>
  <c r="U24" i="1"/>
  <c r="BB24" i="1"/>
  <c r="BD24" i="1"/>
  <c r="CE24" i="1"/>
  <c r="A25" i="1"/>
  <c r="C25" i="1"/>
  <c r="E25" i="1"/>
  <c r="S25" i="1"/>
  <c r="T25" i="1"/>
  <c r="U25" i="1"/>
  <c r="BB25" i="1"/>
  <c r="BD25" i="1"/>
  <c r="CE25" i="1"/>
  <c r="A26" i="1"/>
  <c r="C26" i="1"/>
  <c r="E26" i="1"/>
  <c r="S26" i="1"/>
  <c r="T26" i="1"/>
  <c r="U26" i="1"/>
  <c r="BB26" i="1"/>
  <c r="BD26" i="1"/>
  <c r="CE26" i="1"/>
  <c r="A27" i="1"/>
  <c r="C27" i="1"/>
  <c r="E27" i="1"/>
  <c r="S27" i="1"/>
  <c r="T27" i="1"/>
  <c r="U27" i="1"/>
  <c r="BB27" i="1"/>
  <c r="BD27" i="1"/>
  <c r="CE27" i="1"/>
  <c r="A28" i="1"/>
  <c r="C28" i="1"/>
  <c r="E28" i="1"/>
  <c r="S28" i="1"/>
  <c r="T28" i="1"/>
  <c r="U28" i="1"/>
  <c r="BB28" i="1"/>
  <c r="BD28" i="1"/>
  <c r="CE28" i="1"/>
  <c r="A29" i="1"/>
  <c r="C29" i="1"/>
  <c r="E29" i="1"/>
  <c r="S29" i="1"/>
  <c r="T29" i="1"/>
  <c r="U29" i="1"/>
  <c r="BB29" i="1"/>
  <c r="BD29" i="1"/>
  <c r="CE29" i="1"/>
  <c r="A30" i="1"/>
  <c r="C30" i="1"/>
  <c r="E30" i="1"/>
  <c r="S30" i="1"/>
  <c r="T30" i="1"/>
  <c r="U30" i="1"/>
  <c r="BB30" i="1"/>
  <c r="BD30" i="1"/>
  <c r="CE30" i="1"/>
  <c r="A31" i="1"/>
  <c r="C31" i="1"/>
  <c r="E31" i="1"/>
  <c r="S31" i="1"/>
  <c r="T31" i="1"/>
  <c r="U31" i="1"/>
  <c r="BB31" i="1"/>
  <c r="BD31" i="1"/>
  <c r="CE31" i="1"/>
  <c r="A32" i="1"/>
  <c r="C32" i="1"/>
  <c r="E32" i="1"/>
  <c r="S32" i="1"/>
  <c r="T32" i="1"/>
  <c r="U32" i="1"/>
  <c r="BB32" i="1"/>
  <c r="BD32" i="1"/>
  <c r="CE32" i="1"/>
  <c r="A33" i="1"/>
  <c r="C33" i="1"/>
  <c r="E33" i="1"/>
  <c r="S33" i="1"/>
  <c r="T33" i="1"/>
  <c r="U33" i="1"/>
  <c r="BB33" i="1"/>
  <c r="BD33" i="1"/>
  <c r="CE33" i="1"/>
  <c r="A34" i="1"/>
  <c r="C34" i="1"/>
  <c r="E34" i="1"/>
  <c r="S34" i="1"/>
  <c r="T34" i="1"/>
  <c r="U34" i="1"/>
  <c r="BB34" i="1"/>
  <c r="BD34" i="1"/>
  <c r="CE34" i="1"/>
  <c r="A35" i="1"/>
  <c r="C35" i="1"/>
  <c r="E35" i="1"/>
  <c r="S35" i="1"/>
  <c r="T35" i="1"/>
  <c r="U35" i="1"/>
  <c r="BB35" i="1"/>
  <c r="BD35" i="1"/>
  <c r="CE35" i="1"/>
  <c r="A36" i="1"/>
  <c r="C36" i="1"/>
  <c r="E36" i="1"/>
  <c r="S36" i="1"/>
  <c r="T36" i="1"/>
  <c r="U36" i="1"/>
  <c r="BB36" i="1"/>
  <c r="BD36" i="1"/>
  <c r="CE36" i="1"/>
  <c r="A37" i="1"/>
  <c r="C37" i="1"/>
  <c r="E37" i="1"/>
  <c r="S37" i="1"/>
  <c r="T37" i="1"/>
  <c r="U37" i="1"/>
  <c r="BB37" i="1"/>
  <c r="BD37" i="1"/>
  <c r="CE37" i="1"/>
  <c r="A38" i="1"/>
  <c r="C38" i="1"/>
  <c r="E38" i="1"/>
  <c r="S38" i="1"/>
  <c r="T38" i="1"/>
  <c r="U38" i="1"/>
  <c r="BB38" i="1"/>
  <c r="BD38" i="1"/>
  <c r="CE38" i="1"/>
  <c r="A39" i="1"/>
  <c r="C39" i="1"/>
  <c r="E39" i="1"/>
  <c r="S39" i="1"/>
  <c r="T39" i="1"/>
  <c r="U39" i="1"/>
  <c r="BB39" i="1"/>
  <c r="BD39" i="1"/>
  <c r="CE39" i="1"/>
  <c r="A40" i="1"/>
  <c r="C40" i="1"/>
  <c r="E40" i="1"/>
  <c r="S40" i="1"/>
  <c r="T40" i="1"/>
  <c r="U40" i="1"/>
  <c r="BB40" i="1"/>
  <c r="BD40" i="1"/>
  <c r="CE40" i="1"/>
  <c r="A41" i="1"/>
  <c r="C41" i="1"/>
  <c r="E41" i="1"/>
  <c r="S41" i="1"/>
  <c r="T41" i="1"/>
  <c r="U41" i="1"/>
  <c r="BB41" i="1"/>
  <c r="BD41" i="1"/>
  <c r="CE41" i="1"/>
  <c r="A42" i="1"/>
  <c r="C42" i="1"/>
  <c r="E42" i="1"/>
  <c r="S42" i="1"/>
  <c r="T42" i="1"/>
  <c r="U42" i="1"/>
  <c r="BB42" i="1"/>
  <c r="BD42" i="1"/>
  <c r="CE42" i="1"/>
  <c r="A43" i="1"/>
  <c r="C43" i="1"/>
  <c r="E43" i="1"/>
  <c r="S43" i="1"/>
  <c r="T43" i="1"/>
  <c r="U43" i="1"/>
  <c r="BB43" i="1"/>
  <c r="BD43" i="1"/>
  <c r="CE43" i="1"/>
  <c r="A44" i="1"/>
  <c r="C44" i="1"/>
  <c r="E44" i="1"/>
  <c r="S44" i="1"/>
  <c r="T44" i="1"/>
  <c r="U44" i="1"/>
  <c r="BB44" i="1"/>
  <c r="BD44" i="1"/>
  <c r="CE44" i="1"/>
  <c r="A45" i="1"/>
  <c r="C45" i="1"/>
  <c r="E45" i="1"/>
  <c r="S45" i="1"/>
  <c r="T45" i="1"/>
  <c r="U45" i="1"/>
  <c r="BB45" i="1"/>
  <c r="BD45" i="1"/>
  <c r="CE45" i="1"/>
  <c r="A46" i="1"/>
  <c r="C46" i="1"/>
  <c r="E46" i="1"/>
  <c r="S46" i="1"/>
  <c r="T46" i="1"/>
  <c r="U46" i="1"/>
  <c r="BB46" i="1"/>
  <c r="BD46" i="1"/>
  <c r="CE46" i="1"/>
  <c r="A47" i="1"/>
  <c r="C47" i="1"/>
  <c r="E47" i="1"/>
  <c r="S47" i="1"/>
  <c r="T47" i="1"/>
  <c r="U47" i="1"/>
  <c r="BB47" i="1"/>
  <c r="BD47" i="1"/>
  <c r="CE47" i="1"/>
  <c r="A48" i="1"/>
  <c r="C48" i="1"/>
  <c r="E48" i="1"/>
  <c r="S48" i="1"/>
  <c r="T48" i="1"/>
  <c r="U48" i="1"/>
  <c r="BB48" i="1"/>
  <c r="BD48" i="1"/>
  <c r="CE48" i="1"/>
  <c r="A49" i="1"/>
  <c r="C49" i="1"/>
  <c r="E49" i="1"/>
  <c r="S49" i="1"/>
  <c r="T49" i="1"/>
  <c r="U49" i="1"/>
  <c r="BB49" i="1"/>
  <c r="BD49" i="1"/>
  <c r="CE49" i="1"/>
  <c r="A50" i="1"/>
  <c r="C50" i="1"/>
  <c r="E50" i="1"/>
  <c r="S50" i="1"/>
  <c r="T50" i="1"/>
  <c r="U50" i="1"/>
  <c r="BB50" i="1"/>
  <c r="BD50" i="1"/>
  <c r="CE50" i="1"/>
  <c r="A51" i="1"/>
  <c r="C51" i="1"/>
  <c r="E51" i="1"/>
  <c r="S51" i="1"/>
  <c r="T51" i="1"/>
  <c r="U51" i="1"/>
  <c r="BB51" i="1"/>
  <c r="BD51" i="1"/>
  <c r="CE51" i="1"/>
  <c r="A52" i="1"/>
  <c r="C52" i="1"/>
  <c r="E52" i="1"/>
  <c r="S52" i="1"/>
  <c r="T52" i="1"/>
  <c r="U52" i="1"/>
  <c r="BB52" i="1"/>
  <c r="BD52" i="1"/>
  <c r="CE52" i="1"/>
  <c r="A53" i="1"/>
  <c r="C53" i="1"/>
  <c r="E53" i="1"/>
  <c r="S53" i="1"/>
  <c r="T53" i="1"/>
  <c r="U53" i="1"/>
  <c r="BB53" i="1"/>
  <c r="BD53" i="1"/>
  <c r="CE53" i="1"/>
  <c r="A54" i="1"/>
  <c r="C54" i="1"/>
  <c r="E54" i="1"/>
  <c r="S54" i="1"/>
  <c r="T54" i="1"/>
  <c r="U54" i="1"/>
  <c r="BB54" i="1"/>
  <c r="BD54" i="1"/>
  <c r="CE54" i="1"/>
  <c r="A55" i="1"/>
  <c r="C55" i="1"/>
  <c r="E55" i="1"/>
  <c r="S55" i="1"/>
  <c r="T55" i="1"/>
  <c r="U55" i="1"/>
  <c r="BB55" i="1"/>
  <c r="BD55" i="1"/>
  <c r="CE55" i="1"/>
  <c r="A56" i="1"/>
  <c r="C56" i="1"/>
  <c r="E56" i="1"/>
  <c r="S56" i="1"/>
  <c r="T56" i="1"/>
  <c r="U56" i="1"/>
  <c r="BB56" i="1"/>
  <c r="BD56" i="1"/>
  <c r="CE56" i="1"/>
  <c r="A57" i="1"/>
  <c r="C57" i="1"/>
  <c r="E57" i="1"/>
  <c r="S57" i="1"/>
  <c r="T57" i="1"/>
  <c r="U57" i="1"/>
  <c r="BB57" i="1"/>
  <c r="BD57" i="1"/>
  <c r="CE57" i="1"/>
  <c r="A58" i="1"/>
  <c r="C58" i="1"/>
  <c r="E58" i="1"/>
  <c r="S58" i="1"/>
  <c r="T58" i="1"/>
  <c r="U58" i="1"/>
  <c r="BB58" i="1"/>
  <c r="BD58" i="1"/>
  <c r="CE58" i="1"/>
  <c r="A59" i="1"/>
  <c r="C59" i="1"/>
  <c r="E59" i="1"/>
  <c r="S59" i="1"/>
  <c r="T59" i="1"/>
  <c r="U59" i="1"/>
  <c r="BB59" i="1"/>
  <c r="BD59" i="1"/>
  <c r="CE59" i="1"/>
  <c r="A60" i="1"/>
  <c r="C60" i="1"/>
  <c r="E60" i="1"/>
  <c r="S60" i="1"/>
  <c r="T60" i="1"/>
  <c r="U60" i="1"/>
  <c r="BB60" i="1"/>
  <c r="BD60" i="1"/>
  <c r="CE60" i="1"/>
  <c r="A61" i="1"/>
  <c r="C61" i="1"/>
  <c r="E61" i="1"/>
  <c r="S61" i="1"/>
  <c r="T61" i="1"/>
  <c r="U61" i="1"/>
  <c r="BB61" i="1"/>
  <c r="BD61" i="1"/>
  <c r="CE61" i="1"/>
  <c r="A62" i="1"/>
  <c r="C62" i="1"/>
  <c r="E62" i="1"/>
  <c r="S62" i="1"/>
  <c r="T62" i="1"/>
  <c r="U62" i="1"/>
  <c r="BB62" i="1"/>
  <c r="BD62" i="1"/>
  <c r="CE62" i="1"/>
  <c r="A63" i="1"/>
  <c r="C63" i="1"/>
  <c r="E63" i="1"/>
  <c r="S63" i="1"/>
  <c r="T63" i="1"/>
  <c r="U63" i="1"/>
  <c r="BB63" i="1"/>
  <c r="BD63" i="1"/>
  <c r="CE63" i="1"/>
  <c r="A64" i="1"/>
  <c r="C64" i="1"/>
  <c r="E64" i="1"/>
  <c r="S64" i="1"/>
  <c r="T64" i="1"/>
  <c r="U64" i="1"/>
  <c r="BB64" i="1"/>
  <c r="BD64" i="1"/>
  <c r="CE64" i="1"/>
  <c r="A65" i="1"/>
  <c r="C65" i="1"/>
  <c r="E65" i="1"/>
  <c r="S65" i="1"/>
  <c r="T65" i="1"/>
  <c r="U65" i="1"/>
  <c r="BB65" i="1"/>
  <c r="BD65" i="1"/>
  <c r="CE65" i="1"/>
  <c r="A66" i="1"/>
  <c r="C66" i="1"/>
  <c r="E66" i="1"/>
  <c r="S66" i="1"/>
  <c r="T66" i="1"/>
  <c r="U66" i="1"/>
  <c r="BB66" i="1"/>
  <c r="BD66" i="1"/>
  <c r="CE66" i="1"/>
  <c r="A67" i="1"/>
  <c r="C67" i="1"/>
  <c r="E67" i="1"/>
  <c r="S67" i="1"/>
  <c r="T67" i="1"/>
  <c r="U67" i="1"/>
  <c r="BB67" i="1"/>
  <c r="BD67" i="1"/>
  <c r="CE67" i="1"/>
  <c r="A68" i="1"/>
  <c r="C68" i="1"/>
  <c r="E68" i="1"/>
  <c r="S68" i="1"/>
  <c r="T68" i="1"/>
  <c r="U68" i="1"/>
  <c r="BB68" i="1"/>
  <c r="BD68" i="1"/>
  <c r="CE68" i="1"/>
  <c r="A69" i="1"/>
  <c r="C69" i="1"/>
  <c r="E69" i="1"/>
  <c r="S69" i="1"/>
  <c r="T69" i="1"/>
  <c r="U69" i="1"/>
  <c r="BB69" i="1"/>
  <c r="BD69" i="1"/>
  <c r="CE69" i="1"/>
  <c r="A70" i="1"/>
  <c r="C70" i="1"/>
  <c r="E70" i="1"/>
  <c r="S70" i="1"/>
  <c r="T70" i="1"/>
  <c r="U70" i="1"/>
  <c r="BB70" i="1"/>
  <c r="BD70" i="1"/>
  <c r="CE70" i="1"/>
  <c r="A71" i="1"/>
  <c r="C71" i="1"/>
  <c r="E71" i="1"/>
  <c r="S71" i="1"/>
  <c r="T71" i="1"/>
  <c r="U71" i="1"/>
  <c r="BB71" i="1"/>
  <c r="BD71" i="1"/>
  <c r="CE71" i="1"/>
  <c r="A72" i="1"/>
  <c r="C72" i="1"/>
  <c r="E72" i="1"/>
  <c r="S72" i="1"/>
  <c r="T72" i="1"/>
  <c r="U72" i="1"/>
  <c r="BB72" i="1"/>
  <c r="BD72" i="1"/>
  <c r="CE72" i="1"/>
  <c r="A73" i="1"/>
  <c r="C73" i="1"/>
  <c r="E73" i="1"/>
  <c r="S73" i="1"/>
  <c r="T73" i="1"/>
  <c r="U73" i="1"/>
  <c r="BB73" i="1"/>
  <c r="BD73" i="1"/>
  <c r="CE73" i="1"/>
  <c r="A74" i="1"/>
  <c r="C74" i="1"/>
  <c r="E74" i="1"/>
  <c r="S74" i="1"/>
  <c r="T74" i="1"/>
  <c r="U74" i="1"/>
  <c r="BB74" i="1"/>
  <c r="BD74" i="1"/>
  <c r="CE74" i="1"/>
  <c r="A75" i="1"/>
  <c r="C75" i="1"/>
  <c r="E75" i="1"/>
  <c r="S75" i="1"/>
  <c r="T75" i="1"/>
  <c r="U75" i="1"/>
  <c r="BB75" i="1"/>
  <c r="BD75" i="1"/>
  <c r="CE75" i="1"/>
  <c r="A76" i="1"/>
  <c r="C76" i="1"/>
  <c r="E76" i="1"/>
  <c r="S76" i="1"/>
  <c r="T76" i="1"/>
  <c r="U76" i="1"/>
  <c r="BB76" i="1"/>
  <c r="BD76" i="1"/>
  <c r="CE76" i="1"/>
  <c r="A77" i="1"/>
  <c r="C77" i="1"/>
  <c r="E77" i="1"/>
  <c r="S77" i="1"/>
  <c r="T77" i="1"/>
  <c r="U77" i="1"/>
  <c r="BB77" i="1"/>
  <c r="BD77" i="1"/>
  <c r="CE77" i="1"/>
  <c r="A78" i="1"/>
  <c r="C78" i="1"/>
  <c r="E78" i="1"/>
  <c r="S78" i="1"/>
  <c r="T78" i="1"/>
  <c r="U78" i="1"/>
  <c r="BB78" i="1"/>
  <c r="BD78" i="1"/>
  <c r="CE78" i="1"/>
  <c r="A79" i="1"/>
  <c r="C79" i="1"/>
  <c r="E79" i="1"/>
  <c r="S79" i="1"/>
  <c r="T79" i="1"/>
  <c r="U79" i="1"/>
  <c r="BB79" i="1"/>
  <c r="BD79" i="1"/>
  <c r="CE79" i="1"/>
  <c r="A80" i="1"/>
  <c r="C80" i="1"/>
  <c r="E80" i="1"/>
  <c r="S80" i="1"/>
  <c r="T80" i="1"/>
  <c r="U80" i="1"/>
  <c r="BB80" i="1"/>
  <c r="BD80" i="1"/>
  <c r="CE80" i="1"/>
  <c r="A81" i="1"/>
  <c r="C81" i="1"/>
  <c r="E81" i="1"/>
  <c r="S81" i="1"/>
  <c r="T81" i="1"/>
  <c r="U81" i="1"/>
  <c r="BB81" i="1"/>
  <c r="BD81" i="1"/>
  <c r="CE81" i="1"/>
  <c r="A82" i="1"/>
  <c r="C82" i="1"/>
  <c r="E82" i="1"/>
  <c r="S82" i="1"/>
  <c r="T82" i="1"/>
  <c r="U82" i="1"/>
  <c r="BB82" i="1"/>
  <c r="BD82" i="1"/>
  <c r="CE82" i="1"/>
  <c r="A83" i="1"/>
  <c r="C83" i="1"/>
  <c r="E83" i="1"/>
  <c r="S83" i="1"/>
  <c r="T83" i="1"/>
  <c r="U83" i="1"/>
  <c r="BB83" i="1"/>
  <c r="BD83" i="1"/>
  <c r="CE83" i="1"/>
  <c r="A84" i="1"/>
  <c r="C84" i="1"/>
  <c r="E84" i="1"/>
  <c r="S84" i="1"/>
  <c r="T84" i="1"/>
  <c r="U84" i="1"/>
  <c r="BB84" i="1"/>
  <c r="BD84" i="1"/>
  <c r="CE84" i="1"/>
  <c r="A85" i="1"/>
  <c r="C85" i="1"/>
  <c r="E85" i="1"/>
  <c r="S85" i="1"/>
  <c r="T85" i="1"/>
  <c r="U85" i="1"/>
  <c r="BB85" i="1"/>
  <c r="BD85" i="1"/>
  <c r="CE85" i="1"/>
  <c r="A86" i="1"/>
  <c r="C86" i="1"/>
  <c r="E86" i="1"/>
  <c r="S86" i="1"/>
  <c r="T86" i="1"/>
  <c r="U86" i="1"/>
  <c r="BB86" i="1"/>
  <c r="BD86" i="1"/>
  <c r="CE86" i="1"/>
  <c r="A87" i="1"/>
  <c r="C87" i="1"/>
  <c r="E87" i="1"/>
  <c r="S87" i="1"/>
  <c r="T87" i="1"/>
  <c r="U87" i="1"/>
  <c r="BB87" i="1"/>
  <c r="BD87" i="1"/>
  <c r="CE87" i="1"/>
  <c r="A88" i="1"/>
  <c r="C88" i="1"/>
  <c r="E88" i="1"/>
  <c r="S88" i="1"/>
  <c r="T88" i="1"/>
  <c r="U88" i="1"/>
  <c r="BB88" i="1"/>
  <c r="BD88" i="1"/>
  <c r="CE88" i="1"/>
  <c r="A89" i="1"/>
  <c r="C89" i="1"/>
  <c r="E89" i="1"/>
  <c r="S89" i="1"/>
  <c r="T89" i="1"/>
  <c r="U89" i="1"/>
  <c r="BB89" i="1"/>
  <c r="BD89" i="1"/>
  <c r="CE89" i="1"/>
  <c r="A90" i="1"/>
  <c r="C90" i="1"/>
  <c r="E90" i="1"/>
  <c r="S90" i="1"/>
  <c r="T90" i="1"/>
  <c r="U90" i="1"/>
  <c r="BB90" i="1"/>
  <c r="BD90" i="1"/>
  <c r="CE90" i="1"/>
  <c r="A91" i="1"/>
  <c r="C91" i="1"/>
  <c r="E91" i="1"/>
  <c r="S91" i="1"/>
  <c r="T91" i="1"/>
  <c r="U91" i="1"/>
  <c r="BB91" i="1"/>
  <c r="BD91" i="1"/>
  <c r="CE91" i="1"/>
  <c r="A92" i="1"/>
  <c r="C92" i="1"/>
  <c r="E92" i="1"/>
  <c r="S92" i="1"/>
  <c r="T92" i="1"/>
  <c r="U92" i="1"/>
  <c r="BB92" i="1"/>
  <c r="BD92" i="1"/>
  <c r="CE92" i="1"/>
  <c r="A93" i="1"/>
  <c r="C93" i="1"/>
  <c r="E93" i="1"/>
  <c r="S93" i="1"/>
  <c r="T93" i="1"/>
  <c r="U93" i="1"/>
  <c r="BB93" i="1"/>
  <c r="BD93" i="1"/>
  <c r="CE93" i="1"/>
  <c r="A94" i="1"/>
  <c r="C94" i="1"/>
  <c r="E94" i="1"/>
  <c r="S94" i="1"/>
  <c r="T94" i="1"/>
  <c r="U94" i="1"/>
  <c r="BB94" i="1"/>
  <c r="BD94" i="1"/>
  <c r="CE94" i="1"/>
  <c r="A95" i="1"/>
  <c r="C95" i="1"/>
  <c r="E95" i="1"/>
  <c r="S95" i="1"/>
  <c r="T95" i="1"/>
  <c r="U95" i="1"/>
  <c r="BB95" i="1"/>
  <c r="BD95" i="1"/>
  <c r="CE95" i="1"/>
  <c r="A96" i="1"/>
  <c r="C96" i="1"/>
  <c r="E96" i="1"/>
  <c r="S96" i="1"/>
  <c r="T96" i="1"/>
  <c r="U96" i="1"/>
  <c r="BB96" i="1"/>
  <c r="BD96" i="1"/>
  <c r="CE96" i="1"/>
  <c r="A97" i="1"/>
  <c r="C97" i="1"/>
  <c r="E97" i="1"/>
  <c r="S97" i="1"/>
  <c r="T97" i="1"/>
  <c r="U97" i="1"/>
  <c r="BB97" i="1"/>
  <c r="BD97" i="1"/>
  <c r="CE97" i="1"/>
  <c r="A98" i="1"/>
  <c r="C98" i="1"/>
  <c r="E98" i="1"/>
  <c r="S98" i="1"/>
  <c r="T98" i="1"/>
  <c r="U98" i="1"/>
  <c r="BB98" i="1"/>
  <c r="BD98" i="1"/>
  <c r="CE98" i="1"/>
  <c r="A99" i="1"/>
  <c r="C99" i="1"/>
  <c r="E99" i="1"/>
  <c r="S99" i="1"/>
  <c r="T99" i="1"/>
  <c r="U99" i="1"/>
  <c r="BB99" i="1"/>
  <c r="BD99" i="1"/>
  <c r="CE99" i="1"/>
  <c r="A100" i="1"/>
  <c r="C100" i="1"/>
  <c r="E100" i="1"/>
  <c r="S100" i="1"/>
  <c r="T100" i="1"/>
  <c r="U100" i="1"/>
  <c r="BB100" i="1"/>
  <c r="BD100" i="1"/>
  <c r="CE100" i="1"/>
  <c r="A101" i="1"/>
  <c r="C101" i="1"/>
  <c r="E101" i="1"/>
  <c r="S101" i="1"/>
  <c r="T101" i="1"/>
  <c r="U101" i="1"/>
  <c r="BB101" i="1"/>
  <c r="BD101" i="1"/>
  <c r="CE101" i="1"/>
  <c r="A102" i="1"/>
  <c r="C102" i="1"/>
  <c r="E102" i="1"/>
  <c r="S102" i="1"/>
  <c r="T102" i="1"/>
  <c r="U102" i="1"/>
  <c r="BB102" i="1"/>
  <c r="BD102" i="1"/>
  <c r="CE102" i="1"/>
  <c r="A103" i="1"/>
  <c r="C103" i="1"/>
  <c r="E103" i="1"/>
  <c r="S103" i="1"/>
  <c r="T103" i="1"/>
  <c r="U103" i="1"/>
  <c r="BB103" i="1"/>
  <c r="BD103" i="1"/>
  <c r="CE103" i="1"/>
  <c r="A104" i="1"/>
  <c r="C104" i="1"/>
  <c r="E104" i="1"/>
  <c r="S104" i="1"/>
  <c r="T104" i="1"/>
  <c r="U104" i="1"/>
  <c r="BB104" i="1"/>
  <c r="BD104" i="1"/>
  <c r="CE104" i="1"/>
  <c r="A105" i="1"/>
  <c r="C105" i="1"/>
  <c r="E105" i="1"/>
  <c r="S105" i="1"/>
  <c r="T105" i="1"/>
  <c r="U105" i="1"/>
  <c r="BB105" i="1"/>
  <c r="BD105" i="1"/>
  <c r="CE105" i="1"/>
  <c r="A106" i="1"/>
  <c r="C106" i="1"/>
  <c r="E106" i="1"/>
  <c r="S106" i="1"/>
  <c r="T106" i="1"/>
  <c r="U106" i="1"/>
  <c r="BB106" i="1"/>
  <c r="BD106" i="1"/>
  <c r="CE106" i="1"/>
  <c r="A107" i="1"/>
  <c r="C107" i="1"/>
  <c r="E107" i="1"/>
  <c r="S107" i="1"/>
  <c r="T107" i="1"/>
  <c r="U107" i="1"/>
  <c r="BB107" i="1"/>
  <c r="BD107" i="1"/>
  <c r="CE107" i="1"/>
  <c r="A108" i="1"/>
  <c r="C108" i="1"/>
  <c r="E108" i="1"/>
  <c r="S108" i="1"/>
  <c r="T108" i="1"/>
  <c r="U108" i="1"/>
  <c r="BB108" i="1"/>
  <c r="BD108" i="1"/>
  <c r="CE108" i="1"/>
  <c r="A109" i="1"/>
  <c r="C109" i="1"/>
  <c r="E109" i="1"/>
  <c r="S109" i="1"/>
  <c r="T109" i="1"/>
  <c r="U109" i="1"/>
  <c r="BB109" i="1"/>
  <c r="BD109" i="1"/>
  <c r="CE109" i="1"/>
  <c r="A110" i="1"/>
  <c r="C110" i="1"/>
  <c r="E110" i="1"/>
  <c r="S110" i="1"/>
  <c r="T110" i="1"/>
  <c r="U110" i="1"/>
  <c r="BB110" i="1"/>
  <c r="BD110" i="1"/>
  <c r="CE110" i="1"/>
  <c r="A111" i="1"/>
  <c r="C111" i="1"/>
  <c r="E111" i="1"/>
  <c r="S111" i="1"/>
  <c r="T111" i="1"/>
  <c r="U111" i="1"/>
  <c r="BB111" i="1"/>
  <c r="BD111" i="1"/>
  <c r="CE111" i="1"/>
  <c r="A112" i="1"/>
  <c r="C112" i="1"/>
  <c r="E112" i="1"/>
  <c r="S112" i="1"/>
  <c r="T112" i="1"/>
  <c r="U112" i="1"/>
  <c r="BB112" i="1"/>
  <c r="BD112" i="1"/>
  <c r="CE112" i="1"/>
  <c r="A113" i="1"/>
  <c r="C113" i="1"/>
  <c r="E113" i="1"/>
  <c r="S113" i="1"/>
  <c r="T113" i="1"/>
  <c r="U113" i="1"/>
  <c r="BB113" i="1"/>
  <c r="BD113" i="1"/>
  <c r="CE113" i="1"/>
  <c r="A114" i="1"/>
  <c r="C114" i="1"/>
  <c r="E114" i="1"/>
  <c r="S114" i="1"/>
  <c r="T114" i="1"/>
  <c r="U114" i="1"/>
  <c r="BB114" i="1"/>
  <c r="BD114" i="1"/>
  <c r="CE114" i="1"/>
  <c r="A115" i="1"/>
  <c r="C115" i="1"/>
  <c r="E115" i="1"/>
  <c r="S115" i="1"/>
  <c r="T115" i="1"/>
  <c r="U115" i="1"/>
  <c r="BB115" i="1"/>
  <c r="BD115" i="1"/>
  <c r="CE115" i="1"/>
  <c r="A116" i="1"/>
  <c r="C116" i="1"/>
  <c r="E116" i="1"/>
  <c r="S116" i="1"/>
  <c r="T116" i="1"/>
  <c r="U116" i="1"/>
  <c r="BB116" i="1"/>
  <c r="BD116" i="1"/>
  <c r="CE116" i="1"/>
  <c r="A117" i="1"/>
  <c r="C117" i="1"/>
  <c r="E117" i="1"/>
  <c r="S117" i="1"/>
  <c r="T117" i="1"/>
  <c r="U117" i="1"/>
  <c r="BB117" i="1"/>
  <c r="BD117" i="1"/>
  <c r="CE117" i="1"/>
  <c r="A118" i="1"/>
  <c r="C118" i="1"/>
  <c r="E118" i="1"/>
  <c r="S118" i="1"/>
  <c r="T118" i="1"/>
  <c r="U118" i="1"/>
  <c r="BB118" i="1"/>
  <c r="BD118" i="1"/>
  <c r="CE118" i="1"/>
  <c r="A119" i="1"/>
  <c r="C119" i="1"/>
  <c r="E119" i="1"/>
  <c r="S119" i="1"/>
  <c r="T119" i="1"/>
  <c r="U119" i="1"/>
  <c r="BB119" i="1"/>
  <c r="BD119" i="1"/>
  <c r="CE119" i="1"/>
  <c r="A120" i="1"/>
  <c r="C120" i="1"/>
  <c r="E120" i="1"/>
  <c r="S120" i="1"/>
  <c r="T120" i="1"/>
  <c r="U120" i="1"/>
  <c r="BB120" i="1"/>
  <c r="BD120" i="1"/>
  <c r="CE120" i="1"/>
  <c r="A121" i="1"/>
  <c r="C121" i="1"/>
  <c r="E121" i="1"/>
  <c r="S121" i="1"/>
  <c r="T121" i="1"/>
  <c r="U121" i="1"/>
  <c r="BB121" i="1"/>
  <c r="BD121" i="1"/>
  <c r="CE121" i="1"/>
  <c r="A122" i="1"/>
  <c r="C122" i="1"/>
  <c r="E122" i="1"/>
  <c r="S122" i="1"/>
  <c r="T122" i="1"/>
  <c r="U122" i="1"/>
  <c r="BB122" i="1"/>
  <c r="BD122" i="1"/>
  <c r="CE122" i="1"/>
  <c r="A123" i="1"/>
  <c r="C123" i="1"/>
  <c r="E123" i="1"/>
  <c r="S123" i="1"/>
  <c r="T123" i="1"/>
  <c r="U123" i="1"/>
  <c r="BB123" i="1"/>
  <c r="BD123" i="1"/>
  <c r="CE123" i="1"/>
  <c r="A124" i="1"/>
  <c r="C124" i="1"/>
  <c r="E124" i="1"/>
  <c r="S124" i="1"/>
  <c r="T124" i="1"/>
  <c r="U124" i="1"/>
  <c r="BB124" i="1"/>
  <c r="BD124" i="1"/>
  <c r="CE124" i="1"/>
  <c r="A125" i="1"/>
  <c r="C125" i="1"/>
  <c r="E125" i="1"/>
  <c r="S125" i="1"/>
  <c r="T125" i="1"/>
  <c r="U125" i="1"/>
  <c r="BB125" i="1"/>
  <c r="BD125" i="1"/>
  <c r="CE125" i="1"/>
  <c r="A126" i="1"/>
  <c r="C126" i="1"/>
  <c r="E126" i="1"/>
  <c r="S126" i="1"/>
  <c r="T126" i="1"/>
  <c r="U126" i="1"/>
  <c r="BB126" i="1"/>
  <c r="BD126" i="1"/>
  <c r="CE126" i="1"/>
  <c r="A127" i="1"/>
  <c r="C127" i="1"/>
  <c r="E127" i="1"/>
  <c r="S127" i="1"/>
  <c r="T127" i="1"/>
  <c r="U127" i="1"/>
  <c r="BB127" i="1"/>
  <c r="BD127" i="1"/>
  <c r="CE127" i="1"/>
  <c r="A128" i="1"/>
  <c r="C128" i="1"/>
  <c r="E128" i="1"/>
  <c r="S128" i="1"/>
  <c r="T128" i="1"/>
  <c r="U128" i="1"/>
  <c r="BB128" i="1"/>
  <c r="BD128" i="1"/>
  <c r="CE128" i="1"/>
  <c r="A129" i="1"/>
  <c r="C129" i="1"/>
  <c r="E129" i="1"/>
  <c r="S129" i="1"/>
  <c r="T129" i="1"/>
  <c r="U129" i="1"/>
  <c r="BB129" i="1"/>
  <c r="BD129" i="1"/>
  <c r="CE129" i="1"/>
  <c r="A130" i="1"/>
  <c r="C130" i="1"/>
  <c r="E130" i="1"/>
  <c r="S130" i="1"/>
  <c r="T130" i="1"/>
  <c r="U130" i="1"/>
  <c r="BB130" i="1"/>
  <c r="BD130" i="1"/>
  <c r="CE130" i="1"/>
  <c r="A131" i="1"/>
  <c r="C131" i="1"/>
  <c r="E131" i="1"/>
  <c r="S131" i="1"/>
  <c r="T131" i="1"/>
  <c r="U131" i="1"/>
  <c r="BB131" i="1"/>
  <c r="BD131" i="1"/>
  <c r="CE131" i="1"/>
  <c r="A132" i="1"/>
  <c r="C132" i="1"/>
  <c r="E132" i="1"/>
  <c r="S132" i="1"/>
  <c r="T132" i="1"/>
  <c r="U132" i="1"/>
  <c r="BB132" i="1"/>
  <c r="BD132" i="1"/>
  <c r="CE132" i="1"/>
  <c r="A133" i="1"/>
  <c r="C133" i="1"/>
  <c r="E133" i="1"/>
  <c r="S133" i="1"/>
  <c r="T133" i="1"/>
  <c r="U133" i="1"/>
  <c r="BB133" i="1"/>
  <c r="BD133" i="1"/>
  <c r="CE133" i="1"/>
  <c r="A134" i="1"/>
  <c r="C134" i="1"/>
  <c r="E134" i="1"/>
  <c r="S134" i="1"/>
  <c r="T134" i="1"/>
  <c r="U134" i="1"/>
  <c r="BB134" i="1"/>
  <c r="BD134" i="1"/>
  <c r="CE134" i="1"/>
  <c r="A135" i="1"/>
  <c r="C135" i="1"/>
  <c r="E135" i="1"/>
  <c r="S135" i="1"/>
  <c r="T135" i="1"/>
  <c r="U135" i="1"/>
  <c r="BB135" i="1"/>
  <c r="BD135" i="1"/>
  <c r="CE135" i="1"/>
  <c r="A136" i="1"/>
  <c r="C136" i="1"/>
  <c r="E136" i="1"/>
  <c r="S136" i="1"/>
  <c r="T136" i="1"/>
  <c r="U136" i="1"/>
  <c r="BB136" i="1"/>
  <c r="BD136" i="1"/>
  <c r="CE136" i="1"/>
  <c r="A137" i="1"/>
  <c r="C137" i="1"/>
  <c r="E137" i="1"/>
  <c r="S137" i="1"/>
  <c r="T137" i="1"/>
  <c r="U137" i="1"/>
  <c r="BB137" i="1"/>
  <c r="BD137" i="1"/>
  <c r="CE137" i="1"/>
  <c r="A138" i="1"/>
  <c r="C138" i="1"/>
  <c r="E138" i="1"/>
  <c r="S138" i="1"/>
  <c r="T138" i="1"/>
  <c r="U138" i="1"/>
  <c r="BB138" i="1"/>
  <c r="BD138" i="1"/>
  <c r="CE138" i="1"/>
  <c r="A139" i="1"/>
  <c r="C139" i="1"/>
  <c r="E139" i="1"/>
  <c r="S139" i="1"/>
  <c r="T139" i="1"/>
  <c r="U139" i="1"/>
  <c r="BB139" i="1"/>
  <c r="BD139" i="1"/>
  <c r="CE139" i="1"/>
  <c r="A140" i="1"/>
  <c r="C140" i="1"/>
  <c r="E140" i="1"/>
  <c r="S140" i="1"/>
  <c r="T140" i="1"/>
  <c r="U140" i="1"/>
  <c r="BB140" i="1"/>
  <c r="BD140" i="1"/>
  <c r="CE140" i="1"/>
  <c r="A141" i="1"/>
  <c r="C141" i="1"/>
  <c r="E141" i="1"/>
  <c r="S141" i="1"/>
  <c r="T141" i="1"/>
  <c r="U141" i="1"/>
  <c r="BB141" i="1"/>
  <c r="BD141" i="1"/>
  <c r="CE141" i="1"/>
  <c r="A142" i="1"/>
  <c r="C142" i="1"/>
  <c r="E142" i="1"/>
  <c r="S142" i="1"/>
  <c r="T142" i="1"/>
  <c r="U142" i="1"/>
  <c r="BB142" i="1"/>
  <c r="BD142" i="1"/>
  <c r="CE142" i="1"/>
  <c r="A143" i="1"/>
  <c r="C143" i="1"/>
  <c r="E143" i="1"/>
  <c r="S143" i="1"/>
  <c r="T143" i="1"/>
  <c r="U143" i="1"/>
  <c r="BB143" i="1"/>
  <c r="BD143" i="1"/>
  <c r="CE143" i="1"/>
  <c r="A144" i="1"/>
  <c r="C144" i="1"/>
  <c r="E144" i="1"/>
  <c r="S144" i="1"/>
  <c r="T144" i="1"/>
  <c r="U144" i="1"/>
  <c r="BB144" i="1"/>
  <c r="BD144" i="1"/>
  <c r="CE144" i="1"/>
  <c r="A145" i="1"/>
  <c r="C145" i="1"/>
  <c r="E145" i="1"/>
  <c r="S145" i="1"/>
  <c r="T145" i="1"/>
  <c r="U145" i="1"/>
  <c r="BB145" i="1"/>
  <c r="BD145" i="1"/>
  <c r="CE145" i="1"/>
  <c r="A146" i="1"/>
  <c r="C146" i="1"/>
  <c r="E146" i="1"/>
  <c r="S146" i="1"/>
  <c r="T146" i="1"/>
  <c r="U146" i="1"/>
  <c r="BB146" i="1"/>
  <c r="BD146" i="1"/>
  <c r="CE146" i="1"/>
  <c r="A147" i="1"/>
  <c r="C147" i="1"/>
  <c r="E147" i="1"/>
  <c r="S147" i="1"/>
  <c r="T147" i="1"/>
  <c r="U147" i="1"/>
  <c r="BB147" i="1"/>
  <c r="BD147" i="1"/>
  <c r="CE147" i="1"/>
  <c r="A148" i="1"/>
  <c r="C148" i="1"/>
  <c r="E148" i="1"/>
  <c r="S148" i="1"/>
  <c r="T148" i="1"/>
  <c r="U148" i="1"/>
  <c r="BB148" i="1"/>
  <c r="BD148" i="1"/>
  <c r="CE148" i="1"/>
  <c r="A149" i="1"/>
  <c r="C149" i="1"/>
  <c r="E149" i="1"/>
  <c r="S149" i="1"/>
  <c r="T149" i="1"/>
  <c r="U149" i="1"/>
  <c r="BB149" i="1"/>
  <c r="BD149" i="1"/>
  <c r="CE149" i="1"/>
  <c r="A150" i="1"/>
  <c r="C150" i="1"/>
  <c r="E150" i="1"/>
  <c r="S150" i="1"/>
  <c r="T150" i="1"/>
  <c r="U150" i="1"/>
  <c r="BB150" i="1"/>
  <c r="BD150" i="1"/>
  <c r="CE150" i="1"/>
  <c r="A151" i="1"/>
  <c r="C151" i="1"/>
  <c r="E151" i="1"/>
  <c r="S151" i="1"/>
  <c r="T151" i="1"/>
  <c r="U151" i="1"/>
  <c r="BB151" i="1"/>
  <c r="BD151" i="1"/>
  <c r="CE151" i="1"/>
  <c r="A152" i="1"/>
  <c r="C152" i="1"/>
  <c r="E152" i="1"/>
  <c r="S152" i="1"/>
  <c r="T152" i="1"/>
  <c r="U152" i="1"/>
  <c r="BB152" i="1"/>
  <c r="BD152" i="1"/>
  <c r="CE152" i="1"/>
  <c r="A153" i="1"/>
  <c r="C153" i="1"/>
  <c r="E153" i="1"/>
  <c r="S153" i="1"/>
  <c r="T153" i="1"/>
  <c r="U153" i="1"/>
  <c r="BB153" i="1"/>
  <c r="BD153" i="1"/>
  <c r="CE153" i="1"/>
  <c r="A154" i="1"/>
  <c r="C154" i="1"/>
  <c r="E154" i="1"/>
  <c r="S154" i="1"/>
  <c r="T154" i="1"/>
  <c r="U154" i="1"/>
  <c r="BB154" i="1"/>
  <c r="BD154" i="1"/>
  <c r="CE154" i="1"/>
  <c r="A155" i="1"/>
  <c r="C155" i="1"/>
  <c r="E155" i="1"/>
  <c r="S155" i="1"/>
  <c r="T155" i="1"/>
  <c r="U155" i="1"/>
  <c r="BB155" i="1"/>
  <c r="BD155" i="1"/>
  <c r="CE155" i="1"/>
  <c r="A156" i="1"/>
  <c r="C156" i="1"/>
  <c r="E156" i="1"/>
  <c r="S156" i="1"/>
  <c r="T156" i="1"/>
  <c r="U156" i="1"/>
  <c r="BB156" i="1"/>
  <c r="BD156" i="1"/>
  <c r="CE156" i="1"/>
  <c r="A157" i="1"/>
  <c r="C157" i="1"/>
  <c r="E157" i="1"/>
  <c r="S157" i="1"/>
  <c r="T157" i="1"/>
  <c r="U157" i="1"/>
  <c r="BB157" i="1"/>
  <c r="BD157" i="1"/>
  <c r="CE157" i="1"/>
  <c r="A158" i="1"/>
  <c r="C158" i="1"/>
  <c r="E158" i="1"/>
  <c r="S158" i="1"/>
  <c r="T158" i="1"/>
  <c r="U158" i="1"/>
  <c r="BB158" i="1"/>
  <c r="BD158" i="1"/>
  <c r="CE158" i="1"/>
  <c r="A159" i="1"/>
  <c r="C159" i="1"/>
  <c r="E159" i="1"/>
  <c r="S159" i="1"/>
  <c r="T159" i="1"/>
  <c r="U159" i="1"/>
  <c r="BB159" i="1"/>
  <c r="BD159" i="1"/>
  <c r="CE159" i="1"/>
  <c r="A160" i="1"/>
  <c r="C160" i="1"/>
  <c r="E160" i="1"/>
  <c r="S160" i="1"/>
  <c r="T160" i="1"/>
  <c r="U160" i="1"/>
  <c r="BB160" i="1"/>
  <c r="BD160" i="1"/>
  <c r="CE160" i="1"/>
  <c r="A161" i="1"/>
  <c r="C161" i="1"/>
  <c r="E161" i="1"/>
  <c r="S161" i="1"/>
  <c r="T161" i="1"/>
  <c r="U161" i="1"/>
  <c r="BB161" i="1"/>
  <c r="BD161" i="1"/>
  <c r="CE161" i="1"/>
  <c r="A162" i="1"/>
  <c r="C162" i="1"/>
  <c r="E162" i="1"/>
  <c r="S162" i="1"/>
  <c r="T162" i="1"/>
  <c r="U162" i="1"/>
  <c r="BB162" i="1"/>
  <c r="BD162" i="1"/>
  <c r="CE162" i="1"/>
  <c r="A163" i="1"/>
  <c r="C163" i="1"/>
  <c r="E163" i="1"/>
  <c r="S163" i="1"/>
  <c r="T163" i="1"/>
  <c r="U163" i="1"/>
  <c r="BB163" i="1"/>
  <c r="BD163" i="1"/>
  <c r="CE163" i="1"/>
  <c r="A164" i="1"/>
  <c r="C164" i="1"/>
  <c r="E164" i="1"/>
  <c r="S164" i="1"/>
  <c r="T164" i="1"/>
  <c r="U164" i="1"/>
  <c r="BB164" i="1"/>
  <c r="BD164" i="1"/>
  <c r="CE164" i="1"/>
  <c r="A165" i="1"/>
  <c r="C165" i="1"/>
  <c r="E165" i="1"/>
  <c r="S165" i="1"/>
  <c r="T165" i="1"/>
  <c r="U165" i="1"/>
  <c r="BB165" i="1"/>
  <c r="BD165" i="1"/>
  <c r="CE165" i="1"/>
  <c r="A166" i="1"/>
  <c r="C166" i="1"/>
  <c r="E166" i="1"/>
  <c r="S166" i="1"/>
  <c r="T166" i="1"/>
  <c r="U166" i="1"/>
  <c r="BB166" i="1"/>
  <c r="BD166" i="1"/>
  <c r="CE166" i="1"/>
  <c r="A167" i="1"/>
  <c r="C167" i="1"/>
  <c r="E167" i="1"/>
  <c r="S167" i="1"/>
  <c r="T167" i="1"/>
  <c r="U167" i="1"/>
  <c r="BB167" i="1"/>
  <c r="BD167" i="1"/>
  <c r="CE167" i="1"/>
  <c r="A168" i="1"/>
  <c r="C168" i="1"/>
  <c r="E168" i="1"/>
  <c r="S168" i="1"/>
  <c r="T168" i="1"/>
  <c r="U168" i="1"/>
  <c r="BB168" i="1"/>
  <c r="BD168" i="1"/>
  <c r="CE168" i="1"/>
  <c r="A169" i="1"/>
  <c r="C169" i="1"/>
  <c r="E169" i="1"/>
  <c r="S169" i="1"/>
  <c r="T169" i="1"/>
  <c r="U169" i="1"/>
  <c r="BB169" i="1"/>
  <c r="BD169" i="1"/>
  <c r="CE169" i="1"/>
  <c r="A170" i="1"/>
  <c r="C170" i="1"/>
  <c r="E170" i="1"/>
  <c r="S170" i="1"/>
  <c r="T170" i="1"/>
  <c r="U170" i="1"/>
  <c r="BB170" i="1"/>
  <c r="BD170" i="1"/>
  <c r="CE170" i="1"/>
  <c r="A171" i="1"/>
  <c r="C171" i="1"/>
  <c r="E171" i="1"/>
  <c r="S171" i="1"/>
  <c r="T171" i="1"/>
  <c r="U171" i="1"/>
  <c r="BB171" i="1"/>
  <c r="BD171" i="1"/>
  <c r="CE171" i="1"/>
  <c r="A172" i="1"/>
  <c r="C172" i="1"/>
  <c r="E172" i="1"/>
  <c r="S172" i="1"/>
  <c r="T172" i="1"/>
  <c r="U172" i="1"/>
  <c r="BB172" i="1"/>
  <c r="BD172" i="1"/>
  <c r="CE172" i="1"/>
  <c r="A173" i="1"/>
  <c r="C173" i="1"/>
  <c r="E173" i="1"/>
  <c r="S173" i="1"/>
  <c r="T173" i="1"/>
  <c r="U173" i="1"/>
  <c r="BB173" i="1"/>
  <c r="BD173" i="1"/>
  <c r="CE173" i="1"/>
  <c r="A174" i="1"/>
  <c r="C174" i="1"/>
  <c r="E174" i="1"/>
  <c r="S174" i="1"/>
  <c r="T174" i="1"/>
  <c r="U174" i="1"/>
  <c r="BB174" i="1"/>
  <c r="BD174" i="1"/>
  <c r="CE174" i="1"/>
  <c r="A175" i="1"/>
  <c r="C175" i="1"/>
  <c r="E175" i="1"/>
  <c r="S175" i="1"/>
  <c r="T175" i="1"/>
  <c r="U175" i="1"/>
  <c r="BB175" i="1"/>
  <c r="BD175" i="1"/>
  <c r="CE175" i="1"/>
  <c r="A176" i="1"/>
  <c r="C176" i="1"/>
  <c r="E176" i="1"/>
  <c r="S176" i="1"/>
  <c r="T176" i="1"/>
  <c r="U176" i="1"/>
  <c r="BB176" i="1"/>
  <c r="BD176" i="1"/>
  <c r="CE176" i="1"/>
  <c r="A177" i="1"/>
  <c r="C177" i="1"/>
  <c r="E177" i="1"/>
  <c r="S177" i="1"/>
  <c r="T177" i="1"/>
  <c r="U177" i="1"/>
  <c r="BB177" i="1"/>
  <c r="BD177" i="1"/>
  <c r="CE177" i="1"/>
  <c r="A178" i="1"/>
  <c r="C178" i="1"/>
  <c r="E178" i="1"/>
  <c r="S178" i="1"/>
  <c r="T178" i="1"/>
  <c r="U178" i="1"/>
  <c r="BB178" i="1"/>
  <c r="BD178" i="1"/>
  <c r="CE178" i="1"/>
  <c r="A179" i="1"/>
  <c r="C179" i="1"/>
  <c r="E179" i="1"/>
  <c r="S179" i="1"/>
  <c r="T179" i="1"/>
  <c r="U179" i="1"/>
  <c r="BB179" i="1"/>
  <c r="BD179" i="1"/>
  <c r="CE179" i="1"/>
  <c r="A180" i="1"/>
  <c r="C180" i="1"/>
  <c r="E180" i="1"/>
  <c r="S180" i="1"/>
  <c r="T180" i="1"/>
  <c r="U180" i="1"/>
  <c r="BB180" i="1"/>
  <c r="BD180" i="1"/>
  <c r="CE180" i="1"/>
  <c r="A181" i="1"/>
  <c r="C181" i="1"/>
  <c r="E181" i="1"/>
  <c r="S181" i="1"/>
  <c r="T181" i="1"/>
  <c r="U181" i="1"/>
  <c r="BB181" i="1"/>
  <c r="BD181" i="1"/>
  <c r="CE181" i="1"/>
  <c r="A182" i="1"/>
  <c r="C182" i="1"/>
  <c r="E182" i="1"/>
  <c r="S182" i="1"/>
  <c r="T182" i="1"/>
  <c r="U182" i="1"/>
  <c r="BB182" i="1"/>
  <c r="BD182" i="1"/>
  <c r="CE182" i="1"/>
  <c r="A183" i="1"/>
  <c r="C183" i="1"/>
  <c r="E183" i="1"/>
  <c r="S183" i="1"/>
  <c r="T183" i="1"/>
  <c r="U183" i="1"/>
  <c r="BB183" i="1"/>
  <c r="BD183" i="1"/>
  <c r="CE183" i="1"/>
  <c r="A184" i="1"/>
  <c r="C184" i="1"/>
  <c r="E184" i="1"/>
  <c r="S184" i="1"/>
  <c r="T184" i="1"/>
  <c r="U184" i="1"/>
  <c r="BB184" i="1"/>
  <c r="BD184" i="1"/>
  <c r="CE184" i="1"/>
  <c r="A185" i="1"/>
  <c r="C185" i="1"/>
  <c r="E185" i="1"/>
  <c r="S185" i="1"/>
  <c r="T185" i="1"/>
  <c r="U185" i="1"/>
  <c r="BB185" i="1"/>
  <c r="BD185" i="1"/>
  <c r="CE185" i="1"/>
  <c r="A186" i="1"/>
  <c r="C186" i="1"/>
  <c r="E186" i="1"/>
  <c r="S186" i="1"/>
  <c r="T186" i="1"/>
  <c r="U186" i="1"/>
  <c r="BB186" i="1"/>
  <c r="BD186" i="1"/>
  <c r="CE186" i="1"/>
  <c r="A187" i="1"/>
  <c r="C187" i="1"/>
  <c r="E187" i="1"/>
  <c r="S187" i="1"/>
  <c r="T187" i="1"/>
  <c r="U187" i="1"/>
  <c r="BB187" i="1"/>
  <c r="BD187" i="1"/>
  <c r="CE187" i="1"/>
  <c r="A188" i="1"/>
  <c r="C188" i="1"/>
  <c r="E188" i="1"/>
  <c r="S188" i="1"/>
  <c r="T188" i="1"/>
  <c r="U188" i="1"/>
  <c r="BB188" i="1"/>
  <c r="BD188" i="1"/>
  <c r="CE188" i="1"/>
  <c r="A189" i="1"/>
  <c r="C189" i="1"/>
  <c r="E189" i="1"/>
  <c r="S189" i="1"/>
  <c r="T189" i="1"/>
  <c r="U189" i="1"/>
  <c r="BB189" i="1"/>
  <c r="BD189" i="1"/>
  <c r="CE189" i="1"/>
  <c r="A190" i="1"/>
  <c r="C190" i="1"/>
  <c r="E190" i="1"/>
  <c r="S190" i="1"/>
  <c r="T190" i="1"/>
  <c r="U190" i="1"/>
  <c r="BB190" i="1"/>
  <c r="BD190" i="1"/>
  <c r="CE190" i="1"/>
  <c r="A191" i="1"/>
  <c r="C191" i="1"/>
  <c r="E191" i="1"/>
  <c r="S191" i="1"/>
  <c r="T191" i="1"/>
  <c r="U191" i="1"/>
  <c r="BB191" i="1"/>
  <c r="BD191" i="1"/>
  <c r="CE191" i="1"/>
  <c r="A192" i="1"/>
  <c r="C192" i="1"/>
  <c r="E192" i="1"/>
  <c r="S192" i="1"/>
  <c r="T192" i="1"/>
  <c r="U192" i="1"/>
  <c r="BB192" i="1"/>
  <c r="BD192" i="1"/>
  <c r="CE192" i="1"/>
  <c r="A193" i="1"/>
  <c r="C193" i="1"/>
  <c r="E193" i="1"/>
  <c r="S193" i="1"/>
  <c r="T193" i="1"/>
  <c r="U193" i="1"/>
  <c r="BB193" i="1"/>
  <c r="BD193" i="1"/>
  <c r="CE193" i="1"/>
  <c r="A194" i="1"/>
  <c r="C194" i="1"/>
  <c r="E194" i="1"/>
  <c r="S194" i="1"/>
  <c r="T194" i="1"/>
  <c r="U194" i="1"/>
  <c r="BB194" i="1"/>
  <c r="BD194" i="1"/>
  <c r="CE194" i="1"/>
  <c r="A195" i="1"/>
  <c r="C195" i="1"/>
  <c r="E195" i="1"/>
  <c r="S195" i="1"/>
  <c r="T195" i="1"/>
  <c r="U195" i="1"/>
  <c r="BB195" i="1"/>
  <c r="BD195" i="1"/>
  <c r="CE195" i="1"/>
  <c r="A196" i="1"/>
  <c r="C196" i="1"/>
  <c r="E196" i="1"/>
  <c r="S196" i="1"/>
  <c r="T196" i="1"/>
  <c r="U196" i="1"/>
  <c r="BB196" i="1"/>
  <c r="BD196" i="1"/>
  <c r="CE196" i="1"/>
  <c r="A197" i="1"/>
  <c r="C197" i="1"/>
  <c r="E197" i="1"/>
  <c r="S197" i="1"/>
  <c r="T197" i="1"/>
  <c r="U197" i="1"/>
  <c r="BB197" i="1"/>
  <c r="BD197" i="1"/>
  <c r="CE197" i="1"/>
  <c r="A198" i="1"/>
  <c r="C198" i="1"/>
  <c r="E198" i="1"/>
  <c r="S198" i="1"/>
  <c r="T198" i="1"/>
  <c r="U198" i="1"/>
  <c r="BB198" i="1"/>
  <c r="BD198" i="1"/>
  <c r="CE198" i="1"/>
  <c r="A199" i="1"/>
  <c r="C199" i="1"/>
  <c r="E199" i="1"/>
  <c r="S199" i="1"/>
  <c r="T199" i="1"/>
  <c r="U199" i="1"/>
  <c r="BB199" i="1"/>
  <c r="BD199" i="1"/>
  <c r="CE199" i="1"/>
  <c r="A200" i="1"/>
  <c r="C200" i="1"/>
  <c r="E200" i="1"/>
  <c r="S200" i="1"/>
  <c r="T200" i="1"/>
  <c r="U200" i="1"/>
  <c r="BB200" i="1"/>
  <c r="BD200" i="1"/>
  <c r="CE200" i="1"/>
  <c r="A201" i="1"/>
  <c r="C201" i="1"/>
  <c r="E201" i="1"/>
  <c r="S201" i="1"/>
  <c r="T201" i="1"/>
  <c r="U201" i="1"/>
  <c r="BB201" i="1"/>
  <c r="BD201" i="1"/>
  <c r="CE201" i="1"/>
  <c r="A202" i="1"/>
  <c r="C202" i="1"/>
  <c r="E202" i="1"/>
  <c r="S202" i="1"/>
  <c r="T202" i="1"/>
  <c r="U202" i="1"/>
  <c r="BB202" i="1"/>
  <c r="BD202" i="1"/>
  <c r="CE202" i="1"/>
  <c r="A203" i="1"/>
  <c r="C203" i="1"/>
  <c r="E203" i="1"/>
  <c r="S203" i="1"/>
  <c r="T203" i="1"/>
  <c r="U203" i="1"/>
  <c r="BB203" i="1"/>
  <c r="BD203" i="1"/>
  <c r="CE203" i="1"/>
  <c r="A204" i="1"/>
  <c r="C204" i="1"/>
  <c r="E204" i="1"/>
  <c r="S204" i="1"/>
  <c r="T204" i="1"/>
  <c r="U204" i="1"/>
  <c r="BB204" i="1"/>
  <c r="BD204" i="1"/>
  <c r="CE204" i="1"/>
  <c r="A205" i="1"/>
  <c r="C205" i="1"/>
  <c r="E205" i="1"/>
  <c r="S205" i="1"/>
  <c r="T205" i="1"/>
  <c r="U205" i="1"/>
  <c r="BB205" i="1"/>
  <c r="BD205" i="1"/>
  <c r="CE205" i="1"/>
  <c r="A206" i="1"/>
  <c r="C206" i="1"/>
  <c r="E206" i="1"/>
  <c r="S206" i="1"/>
  <c r="T206" i="1"/>
  <c r="U206" i="1"/>
  <c r="BB206" i="1"/>
  <c r="BD206" i="1"/>
  <c r="CE206" i="1"/>
  <c r="A207" i="1"/>
  <c r="C207" i="1"/>
  <c r="E207" i="1"/>
  <c r="S207" i="1"/>
  <c r="T207" i="1"/>
  <c r="U207" i="1"/>
  <c r="BB207" i="1"/>
  <c r="BD207" i="1"/>
  <c r="CE207" i="1"/>
  <c r="A208" i="1"/>
  <c r="C208" i="1"/>
  <c r="E208" i="1"/>
  <c r="S208" i="1"/>
  <c r="T208" i="1"/>
  <c r="U208" i="1"/>
  <c r="BB208" i="1"/>
  <c r="BD208" i="1"/>
  <c r="CE208" i="1"/>
  <c r="A209" i="1"/>
  <c r="C209" i="1"/>
  <c r="E209" i="1"/>
  <c r="S209" i="1"/>
  <c r="T209" i="1"/>
  <c r="U209" i="1"/>
  <c r="BB209" i="1"/>
  <c r="BD209" i="1"/>
  <c r="CE209" i="1"/>
  <c r="A210" i="1"/>
  <c r="C210" i="1"/>
  <c r="E210" i="1"/>
  <c r="S210" i="1"/>
  <c r="T210" i="1"/>
  <c r="U210" i="1"/>
  <c r="BB210" i="1"/>
  <c r="BD210" i="1"/>
  <c r="CE210" i="1"/>
  <c r="A211" i="1"/>
  <c r="C211" i="1"/>
  <c r="E211" i="1"/>
  <c r="S211" i="1"/>
  <c r="T211" i="1"/>
  <c r="U211" i="1"/>
  <c r="BB211" i="1"/>
  <c r="BD211" i="1"/>
  <c r="CE211" i="1"/>
  <c r="A212" i="1"/>
  <c r="C212" i="1"/>
  <c r="E212" i="1"/>
  <c r="S212" i="1"/>
  <c r="T212" i="1"/>
  <c r="U212" i="1"/>
  <c r="BB212" i="1"/>
  <c r="BD212" i="1"/>
  <c r="CE212" i="1"/>
  <c r="A213" i="1"/>
  <c r="C213" i="1"/>
  <c r="E213" i="1"/>
  <c r="S213" i="1"/>
  <c r="T213" i="1"/>
  <c r="U213" i="1"/>
  <c r="BB213" i="1"/>
  <c r="BD213" i="1"/>
  <c r="CE213" i="1"/>
  <c r="A214" i="1"/>
  <c r="C214" i="1"/>
  <c r="E214" i="1"/>
  <c r="S214" i="1"/>
  <c r="T214" i="1"/>
  <c r="U214" i="1"/>
  <c r="BB214" i="1"/>
  <c r="BD214" i="1"/>
  <c r="CE214" i="1"/>
  <c r="A215" i="1"/>
  <c r="C215" i="1"/>
  <c r="E215" i="1"/>
  <c r="S215" i="1"/>
  <c r="T215" i="1"/>
  <c r="U215" i="1"/>
  <c r="BB215" i="1"/>
  <c r="BD215" i="1"/>
  <c r="CE215" i="1"/>
  <c r="A216" i="1"/>
  <c r="C216" i="1"/>
  <c r="E216" i="1"/>
  <c r="S216" i="1"/>
  <c r="T216" i="1"/>
  <c r="U216" i="1"/>
  <c r="BB216" i="1"/>
  <c r="BD216" i="1"/>
  <c r="CE216" i="1"/>
  <c r="A217" i="1"/>
  <c r="C217" i="1"/>
  <c r="E217" i="1"/>
  <c r="S217" i="1"/>
  <c r="T217" i="1"/>
  <c r="U217" i="1"/>
  <c r="BB217" i="1"/>
  <c r="BD217" i="1"/>
  <c r="CE217" i="1"/>
  <c r="A218" i="1"/>
  <c r="C218" i="1"/>
  <c r="E218" i="1"/>
  <c r="S218" i="1"/>
  <c r="T218" i="1"/>
  <c r="U218" i="1"/>
  <c r="BB218" i="1"/>
  <c r="BD218" i="1"/>
  <c r="CE218" i="1"/>
  <c r="A219" i="1"/>
  <c r="C219" i="1"/>
  <c r="E219" i="1"/>
  <c r="S219" i="1"/>
  <c r="T219" i="1"/>
  <c r="U219" i="1"/>
  <c r="BB219" i="1"/>
  <c r="BD219" i="1"/>
  <c r="CE219" i="1"/>
  <c r="A220" i="1"/>
  <c r="C220" i="1"/>
  <c r="E220" i="1"/>
  <c r="S220" i="1"/>
  <c r="T220" i="1"/>
  <c r="U220" i="1"/>
  <c r="BB220" i="1"/>
  <c r="BD220" i="1"/>
  <c r="CE220" i="1"/>
  <c r="A221" i="1"/>
  <c r="C221" i="1"/>
  <c r="E221" i="1"/>
  <c r="S221" i="1"/>
  <c r="T221" i="1"/>
  <c r="U221" i="1"/>
  <c r="BB221" i="1"/>
  <c r="BD221" i="1"/>
  <c r="CE221" i="1"/>
  <c r="A222" i="1"/>
  <c r="C222" i="1"/>
  <c r="E222" i="1"/>
  <c r="S222" i="1"/>
  <c r="T222" i="1"/>
  <c r="U222" i="1"/>
  <c r="BB222" i="1"/>
  <c r="BD222" i="1"/>
  <c r="CE222" i="1"/>
  <c r="A223" i="1"/>
  <c r="C223" i="1"/>
  <c r="E223" i="1"/>
  <c r="S223" i="1"/>
  <c r="T223" i="1"/>
  <c r="U223" i="1"/>
  <c r="BB223" i="1"/>
  <c r="BD223" i="1"/>
  <c r="CE223" i="1"/>
  <c r="A224" i="1"/>
  <c r="C224" i="1"/>
  <c r="E224" i="1"/>
  <c r="S224" i="1"/>
  <c r="T224" i="1"/>
  <c r="U224" i="1"/>
  <c r="BB224" i="1"/>
  <c r="BD224" i="1"/>
  <c r="CE224" i="1"/>
  <c r="A225" i="1"/>
  <c r="C225" i="1"/>
  <c r="E225" i="1"/>
  <c r="S225" i="1"/>
  <c r="T225" i="1"/>
  <c r="U225" i="1"/>
  <c r="BB225" i="1"/>
  <c r="BD225" i="1"/>
  <c r="CE225" i="1"/>
  <c r="A226" i="1"/>
  <c r="C226" i="1"/>
  <c r="E226" i="1"/>
  <c r="S226" i="1"/>
  <c r="T226" i="1"/>
  <c r="U226" i="1"/>
  <c r="BB226" i="1"/>
  <c r="BD226" i="1"/>
  <c r="CE226" i="1"/>
  <c r="A227" i="1"/>
  <c r="C227" i="1"/>
  <c r="E227" i="1"/>
  <c r="S227" i="1"/>
  <c r="T227" i="1"/>
  <c r="U227" i="1"/>
  <c r="BB227" i="1"/>
  <c r="BD227" i="1"/>
  <c r="CE227" i="1"/>
  <c r="A228" i="1"/>
  <c r="C228" i="1"/>
  <c r="E228" i="1"/>
  <c r="S228" i="1"/>
  <c r="T228" i="1"/>
  <c r="U228" i="1"/>
  <c r="BB228" i="1"/>
  <c r="BD228" i="1"/>
  <c r="CE228" i="1"/>
  <c r="A229" i="1"/>
  <c r="C229" i="1"/>
  <c r="E229" i="1"/>
  <c r="S229" i="1"/>
  <c r="T229" i="1"/>
  <c r="U229" i="1"/>
  <c r="BB229" i="1"/>
  <c r="BD229" i="1"/>
  <c r="CE229" i="1"/>
  <c r="A230" i="1"/>
  <c r="C230" i="1"/>
  <c r="E230" i="1"/>
  <c r="S230" i="1"/>
  <c r="T230" i="1"/>
  <c r="U230" i="1"/>
  <c r="BB230" i="1"/>
  <c r="BD230" i="1"/>
  <c r="CE230" i="1"/>
  <c r="A231" i="1"/>
  <c r="C231" i="1"/>
  <c r="E231" i="1"/>
  <c r="S231" i="1"/>
  <c r="T231" i="1"/>
  <c r="U231" i="1"/>
  <c r="BB231" i="1"/>
  <c r="BD231" i="1"/>
  <c r="CE231" i="1"/>
  <c r="A232" i="1"/>
  <c r="C232" i="1"/>
  <c r="E232" i="1"/>
  <c r="S232" i="1"/>
  <c r="T232" i="1"/>
  <c r="U232" i="1"/>
  <c r="BB232" i="1"/>
  <c r="BD232" i="1"/>
  <c r="CE232" i="1"/>
  <c r="A233" i="1"/>
  <c r="C233" i="1"/>
  <c r="E233" i="1"/>
  <c r="S233" i="1"/>
  <c r="T233" i="1"/>
  <c r="U233" i="1"/>
  <c r="BB233" i="1"/>
  <c r="BD233" i="1"/>
  <c r="CE233" i="1"/>
  <c r="A234" i="1"/>
  <c r="C234" i="1"/>
  <c r="E234" i="1"/>
  <c r="S234" i="1"/>
  <c r="T234" i="1"/>
  <c r="U234" i="1"/>
  <c r="BB234" i="1"/>
  <c r="BD234" i="1"/>
  <c r="CE234" i="1"/>
  <c r="A235" i="1"/>
  <c r="C235" i="1"/>
  <c r="E235" i="1"/>
  <c r="S235" i="1"/>
  <c r="T235" i="1"/>
  <c r="U235" i="1"/>
  <c r="BB235" i="1"/>
  <c r="BD235" i="1"/>
  <c r="CE235" i="1"/>
  <c r="A236" i="1"/>
  <c r="C236" i="1"/>
  <c r="E236" i="1"/>
  <c r="S236" i="1"/>
  <c r="T236" i="1"/>
  <c r="U236" i="1"/>
  <c r="BB236" i="1"/>
  <c r="BD236" i="1"/>
  <c r="CE236" i="1"/>
  <c r="A237" i="1"/>
  <c r="C237" i="1"/>
  <c r="E237" i="1"/>
  <c r="S237" i="1"/>
  <c r="T237" i="1"/>
  <c r="U237" i="1"/>
  <c r="BB237" i="1"/>
  <c r="BD237" i="1"/>
  <c r="CE237" i="1"/>
  <c r="A238" i="1"/>
  <c r="C238" i="1"/>
  <c r="E238" i="1"/>
  <c r="S238" i="1"/>
  <c r="T238" i="1"/>
  <c r="U238" i="1"/>
  <c r="BB238" i="1"/>
  <c r="BD238" i="1"/>
  <c r="CE238" i="1"/>
  <c r="A239" i="1"/>
  <c r="C239" i="1"/>
  <c r="E239" i="1"/>
  <c r="S239" i="1"/>
  <c r="T239" i="1"/>
  <c r="U239" i="1"/>
  <c r="BB239" i="1"/>
  <c r="BD239" i="1"/>
  <c r="CE239" i="1"/>
  <c r="A240" i="1"/>
  <c r="C240" i="1"/>
  <c r="E240" i="1"/>
  <c r="S240" i="1"/>
  <c r="T240" i="1"/>
  <c r="U240" i="1"/>
  <c r="BB240" i="1"/>
  <c r="BD240" i="1"/>
  <c r="CE240" i="1"/>
  <c r="A241" i="1"/>
  <c r="C241" i="1"/>
  <c r="E241" i="1"/>
  <c r="S241" i="1"/>
  <c r="T241" i="1"/>
  <c r="U241" i="1"/>
  <c r="BB241" i="1"/>
  <c r="BD241" i="1"/>
  <c r="CE241" i="1"/>
  <c r="A242" i="1"/>
  <c r="C242" i="1"/>
  <c r="E242" i="1"/>
  <c r="S242" i="1"/>
  <c r="T242" i="1"/>
  <c r="U242" i="1"/>
  <c r="BB242" i="1"/>
  <c r="BD242" i="1"/>
  <c r="CE242" i="1"/>
  <c r="A243" i="1"/>
  <c r="C243" i="1"/>
  <c r="E243" i="1"/>
  <c r="S243" i="1"/>
  <c r="T243" i="1"/>
  <c r="U243" i="1"/>
  <c r="BB243" i="1"/>
  <c r="BD243" i="1"/>
  <c r="CE243" i="1"/>
  <c r="A244" i="1"/>
  <c r="C244" i="1"/>
  <c r="E244" i="1"/>
  <c r="S244" i="1"/>
  <c r="T244" i="1"/>
  <c r="U244" i="1"/>
  <c r="BB244" i="1"/>
  <c r="BD244" i="1"/>
  <c r="CE244" i="1"/>
  <c r="A245" i="1"/>
  <c r="C245" i="1"/>
  <c r="E245" i="1"/>
  <c r="S245" i="1"/>
  <c r="T245" i="1"/>
  <c r="U245" i="1"/>
  <c r="BB245" i="1"/>
  <c r="BD245" i="1"/>
  <c r="CE245" i="1"/>
  <c r="A246" i="1"/>
  <c r="C246" i="1"/>
  <c r="E246" i="1"/>
  <c r="S246" i="1"/>
  <c r="T246" i="1"/>
  <c r="U246" i="1"/>
  <c r="BB246" i="1"/>
  <c r="BD246" i="1"/>
  <c r="CE246" i="1"/>
  <c r="A247" i="1"/>
  <c r="C247" i="1"/>
  <c r="E247" i="1"/>
  <c r="S247" i="1"/>
  <c r="T247" i="1"/>
  <c r="U247" i="1"/>
  <c r="BB247" i="1"/>
  <c r="BD247" i="1"/>
  <c r="CE247" i="1"/>
  <c r="A248" i="1"/>
  <c r="C248" i="1"/>
  <c r="E248" i="1"/>
  <c r="S248" i="1"/>
  <c r="T248" i="1"/>
  <c r="U248" i="1"/>
  <c r="BB248" i="1"/>
  <c r="BD248" i="1"/>
  <c r="CE248" i="1"/>
  <c r="A249" i="1"/>
  <c r="C249" i="1"/>
  <c r="E249" i="1"/>
  <c r="S249" i="1"/>
  <c r="T249" i="1"/>
  <c r="U249" i="1"/>
  <c r="BB249" i="1"/>
  <c r="BD249" i="1"/>
  <c r="CE249" i="1"/>
  <c r="A250" i="1"/>
  <c r="C250" i="1"/>
  <c r="E250" i="1"/>
  <c r="S250" i="1"/>
  <c r="T250" i="1"/>
  <c r="U250" i="1"/>
  <c r="BB250" i="1"/>
  <c r="BD250" i="1"/>
  <c r="CE250" i="1"/>
  <c r="A251" i="1"/>
  <c r="C251" i="1"/>
  <c r="E251" i="1"/>
  <c r="S251" i="1"/>
  <c r="T251" i="1"/>
  <c r="U251" i="1"/>
  <c r="BB251" i="1"/>
  <c r="BD251" i="1"/>
  <c r="CE251" i="1"/>
  <c r="A252" i="1"/>
  <c r="C252" i="1"/>
  <c r="E252" i="1"/>
  <c r="S252" i="1"/>
  <c r="T252" i="1"/>
  <c r="U252" i="1"/>
  <c r="BB252" i="1"/>
  <c r="BD252" i="1"/>
  <c r="CE252" i="1"/>
  <c r="A253" i="1"/>
  <c r="C253" i="1"/>
  <c r="E253" i="1"/>
  <c r="S253" i="1"/>
  <c r="T253" i="1"/>
  <c r="U253" i="1"/>
  <c r="BB253" i="1"/>
  <c r="BD253" i="1"/>
  <c r="CE253" i="1"/>
  <c r="A254" i="1"/>
  <c r="C254" i="1"/>
  <c r="E254" i="1"/>
  <c r="S254" i="1"/>
  <c r="T254" i="1"/>
  <c r="U254" i="1"/>
  <c r="BB254" i="1"/>
  <c r="BD254" i="1"/>
  <c r="CE254" i="1"/>
  <c r="A255" i="1"/>
  <c r="C255" i="1"/>
  <c r="E255" i="1"/>
  <c r="S255" i="1"/>
  <c r="T255" i="1"/>
  <c r="U255" i="1"/>
  <c r="BB255" i="1"/>
  <c r="BD255" i="1"/>
  <c r="CE255" i="1"/>
  <c r="A256" i="1"/>
  <c r="C256" i="1"/>
  <c r="E256" i="1"/>
  <c r="S256" i="1"/>
  <c r="T256" i="1"/>
  <c r="U256" i="1"/>
  <c r="BB256" i="1"/>
  <c r="BD256" i="1"/>
  <c r="CE256" i="1"/>
  <c r="A257" i="1"/>
  <c r="C257" i="1"/>
  <c r="E257" i="1"/>
  <c r="S257" i="1"/>
  <c r="T257" i="1"/>
  <c r="U257" i="1"/>
  <c r="BB257" i="1"/>
  <c r="BD257" i="1"/>
  <c r="CE257" i="1"/>
  <c r="A258" i="1"/>
  <c r="C258" i="1"/>
  <c r="E258" i="1"/>
  <c r="S258" i="1"/>
  <c r="T258" i="1"/>
  <c r="U258" i="1"/>
  <c r="BB258" i="1"/>
  <c r="BD258" i="1"/>
  <c r="CE258" i="1"/>
  <c r="A259" i="1"/>
  <c r="C259" i="1"/>
  <c r="E259" i="1"/>
  <c r="S259" i="1"/>
  <c r="T259" i="1"/>
  <c r="U259" i="1"/>
  <c r="BB259" i="1"/>
  <c r="BD259" i="1"/>
  <c r="CE259" i="1"/>
  <c r="A260" i="1"/>
  <c r="C260" i="1"/>
  <c r="E260" i="1"/>
  <c r="S260" i="1"/>
  <c r="T260" i="1"/>
  <c r="U260" i="1"/>
  <c r="BB260" i="1"/>
  <c r="BD260" i="1"/>
  <c r="CE260" i="1"/>
  <c r="A261" i="1"/>
  <c r="C261" i="1"/>
  <c r="E261" i="1"/>
  <c r="S261" i="1"/>
  <c r="T261" i="1"/>
  <c r="U261" i="1"/>
  <c r="BB261" i="1"/>
  <c r="BD261" i="1"/>
  <c r="CE261" i="1"/>
  <c r="A262" i="1"/>
  <c r="C262" i="1"/>
  <c r="E262" i="1"/>
  <c r="S262" i="1"/>
  <c r="T262" i="1"/>
  <c r="U262" i="1"/>
  <c r="BB262" i="1"/>
  <c r="BD262" i="1"/>
  <c r="CE262" i="1"/>
  <c r="A263" i="1"/>
  <c r="C263" i="1"/>
  <c r="E263" i="1"/>
  <c r="S263" i="1"/>
  <c r="T263" i="1"/>
  <c r="U263" i="1"/>
  <c r="BB263" i="1"/>
  <c r="BD263" i="1"/>
  <c r="CE263" i="1"/>
  <c r="A264" i="1"/>
  <c r="C264" i="1"/>
  <c r="E264" i="1"/>
  <c r="S264" i="1"/>
  <c r="T264" i="1"/>
  <c r="U264" i="1"/>
  <c r="BB264" i="1"/>
  <c r="BD264" i="1"/>
  <c r="CE264" i="1"/>
  <c r="A265" i="1"/>
  <c r="C265" i="1"/>
  <c r="E265" i="1"/>
  <c r="S265" i="1"/>
  <c r="T265" i="1"/>
  <c r="U265" i="1"/>
  <c r="BB265" i="1"/>
  <c r="BD265" i="1"/>
  <c r="CE265" i="1"/>
  <c r="A266" i="1"/>
  <c r="C266" i="1"/>
  <c r="E266" i="1"/>
  <c r="S266" i="1"/>
  <c r="T266" i="1"/>
  <c r="U266" i="1"/>
  <c r="BB266" i="1"/>
  <c r="BD266" i="1"/>
  <c r="CE266" i="1"/>
  <c r="A267" i="1"/>
  <c r="C267" i="1"/>
  <c r="E267" i="1"/>
  <c r="S267" i="1"/>
  <c r="T267" i="1"/>
  <c r="U267" i="1"/>
  <c r="BB267" i="1"/>
  <c r="BD267" i="1"/>
  <c r="CE267" i="1"/>
  <c r="A268" i="1"/>
  <c r="C268" i="1"/>
  <c r="E268" i="1"/>
  <c r="S268" i="1"/>
  <c r="T268" i="1"/>
  <c r="U268" i="1"/>
  <c r="BB268" i="1"/>
  <c r="BD268" i="1"/>
  <c r="CE268" i="1"/>
  <c r="A269" i="1"/>
  <c r="C269" i="1"/>
  <c r="E269" i="1"/>
  <c r="S269" i="1"/>
  <c r="T269" i="1"/>
  <c r="U269" i="1"/>
  <c r="BB269" i="1"/>
  <c r="BD269" i="1"/>
  <c r="CE269" i="1"/>
  <c r="A270" i="1"/>
  <c r="C270" i="1"/>
  <c r="E270" i="1"/>
  <c r="S270" i="1"/>
  <c r="T270" i="1"/>
  <c r="U270" i="1"/>
  <c r="BB270" i="1"/>
  <c r="BD270" i="1"/>
  <c r="CE270" i="1"/>
  <c r="A271" i="1"/>
  <c r="C271" i="1"/>
  <c r="E271" i="1"/>
  <c r="S271" i="1"/>
  <c r="T271" i="1"/>
  <c r="U271" i="1"/>
  <c r="BB271" i="1"/>
  <c r="BD271" i="1"/>
  <c r="CE271" i="1"/>
  <c r="A272" i="1"/>
  <c r="C272" i="1"/>
  <c r="E272" i="1"/>
  <c r="S272" i="1"/>
  <c r="T272" i="1"/>
  <c r="U272" i="1"/>
  <c r="BB272" i="1"/>
  <c r="BD272" i="1"/>
  <c r="CE272" i="1"/>
  <c r="A273" i="1"/>
  <c r="C273" i="1"/>
  <c r="E273" i="1"/>
  <c r="S273" i="1"/>
  <c r="T273" i="1"/>
  <c r="U273" i="1"/>
  <c r="BB273" i="1"/>
  <c r="BD273" i="1"/>
  <c r="CE273" i="1"/>
  <c r="A274" i="1"/>
  <c r="C274" i="1"/>
  <c r="E274" i="1"/>
  <c r="S274" i="1"/>
  <c r="T274" i="1"/>
  <c r="U274" i="1"/>
  <c r="BB274" i="1"/>
  <c r="BD274" i="1"/>
  <c r="CE274" i="1"/>
  <c r="A275" i="1"/>
  <c r="C275" i="1"/>
  <c r="E275" i="1"/>
  <c r="S275" i="1"/>
  <c r="T275" i="1"/>
  <c r="U275" i="1"/>
  <c r="BB275" i="1"/>
  <c r="BD275" i="1"/>
  <c r="CE275" i="1"/>
  <c r="A276" i="1"/>
  <c r="C276" i="1"/>
  <c r="E276" i="1"/>
  <c r="S276" i="1"/>
  <c r="T276" i="1"/>
  <c r="U276" i="1"/>
  <c r="BB276" i="1"/>
  <c r="BD276" i="1"/>
  <c r="CE276" i="1"/>
  <c r="A277" i="1"/>
  <c r="C277" i="1"/>
  <c r="E277" i="1"/>
  <c r="S277" i="1"/>
  <c r="T277" i="1"/>
  <c r="U277" i="1"/>
  <c r="BB277" i="1"/>
  <c r="BD277" i="1"/>
  <c r="CE277" i="1"/>
  <c r="A278" i="1"/>
  <c r="C278" i="1"/>
  <c r="E278" i="1"/>
  <c r="S278" i="1"/>
  <c r="T278" i="1"/>
  <c r="U278" i="1"/>
  <c r="BB278" i="1"/>
  <c r="BD278" i="1"/>
  <c r="CE278" i="1"/>
  <c r="A279" i="1"/>
  <c r="C279" i="1"/>
  <c r="E279" i="1"/>
  <c r="S279" i="1"/>
  <c r="T279" i="1"/>
  <c r="U279" i="1"/>
  <c r="BB279" i="1"/>
  <c r="BD279" i="1"/>
  <c r="CE279" i="1"/>
  <c r="A280" i="1"/>
  <c r="C280" i="1"/>
  <c r="E280" i="1"/>
  <c r="S280" i="1"/>
  <c r="T280" i="1"/>
  <c r="U280" i="1"/>
  <c r="BB280" i="1"/>
  <c r="BD280" i="1"/>
  <c r="CE280" i="1"/>
  <c r="A281" i="1"/>
  <c r="C281" i="1"/>
  <c r="E281" i="1"/>
  <c r="S281" i="1"/>
  <c r="T281" i="1"/>
  <c r="U281" i="1"/>
  <c r="BB281" i="1"/>
  <c r="BD281" i="1"/>
  <c r="CE281" i="1"/>
  <c r="A282" i="1"/>
  <c r="C282" i="1"/>
  <c r="E282" i="1"/>
  <c r="S282" i="1"/>
  <c r="T282" i="1"/>
  <c r="U282" i="1"/>
  <c r="BB282" i="1"/>
  <c r="BD282" i="1"/>
  <c r="CE282" i="1"/>
  <c r="A283" i="1"/>
  <c r="C283" i="1"/>
  <c r="E283" i="1"/>
  <c r="S283" i="1"/>
  <c r="T283" i="1"/>
  <c r="U283" i="1"/>
  <c r="BB283" i="1"/>
  <c r="BD283" i="1"/>
  <c r="CE283" i="1"/>
  <c r="A284" i="1"/>
  <c r="C284" i="1"/>
  <c r="E284" i="1"/>
  <c r="S284" i="1"/>
  <c r="T284" i="1"/>
  <c r="U284" i="1"/>
  <c r="BB284" i="1"/>
  <c r="BD284" i="1"/>
  <c r="CE284" i="1"/>
  <c r="A285" i="1"/>
  <c r="C285" i="1"/>
  <c r="E285" i="1"/>
  <c r="S285" i="1"/>
  <c r="T285" i="1"/>
  <c r="U285" i="1"/>
  <c r="BB285" i="1"/>
  <c r="BD285" i="1"/>
  <c r="CE285" i="1"/>
  <c r="A286" i="1"/>
  <c r="C286" i="1"/>
  <c r="E286" i="1"/>
  <c r="S286" i="1"/>
  <c r="T286" i="1"/>
  <c r="U286" i="1"/>
  <c r="BB286" i="1"/>
  <c r="BD286" i="1"/>
  <c r="CE286" i="1"/>
  <c r="A287" i="1"/>
  <c r="C287" i="1"/>
  <c r="E287" i="1"/>
  <c r="S287" i="1"/>
  <c r="T287" i="1"/>
  <c r="U287" i="1"/>
  <c r="BB287" i="1"/>
  <c r="BD287" i="1"/>
  <c r="CE287" i="1"/>
  <c r="A288" i="1"/>
  <c r="C288" i="1"/>
  <c r="E288" i="1"/>
  <c r="S288" i="1"/>
  <c r="T288" i="1"/>
  <c r="U288" i="1"/>
  <c r="BB288" i="1"/>
  <c r="BD288" i="1"/>
  <c r="CE288" i="1"/>
  <c r="A289" i="1"/>
  <c r="C289" i="1"/>
  <c r="E289" i="1"/>
  <c r="S289" i="1"/>
  <c r="T289" i="1"/>
  <c r="U289" i="1"/>
  <c r="BB289" i="1"/>
  <c r="BD289" i="1"/>
  <c r="CE289" i="1"/>
  <c r="A290" i="1"/>
  <c r="C290" i="1"/>
  <c r="E290" i="1"/>
  <c r="S290" i="1"/>
  <c r="T290" i="1"/>
  <c r="U290" i="1"/>
  <c r="BB290" i="1"/>
  <c r="BD290" i="1"/>
  <c r="CE290" i="1"/>
  <c r="A291" i="1"/>
  <c r="C291" i="1"/>
  <c r="E291" i="1"/>
  <c r="S291" i="1"/>
  <c r="T291" i="1"/>
  <c r="U291" i="1"/>
  <c r="BB291" i="1"/>
  <c r="BD291" i="1"/>
  <c r="CE291" i="1"/>
  <c r="A292" i="1"/>
  <c r="C292" i="1"/>
  <c r="E292" i="1"/>
  <c r="S292" i="1"/>
  <c r="T292" i="1"/>
  <c r="U292" i="1"/>
  <c r="BB292" i="1"/>
  <c r="BD292" i="1"/>
  <c r="CE292" i="1"/>
  <c r="A293" i="1"/>
  <c r="C293" i="1"/>
  <c r="E293" i="1"/>
  <c r="S293" i="1"/>
  <c r="T293" i="1"/>
  <c r="U293" i="1"/>
  <c r="BB293" i="1"/>
  <c r="BD293" i="1"/>
  <c r="CE293" i="1"/>
  <c r="A294" i="1"/>
  <c r="C294" i="1"/>
  <c r="E294" i="1"/>
  <c r="S294" i="1"/>
  <c r="T294" i="1"/>
  <c r="U294" i="1"/>
  <c r="BB294" i="1"/>
  <c r="BD294" i="1"/>
  <c r="CE294" i="1"/>
  <c r="A295" i="1"/>
  <c r="C295" i="1"/>
  <c r="E295" i="1"/>
  <c r="S295" i="1"/>
  <c r="T295" i="1"/>
  <c r="U295" i="1"/>
  <c r="BB295" i="1"/>
  <c r="BD295" i="1"/>
  <c r="CE295" i="1"/>
  <c r="A296" i="1"/>
  <c r="C296" i="1"/>
  <c r="E296" i="1"/>
  <c r="S296" i="1"/>
  <c r="T296" i="1"/>
  <c r="U296" i="1"/>
  <c r="BB296" i="1"/>
  <c r="BD296" i="1"/>
  <c r="CE296" i="1"/>
  <c r="A297" i="1"/>
  <c r="C297" i="1"/>
  <c r="E297" i="1"/>
  <c r="S297" i="1"/>
  <c r="T297" i="1"/>
  <c r="U297" i="1"/>
  <c r="BB297" i="1"/>
  <c r="BD297" i="1"/>
  <c r="CE297" i="1"/>
  <c r="A298" i="1"/>
  <c r="C298" i="1"/>
  <c r="E298" i="1"/>
  <c r="S298" i="1"/>
  <c r="T298" i="1"/>
  <c r="U298" i="1"/>
  <c r="BB298" i="1"/>
  <c r="BD298" i="1"/>
  <c r="CE298" i="1"/>
  <c r="A299" i="1"/>
  <c r="C299" i="1"/>
  <c r="E299" i="1"/>
  <c r="S299" i="1"/>
  <c r="T299" i="1"/>
  <c r="U299" i="1"/>
  <c r="BB299" i="1"/>
  <c r="BD299" i="1"/>
  <c r="CE299" i="1"/>
  <c r="A300" i="1"/>
  <c r="C300" i="1"/>
  <c r="E300" i="1"/>
  <c r="S300" i="1"/>
  <c r="T300" i="1"/>
  <c r="U300" i="1"/>
  <c r="BB300" i="1"/>
  <c r="BD300" i="1"/>
  <c r="CE300" i="1"/>
  <c r="A301" i="1"/>
  <c r="C301" i="1"/>
  <c r="E301" i="1"/>
  <c r="S301" i="1"/>
  <c r="T301" i="1"/>
  <c r="U301" i="1"/>
  <c r="BB301" i="1"/>
  <c r="BD301" i="1"/>
  <c r="CE301" i="1"/>
  <c r="A302" i="1"/>
  <c r="C302" i="1"/>
  <c r="E302" i="1"/>
  <c r="S302" i="1"/>
  <c r="T302" i="1"/>
  <c r="U302" i="1"/>
  <c r="BB302" i="1"/>
  <c r="BD302" i="1"/>
  <c r="CE302" i="1"/>
  <c r="A303" i="1"/>
  <c r="C303" i="1"/>
  <c r="E303" i="1"/>
  <c r="S303" i="1"/>
  <c r="T303" i="1"/>
  <c r="U303" i="1"/>
  <c r="BB303" i="1"/>
  <c r="BD303" i="1"/>
  <c r="CE303" i="1"/>
  <c r="A304" i="1"/>
  <c r="C304" i="1"/>
  <c r="E304" i="1"/>
  <c r="S304" i="1"/>
  <c r="T304" i="1"/>
  <c r="U304" i="1"/>
  <c r="BB304" i="1"/>
  <c r="BD304" i="1"/>
  <c r="CE304" i="1"/>
  <c r="A305" i="1"/>
  <c r="C305" i="1"/>
  <c r="E305" i="1"/>
  <c r="S305" i="1"/>
  <c r="T305" i="1"/>
  <c r="U305" i="1"/>
  <c r="BB305" i="1"/>
  <c r="BD305" i="1"/>
  <c r="CE305" i="1"/>
  <c r="A306" i="1"/>
  <c r="C306" i="1"/>
  <c r="E306" i="1"/>
  <c r="S306" i="1"/>
  <c r="T306" i="1"/>
  <c r="U306" i="1"/>
  <c r="BB306" i="1"/>
  <c r="BD306" i="1"/>
  <c r="CE306" i="1"/>
  <c r="A307" i="1"/>
  <c r="C307" i="1"/>
  <c r="E307" i="1"/>
  <c r="S307" i="1"/>
  <c r="T307" i="1"/>
  <c r="U307" i="1"/>
  <c r="BB307" i="1"/>
  <c r="BD307" i="1"/>
  <c r="CE307" i="1"/>
  <c r="A308" i="1"/>
  <c r="C308" i="1"/>
  <c r="E308" i="1"/>
  <c r="S308" i="1"/>
  <c r="T308" i="1"/>
  <c r="U308" i="1"/>
  <c r="BB308" i="1"/>
  <c r="BD308" i="1"/>
  <c r="CE308" i="1"/>
  <c r="A309" i="1"/>
  <c r="C309" i="1"/>
  <c r="E309" i="1"/>
  <c r="S309" i="1"/>
  <c r="T309" i="1"/>
  <c r="U309" i="1"/>
  <c r="BB309" i="1"/>
  <c r="BD309" i="1"/>
  <c r="CE309" i="1"/>
  <c r="A310" i="1"/>
  <c r="C310" i="1"/>
  <c r="E310" i="1"/>
  <c r="S310" i="1"/>
  <c r="T310" i="1"/>
  <c r="U310" i="1"/>
  <c r="BB310" i="1"/>
  <c r="BD310" i="1"/>
  <c r="CE310" i="1"/>
  <c r="A311" i="1"/>
  <c r="C311" i="1"/>
  <c r="E311" i="1"/>
  <c r="S311" i="1"/>
  <c r="T311" i="1"/>
  <c r="U311" i="1"/>
  <c r="BB311" i="1"/>
  <c r="BD311" i="1"/>
  <c r="CE311" i="1"/>
  <c r="A312" i="1"/>
  <c r="C312" i="1"/>
  <c r="E312" i="1"/>
  <c r="S312" i="1"/>
  <c r="T312" i="1"/>
  <c r="U312" i="1"/>
  <c r="BB312" i="1"/>
  <c r="BD312" i="1"/>
  <c r="CE312" i="1"/>
  <c r="A313" i="1"/>
  <c r="C313" i="1"/>
  <c r="E313" i="1"/>
  <c r="S313" i="1"/>
  <c r="T313" i="1"/>
  <c r="U313" i="1"/>
  <c r="BB313" i="1"/>
  <c r="BD313" i="1"/>
  <c r="CE313" i="1"/>
  <c r="A314" i="1"/>
  <c r="C314" i="1"/>
  <c r="E314" i="1"/>
  <c r="S314" i="1"/>
  <c r="T314" i="1"/>
  <c r="U314" i="1"/>
  <c r="BB314" i="1"/>
  <c r="BD314" i="1"/>
  <c r="CE314" i="1"/>
  <c r="A315" i="1"/>
  <c r="C315" i="1"/>
  <c r="E315" i="1"/>
  <c r="S315" i="1"/>
  <c r="T315" i="1"/>
  <c r="U315" i="1"/>
  <c r="BB315" i="1"/>
  <c r="BD315" i="1"/>
  <c r="CE315" i="1"/>
  <c r="A316" i="1"/>
  <c r="C316" i="1"/>
  <c r="E316" i="1"/>
  <c r="S316" i="1"/>
  <c r="T316" i="1"/>
  <c r="U316" i="1"/>
  <c r="BB316" i="1"/>
  <c r="BD316" i="1"/>
  <c r="CE316" i="1"/>
  <c r="A317" i="1"/>
  <c r="C317" i="1"/>
  <c r="E317" i="1"/>
  <c r="S317" i="1"/>
  <c r="T317" i="1"/>
  <c r="U317" i="1"/>
  <c r="BB317" i="1"/>
  <c r="BD317" i="1"/>
  <c r="CE317" i="1"/>
  <c r="A318" i="1"/>
  <c r="C318" i="1"/>
  <c r="E318" i="1"/>
  <c r="S318" i="1"/>
  <c r="T318" i="1"/>
  <c r="U318" i="1"/>
  <c r="BB318" i="1"/>
  <c r="BD318" i="1"/>
  <c r="CE318" i="1"/>
  <c r="A319" i="1"/>
  <c r="C319" i="1"/>
  <c r="E319" i="1"/>
  <c r="S319" i="1"/>
  <c r="T319" i="1"/>
  <c r="U319" i="1"/>
  <c r="BB319" i="1"/>
  <c r="BD319" i="1"/>
  <c r="CE319" i="1"/>
  <c r="A320" i="1"/>
  <c r="C320" i="1"/>
  <c r="E320" i="1"/>
  <c r="S320" i="1"/>
  <c r="T320" i="1"/>
  <c r="U320" i="1"/>
  <c r="BB320" i="1"/>
  <c r="BD320" i="1"/>
  <c r="CE320" i="1"/>
  <c r="A321" i="1"/>
  <c r="C321" i="1"/>
  <c r="E321" i="1"/>
  <c r="S321" i="1"/>
  <c r="T321" i="1"/>
  <c r="U321" i="1"/>
  <c r="BB321" i="1"/>
  <c r="BD321" i="1"/>
  <c r="CE321" i="1"/>
  <c r="A322" i="1"/>
  <c r="C322" i="1"/>
  <c r="E322" i="1"/>
  <c r="S322" i="1"/>
  <c r="T322" i="1"/>
  <c r="U322" i="1"/>
  <c r="BB322" i="1"/>
  <c r="BD322" i="1"/>
  <c r="CE322" i="1"/>
  <c r="A323" i="1"/>
  <c r="C323" i="1"/>
  <c r="E323" i="1"/>
  <c r="S323" i="1"/>
  <c r="T323" i="1"/>
  <c r="U323" i="1"/>
  <c r="BB323" i="1"/>
  <c r="BD323" i="1"/>
  <c r="CE323" i="1"/>
  <c r="A324" i="1"/>
  <c r="C324" i="1"/>
  <c r="E324" i="1"/>
  <c r="S324" i="1"/>
  <c r="T324" i="1"/>
  <c r="U324" i="1"/>
  <c r="BB324" i="1"/>
  <c r="BD324" i="1"/>
  <c r="CE324" i="1"/>
  <c r="A325" i="1"/>
  <c r="C325" i="1"/>
  <c r="E325" i="1"/>
  <c r="S325" i="1"/>
  <c r="T325" i="1"/>
  <c r="U325" i="1"/>
  <c r="BB325" i="1"/>
  <c r="BD325" i="1"/>
  <c r="CE325" i="1"/>
  <c r="A326" i="1"/>
  <c r="C326" i="1"/>
  <c r="E326" i="1"/>
  <c r="S326" i="1"/>
  <c r="T326" i="1"/>
  <c r="U326" i="1"/>
  <c r="BB326" i="1"/>
  <c r="BD326" i="1"/>
  <c r="CE326" i="1"/>
  <c r="A327" i="1"/>
  <c r="C327" i="1"/>
  <c r="E327" i="1"/>
  <c r="S327" i="1"/>
  <c r="T327" i="1"/>
  <c r="U327" i="1"/>
  <c r="BB327" i="1"/>
  <c r="BD327" i="1"/>
  <c r="CE327" i="1"/>
  <c r="A328" i="1"/>
  <c r="C328" i="1"/>
  <c r="E328" i="1"/>
  <c r="S328" i="1"/>
  <c r="T328" i="1"/>
  <c r="U328" i="1"/>
  <c r="BB328" i="1"/>
  <c r="BD328" i="1"/>
  <c r="CE328" i="1"/>
  <c r="A329" i="1"/>
  <c r="C329" i="1"/>
  <c r="E329" i="1"/>
  <c r="S329" i="1"/>
  <c r="T329" i="1"/>
  <c r="U329" i="1"/>
  <c r="BB329" i="1"/>
  <c r="BD329" i="1"/>
  <c r="CE329" i="1"/>
  <c r="A330" i="1"/>
  <c r="C330" i="1"/>
  <c r="E330" i="1"/>
  <c r="S330" i="1"/>
  <c r="T330" i="1"/>
  <c r="U330" i="1"/>
  <c r="BB330" i="1"/>
  <c r="BD330" i="1"/>
  <c r="CE330" i="1"/>
  <c r="A331" i="1"/>
  <c r="C331" i="1"/>
  <c r="E331" i="1"/>
  <c r="S331" i="1"/>
  <c r="T331" i="1"/>
  <c r="U331" i="1"/>
  <c r="BB331" i="1"/>
  <c r="BD331" i="1"/>
  <c r="CE331" i="1"/>
  <c r="A332" i="1"/>
  <c r="C332" i="1"/>
  <c r="E332" i="1"/>
  <c r="S332" i="1"/>
  <c r="T332" i="1"/>
  <c r="U332" i="1"/>
  <c r="BB332" i="1"/>
  <c r="BD332" i="1"/>
  <c r="CE332" i="1"/>
  <c r="A333" i="1"/>
  <c r="C333" i="1"/>
  <c r="E333" i="1"/>
  <c r="S333" i="1"/>
  <c r="T333" i="1"/>
  <c r="U333" i="1"/>
  <c r="BB333" i="1"/>
  <c r="BD333" i="1"/>
  <c r="CE333" i="1"/>
  <c r="A334" i="1"/>
  <c r="C334" i="1"/>
  <c r="E334" i="1"/>
  <c r="S334" i="1"/>
  <c r="T334" i="1"/>
  <c r="U334" i="1"/>
  <c r="BB334" i="1"/>
  <c r="BD334" i="1"/>
  <c r="CE334" i="1"/>
  <c r="A335" i="1"/>
  <c r="C335" i="1"/>
  <c r="E335" i="1"/>
  <c r="S335" i="1"/>
  <c r="T335" i="1"/>
  <c r="U335" i="1"/>
  <c r="BB335" i="1"/>
  <c r="BD335" i="1"/>
  <c r="CE335" i="1"/>
  <c r="A336" i="1"/>
  <c r="C336" i="1"/>
  <c r="E336" i="1"/>
  <c r="S336" i="1"/>
  <c r="T336" i="1"/>
  <c r="U336" i="1"/>
  <c r="BB336" i="1"/>
  <c r="BD336" i="1"/>
  <c r="CE336" i="1"/>
  <c r="A337" i="1"/>
  <c r="C337" i="1"/>
  <c r="E337" i="1"/>
  <c r="S337" i="1"/>
  <c r="T337" i="1"/>
  <c r="U337" i="1"/>
  <c r="BB337" i="1"/>
  <c r="BD337" i="1"/>
  <c r="CE337" i="1"/>
  <c r="A338" i="1"/>
  <c r="C338" i="1"/>
  <c r="E338" i="1"/>
  <c r="S338" i="1"/>
  <c r="T338" i="1"/>
  <c r="U338" i="1"/>
  <c r="BB338" i="1"/>
  <c r="BD338" i="1"/>
  <c r="CE338" i="1"/>
  <c r="A339" i="1"/>
  <c r="C339" i="1"/>
  <c r="E339" i="1"/>
  <c r="S339" i="1"/>
  <c r="T339" i="1"/>
  <c r="U339" i="1"/>
  <c r="BB339" i="1"/>
  <c r="BD339" i="1"/>
  <c r="CE339" i="1"/>
  <c r="A340" i="1"/>
  <c r="C340" i="1"/>
  <c r="E340" i="1"/>
  <c r="S340" i="1"/>
  <c r="T340" i="1"/>
  <c r="U340" i="1"/>
  <c r="BB340" i="1"/>
  <c r="BD340" i="1"/>
  <c r="CE340" i="1"/>
  <c r="A341" i="1"/>
  <c r="C341" i="1"/>
  <c r="E341" i="1"/>
  <c r="S341" i="1"/>
  <c r="T341" i="1"/>
  <c r="U341" i="1"/>
  <c r="BB341" i="1"/>
  <c r="BD341" i="1"/>
  <c r="CE341" i="1"/>
  <c r="A342" i="1"/>
  <c r="C342" i="1"/>
  <c r="E342" i="1"/>
  <c r="S342" i="1"/>
  <c r="T342" i="1"/>
  <c r="U342" i="1"/>
  <c r="BB342" i="1"/>
  <c r="BD342" i="1"/>
  <c r="CE342" i="1"/>
  <c r="A343" i="1"/>
  <c r="C343" i="1"/>
  <c r="E343" i="1"/>
  <c r="S343" i="1"/>
  <c r="T343" i="1"/>
  <c r="U343" i="1"/>
  <c r="BB343" i="1"/>
  <c r="BD343" i="1"/>
  <c r="CE343" i="1"/>
  <c r="A344" i="1"/>
  <c r="C344" i="1"/>
  <c r="E344" i="1"/>
  <c r="S344" i="1"/>
  <c r="T344" i="1"/>
  <c r="U344" i="1"/>
  <c r="BB344" i="1"/>
  <c r="BD344" i="1"/>
  <c r="CE344" i="1"/>
  <c r="A345" i="1"/>
  <c r="C345" i="1"/>
  <c r="E345" i="1"/>
  <c r="S345" i="1"/>
  <c r="T345" i="1"/>
  <c r="U345" i="1"/>
  <c r="BB345" i="1"/>
  <c r="BD345" i="1"/>
  <c r="CE345" i="1"/>
  <c r="A346" i="1"/>
  <c r="C346" i="1"/>
  <c r="E346" i="1"/>
  <c r="S346" i="1"/>
  <c r="T346" i="1"/>
  <c r="U346" i="1"/>
  <c r="BB346" i="1"/>
  <c r="BD346" i="1"/>
  <c r="CE346" i="1"/>
  <c r="A347" i="1"/>
  <c r="C347" i="1"/>
  <c r="E347" i="1"/>
  <c r="S347" i="1"/>
  <c r="T347" i="1"/>
  <c r="U347" i="1"/>
  <c r="BB347" i="1"/>
  <c r="BD347" i="1"/>
  <c r="CE347" i="1"/>
  <c r="A348" i="1"/>
  <c r="C348" i="1"/>
  <c r="E348" i="1"/>
  <c r="S348" i="1"/>
  <c r="T348" i="1"/>
  <c r="U348" i="1"/>
  <c r="BB348" i="1"/>
  <c r="BD348" i="1"/>
  <c r="CE348" i="1"/>
  <c r="A349" i="1"/>
  <c r="C349" i="1"/>
  <c r="E349" i="1"/>
  <c r="S349" i="1"/>
  <c r="T349" i="1"/>
  <c r="U349" i="1"/>
  <c r="BB349" i="1"/>
  <c r="BD349" i="1"/>
  <c r="CE349" i="1"/>
  <c r="A350" i="1"/>
  <c r="C350" i="1"/>
  <c r="E350" i="1"/>
  <c r="S350" i="1"/>
  <c r="T350" i="1"/>
  <c r="U350" i="1"/>
  <c r="BB350" i="1"/>
  <c r="BD350" i="1"/>
  <c r="CE350" i="1"/>
  <c r="A351" i="1"/>
  <c r="C351" i="1"/>
  <c r="E351" i="1"/>
  <c r="S351" i="1"/>
  <c r="T351" i="1"/>
  <c r="U351" i="1"/>
  <c r="BB351" i="1"/>
  <c r="BD351" i="1"/>
  <c r="CE351" i="1"/>
  <c r="A352" i="1"/>
  <c r="C352" i="1"/>
  <c r="E352" i="1"/>
  <c r="S352" i="1"/>
  <c r="T352" i="1"/>
  <c r="U352" i="1"/>
  <c r="BB352" i="1"/>
  <c r="BD352" i="1"/>
  <c r="CE352" i="1"/>
  <c r="A353" i="1"/>
  <c r="C353" i="1"/>
  <c r="E353" i="1"/>
  <c r="S353" i="1"/>
  <c r="T353" i="1"/>
  <c r="U353" i="1"/>
  <c r="BB353" i="1"/>
  <c r="BD353" i="1"/>
  <c r="CE353" i="1"/>
  <c r="A354" i="1"/>
  <c r="C354" i="1"/>
  <c r="E354" i="1"/>
  <c r="S354" i="1"/>
  <c r="T354" i="1"/>
  <c r="U354" i="1"/>
  <c r="BB354" i="1"/>
  <c r="BD354" i="1"/>
  <c r="CE354" i="1"/>
  <c r="A355" i="1"/>
  <c r="C355" i="1"/>
  <c r="E355" i="1"/>
  <c r="S355" i="1"/>
  <c r="T355" i="1"/>
  <c r="U355" i="1"/>
  <c r="BB355" i="1"/>
  <c r="BD355" i="1"/>
  <c r="CE355" i="1"/>
  <c r="A356" i="1"/>
  <c r="C356" i="1"/>
  <c r="E356" i="1"/>
  <c r="S356" i="1"/>
  <c r="T356" i="1"/>
  <c r="U356" i="1"/>
  <c r="BB356" i="1"/>
  <c r="BD356" i="1"/>
  <c r="CE356" i="1"/>
  <c r="A357" i="1"/>
  <c r="C357" i="1"/>
  <c r="E357" i="1"/>
  <c r="S357" i="1"/>
  <c r="T357" i="1"/>
  <c r="U357" i="1"/>
  <c r="BB357" i="1"/>
  <c r="BD357" i="1"/>
  <c r="CE357" i="1"/>
  <c r="A358" i="1"/>
  <c r="C358" i="1"/>
  <c r="E358" i="1"/>
  <c r="S358" i="1"/>
  <c r="T358" i="1"/>
  <c r="U358" i="1"/>
  <c r="BB358" i="1"/>
  <c r="BD358" i="1"/>
  <c r="CE358" i="1"/>
  <c r="A359" i="1"/>
  <c r="C359" i="1"/>
  <c r="E359" i="1"/>
  <c r="S359" i="1"/>
  <c r="T359" i="1"/>
  <c r="U359" i="1"/>
  <c r="BB359" i="1"/>
  <c r="BD359" i="1"/>
  <c r="CE359" i="1"/>
  <c r="A360" i="1"/>
  <c r="C360" i="1"/>
  <c r="E360" i="1"/>
  <c r="S360" i="1"/>
  <c r="T360" i="1"/>
  <c r="U360" i="1"/>
  <c r="BB360" i="1"/>
  <c r="BD360" i="1"/>
  <c r="CE360" i="1"/>
  <c r="A361" i="1"/>
  <c r="C361" i="1"/>
  <c r="E361" i="1"/>
  <c r="S361" i="1"/>
  <c r="T361" i="1"/>
  <c r="U361" i="1"/>
  <c r="BB361" i="1"/>
  <c r="BD361" i="1"/>
  <c r="CE361" i="1"/>
  <c r="A362" i="1"/>
  <c r="C362" i="1"/>
  <c r="E362" i="1"/>
  <c r="S362" i="1"/>
  <c r="T362" i="1"/>
  <c r="U362" i="1"/>
  <c r="BB362" i="1"/>
  <c r="BD362" i="1"/>
  <c r="CE362" i="1"/>
  <c r="A363" i="1"/>
  <c r="C363" i="1"/>
  <c r="E363" i="1"/>
  <c r="S363" i="1"/>
  <c r="T363" i="1"/>
  <c r="U363" i="1"/>
  <c r="BB363" i="1"/>
  <c r="BD363" i="1"/>
  <c r="CE363" i="1"/>
  <c r="A364" i="1"/>
  <c r="C364" i="1"/>
  <c r="E364" i="1"/>
  <c r="S364" i="1"/>
  <c r="T364" i="1"/>
  <c r="U364" i="1"/>
  <c r="BB364" i="1"/>
  <c r="BD364" i="1"/>
  <c r="CE364" i="1"/>
  <c r="A365" i="1"/>
  <c r="C365" i="1"/>
  <c r="E365" i="1"/>
  <c r="S365" i="1"/>
  <c r="T365" i="1"/>
  <c r="U365" i="1"/>
  <c r="BB365" i="1"/>
  <c r="BD365" i="1"/>
  <c r="CE365" i="1"/>
  <c r="A366" i="1"/>
  <c r="C366" i="1"/>
  <c r="E366" i="1"/>
  <c r="S366" i="1"/>
  <c r="T366" i="1"/>
  <c r="U366" i="1"/>
  <c r="BB366" i="1"/>
  <c r="BD366" i="1"/>
  <c r="CE366" i="1"/>
  <c r="A367" i="1"/>
  <c r="C367" i="1"/>
  <c r="E367" i="1"/>
  <c r="S367" i="1"/>
  <c r="T367" i="1"/>
  <c r="U367" i="1"/>
  <c r="BB367" i="1"/>
  <c r="BD367" i="1"/>
  <c r="CE367" i="1"/>
  <c r="A368" i="1"/>
  <c r="C368" i="1"/>
  <c r="E368" i="1"/>
  <c r="S368" i="1"/>
  <c r="T368" i="1"/>
  <c r="U368" i="1"/>
  <c r="BB368" i="1"/>
  <c r="BD368" i="1"/>
  <c r="CE368" i="1"/>
  <c r="A369" i="1"/>
  <c r="C369" i="1"/>
  <c r="E369" i="1"/>
  <c r="S369" i="1"/>
  <c r="T369" i="1"/>
  <c r="U369" i="1"/>
  <c r="BB369" i="1"/>
  <c r="BD369" i="1"/>
  <c r="CE369" i="1"/>
  <c r="A370" i="1"/>
  <c r="C370" i="1"/>
  <c r="E370" i="1"/>
  <c r="S370" i="1"/>
  <c r="T370" i="1"/>
  <c r="U370" i="1"/>
  <c r="BB370" i="1"/>
  <c r="BD370" i="1"/>
  <c r="CE370" i="1"/>
  <c r="A371" i="1"/>
  <c r="C371" i="1"/>
  <c r="E371" i="1"/>
  <c r="S371" i="1"/>
  <c r="T371" i="1"/>
  <c r="U371" i="1"/>
  <c r="BB371" i="1"/>
  <c r="BD371" i="1"/>
  <c r="CE371" i="1"/>
  <c r="A372" i="1"/>
  <c r="C372" i="1"/>
  <c r="E372" i="1"/>
  <c r="S372" i="1"/>
  <c r="T372" i="1"/>
  <c r="U372" i="1"/>
  <c r="BB372" i="1"/>
  <c r="BD372" i="1"/>
  <c r="CE372" i="1"/>
  <c r="A373" i="1"/>
  <c r="C373" i="1"/>
  <c r="E373" i="1"/>
  <c r="S373" i="1"/>
  <c r="T373" i="1"/>
  <c r="U373" i="1"/>
  <c r="BB373" i="1"/>
  <c r="BD373" i="1"/>
  <c r="CE373" i="1"/>
  <c r="A374" i="1"/>
  <c r="C374" i="1"/>
  <c r="E374" i="1"/>
  <c r="S374" i="1"/>
  <c r="T374" i="1"/>
  <c r="U374" i="1"/>
  <c r="BB374" i="1"/>
  <c r="BD374" i="1"/>
  <c r="CE374" i="1"/>
  <c r="A375" i="1"/>
  <c r="C375" i="1"/>
  <c r="E375" i="1"/>
  <c r="S375" i="1"/>
  <c r="T375" i="1"/>
  <c r="U375" i="1"/>
  <c r="BB375" i="1"/>
  <c r="BD375" i="1"/>
  <c r="CE375" i="1"/>
  <c r="A376" i="1"/>
  <c r="C376" i="1"/>
  <c r="E376" i="1"/>
  <c r="S376" i="1"/>
  <c r="T376" i="1"/>
  <c r="U376" i="1"/>
  <c r="BB376" i="1"/>
  <c r="BD376" i="1"/>
  <c r="CE376" i="1"/>
  <c r="A377" i="1"/>
  <c r="C377" i="1"/>
  <c r="E377" i="1"/>
  <c r="S377" i="1"/>
  <c r="T377" i="1"/>
  <c r="U377" i="1"/>
  <c r="BB377" i="1"/>
  <c r="BD377" i="1"/>
  <c r="CE377" i="1"/>
  <c r="A378" i="1"/>
  <c r="C378" i="1"/>
  <c r="E378" i="1"/>
  <c r="S378" i="1"/>
  <c r="T378" i="1"/>
  <c r="U378" i="1"/>
  <c r="BB378" i="1"/>
  <c r="BD378" i="1"/>
  <c r="CE378" i="1"/>
  <c r="A379" i="1"/>
  <c r="C379" i="1"/>
  <c r="E379" i="1"/>
  <c r="S379" i="1"/>
  <c r="T379" i="1"/>
  <c r="U379" i="1"/>
  <c r="BB379" i="1"/>
  <c r="BD379" i="1"/>
  <c r="CE379" i="1"/>
  <c r="A380" i="1"/>
  <c r="C380" i="1"/>
  <c r="E380" i="1"/>
  <c r="S380" i="1"/>
  <c r="T380" i="1"/>
  <c r="U380" i="1"/>
  <c r="BB380" i="1"/>
  <c r="BD380" i="1"/>
  <c r="CE380" i="1"/>
  <c r="A381" i="1"/>
  <c r="C381" i="1"/>
  <c r="E381" i="1"/>
  <c r="S381" i="1"/>
  <c r="T381" i="1"/>
  <c r="U381" i="1"/>
  <c r="BB381" i="1"/>
  <c r="BD381" i="1"/>
  <c r="CE381" i="1"/>
  <c r="A382" i="1"/>
  <c r="C382" i="1"/>
  <c r="E382" i="1"/>
  <c r="S382" i="1"/>
  <c r="T382" i="1"/>
  <c r="U382" i="1"/>
  <c r="BB382" i="1"/>
  <c r="BD382" i="1"/>
  <c r="CE382" i="1"/>
  <c r="A383" i="1"/>
  <c r="C383" i="1"/>
  <c r="E383" i="1"/>
  <c r="S383" i="1"/>
  <c r="T383" i="1"/>
  <c r="U383" i="1"/>
  <c r="BB383" i="1"/>
  <c r="BD383" i="1"/>
  <c r="CE383" i="1"/>
  <c r="A384" i="1"/>
  <c r="C384" i="1"/>
  <c r="E384" i="1"/>
  <c r="S384" i="1"/>
  <c r="T384" i="1"/>
  <c r="U384" i="1"/>
  <c r="BB384" i="1"/>
  <c r="BD384" i="1"/>
  <c r="CE384" i="1"/>
  <c r="A385" i="1"/>
  <c r="C385" i="1"/>
  <c r="E385" i="1"/>
  <c r="S385" i="1"/>
  <c r="T385" i="1"/>
  <c r="U385" i="1"/>
  <c r="BB385" i="1"/>
  <c r="BD385" i="1"/>
  <c r="CE385" i="1"/>
  <c r="A386" i="1"/>
  <c r="C386" i="1"/>
  <c r="E386" i="1"/>
  <c r="S386" i="1"/>
  <c r="T386" i="1"/>
  <c r="U386" i="1"/>
  <c r="BB386" i="1"/>
  <c r="BD386" i="1"/>
  <c r="CE386" i="1"/>
  <c r="A387" i="1"/>
  <c r="C387" i="1"/>
  <c r="E387" i="1"/>
  <c r="S387" i="1"/>
  <c r="T387" i="1"/>
  <c r="U387" i="1"/>
  <c r="BB387" i="1"/>
  <c r="BD387" i="1"/>
  <c r="CE387" i="1"/>
  <c r="A388" i="1"/>
  <c r="C388" i="1"/>
  <c r="E388" i="1"/>
  <c r="S388" i="1"/>
  <c r="T388" i="1"/>
  <c r="U388" i="1"/>
  <c r="BB388" i="1"/>
  <c r="BD388" i="1"/>
  <c r="CE388" i="1"/>
  <c r="A389" i="1"/>
  <c r="C389" i="1"/>
  <c r="E389" i="1"/>
  <c r="S389" i="1"/>
  <c r="T389" i="1"/>
  <c r="U389" i="1"/>
  <c r="BB389" i="1"/>
  <c r="BD389" i="1"/>
  <c r="CE389" i="1"/>
  <c r="A390" i="1"/>
  <c r="C390" i="1"/>
  <c r="E390" i="1"/>
  <c r="S390" i="1"/>
  <c r="T390" i="1"/>
  <c r="U390" i="1"/>
  <c r="BB390" i="1"/>
  <c r="BD390" i="1"/>
  <c r="CE390" i="1"/>
  <c r="A391" i="1"/>
  <c r="C391" i="1"/>
  <c r="E391" i="1"/>
  <c r="S391" i="1"/>
  <c r="T391" i="1"/>
  <c r="U391" i="1"/>
  <c r="BB391" i="1"/>
  <c r="BD391" i="1"/>
  <c r="CE391" i="1"/>
  <c r="A392" i="1"/>
  <c r="C392" i="1"/>
  <c r="E392" i="1"/>
  <c r="S392" i="1"/>
  <c r="T392" i="1"/>
  <c r="U392" i="1"/>
  <c r="BB392" i="1"/>
  <c r="BD392" i="1"/>
  <c r="CE392" i="1"/>
  <c r="A393" i="1"/>
  <c r="C393" i="1"/>
  <c r="E393" i="1"/>
  <c r="S393" i="1"/>
  <c r="T393" i="1"/>
  <c r="U393" i="1"/>
  <c r="BB393" i="1"/>
  <c r="BD393" i="1"/>
  <c r="CE393" i="1"/>
  <c r="A394" i="1"/>
  <c r="C394" i="1"/>
  <c r="E394" i="1"/>
  <c r="S394" i="1"/>
  <c r="T394" i="1"/>
  <c r="U394" i="1"/>
  <c r="BB394" i="1"/>
  <c r="BD394" i="1"/>
  <c r="CE394" i="1"/>
  <c r="A395" i="1"/>
  <c r="C395" i="1"/>
  <c r="E395" i="1"/>
  <c r="S395" i="1"/>
  <c r="T395" i="1"/>
  <c r="U395" i="1"/>
  <c r="BB395" i="1"/>
  <c r="BD395" i="1"/>
  <c r="CE395" i="1"/>
  <c r="A396" i="1"/>
  <c r="C396" i="1"/>
  <c r="E396" i="1"/>
  <c r="S396" i="1"/>
  <c r="T396" i="1"/>
  <c r="U396" i="1"/>
  <c r="BB396" i="1"/>
  <c r="BD396" i="1"/>
  <c r="CE396" i="1"/>
  <c r="A397" i="1"/>
  <c r="C397" i="1"/>
  <c r="E397" i="1"/>
  <c r="S397" i="1"/>
  <c r="T397" i="1"/>
  <c r="U397" i="1"/>
  <c r="BB397" i="1"/>
  <c r="BD397" i="1"/>
  <c r="CE397" i="1"/>
  <c r="A398" i="1"/>
  <c r="C398" i="1"/>
  <c r="E398" i="1"/>
  <c r="S398" i="1"/>
  <c r="T398" i="1"/>
  <c r="U398" i="1"/>
  <c r="BB398" i="1"/>
  <c r="BD398" i="1"/>
  <c r="CE398" i="1"/>
  <c r="A399" i="1"/>
  <c r="C399" i="1"/>
  <c r="E399" i="1"/>
  <c r="S399" i="1"/>
  <c r="T399" i="1"/>
  <c r="U399" i="1"/>
  <c r="BB399" i="1"/>
  <c r="BD399" i="1"/>
  <c r="CE399" i="1"/>
  <c r="A400" i="1"/>
  <c r="C400" i="1"/>
  <c r="E400" i="1"/>
  <c r="S400" i="1"/>
  <c r="T400" i="1"/>
  <c r="U400" i="1"/>
  <c r="BB400" i="1"/>
  <c r="BD400" i="1"/>
  <c r="CE400" i="1"/>
  <c r="A401" i="1"/>
  <c r="C401" i="1"/>
  <c r="E401" i="1"/>
  <c r="S401" i="1"/>
  <c r="T401" i="1"/>
  <c r="U401" i="1"/>
  <c r="BB401" i="1"/>
  <c r="BD401" i="1"/>
  <c r="CE401" i="1"/>
  <c r="A402" i="1"/>
  <c r="C402" i="1"/>
  <c r="E402" i="1"/>
  <c r="S402" i="1"/>
  <c r="T402" i="1"/>
  <c r="U402" i="1"/>
  <c r="BB402" i="1"/>
  <c r="BD402" i="1"/>
  <c r="CE402" i="1"/>
  <c r="A403" i="1"/>
  <c r="C403" i="1"/>
  <c r="E403" i="1"/>
  <c r="S403" i="1"/>
  <c r="T403" i="1"/>
  <c r="U403" i="1"/>
  <c r="BB403" i="1"/>
  <c r="BD403" i="1"/>
  <c r="CE403" i="1"/>
  <c r="A404" i="1"/>
  <c r="C404" i="1"/>
  <c r="E404" i="1"/>
  <c r="S404" i="1"/>
  <c r="T404" i="1"/>
  <c r="U404" i="1"/>
  <c r="BB404" i="1"/>
  <c r="BD404" i="1"/>
  <c r="CE404" i="1"/>
  <c r="A405" i="1"/>
  <c r="C405" i="1"/>
  <c r="E405" i="1"/>
  <c r="S405" i="1"/>
  <c r="T405" i="1"/>
  <c r="U405" i="1"/>
  <c r="BB405" i="1"/>
  <c r="BD405" i="1"/>
  <c r="CE405" i="1"/>
  <c r="A406" i="1"/>
  <c r="C406" i="1"/>
  <c r="E406" i="1"/>
  <c r="S406" i="1"/>
  <c r="T406" i="1"/>
  <c r="U406" i="1"/>
  <c r="BB406" i="1"/>
  <c r="BD406" i="1"/>
  <c r="CE406" i="1"/>
  <c r="A407" i="1"/>
  <c r="C407" i="1"/>
  <c r="E407" i="1"/>
  <c r="S407" i="1"/>
  <c r="T407" i="1"/>
  <c r="U407" i="1"/>
  <c r="BB407" i="1"/>
  <c r="BD407" i="1"/>
  <c r="CE407" i="1"/>
  <c r="A408" i="1"/>
  <c r="C408" i="1"/>
  <c r="E408" i="1"/>
  <c r="S408" i="1"/>
  <c r="T408" i="1"/>
  <c r="U408" i="1"/>
  <c r="BB408" i="1"/>
  <c r="BD408" i="1"/>
  <c r="CE408" i="1"/>
  <c r="A409" i="1"/>
  <c r="C409" i="1"/>
  <c r="E409" i="1"/>
  <c r="S409" i="1"/>
  <c r="T409" i="1"/>
  <c r="U409" i="1"/>
  <c r="BB409" i="1"/>
  <c r="BD409" i="1"/>
  <c r="CE409" i="1"/>
  <c r="A410" i="1"/>
  <c r="C410" i="1"/>
  <c r="E410" i="1"/>
  <c r="S410" i="1"/>
  <c r="T410" i="1"/>
  <c r="U410" i="1"/>
  <c r="BB410" i="1"/>
  <c r="BD410" i="1"/>
  <c r="CE410" i="1"/>
  <c r="A411" i="1"/>
  <c r="C411" i="1"/>
  <c r="E411" i="1"/>
  <c r="S411" i="1"/>
  <c r="T411" i="1"/>
  <c r="U411" i="1"/>
  <c r="BB411" i="1"/>
  <c r="BD411" i="1"/>
  <c r="CE411" i="1"/>
  <c r="A412" i="1"/>
  <c r="C412" i="1"/>
  <c r="E412" i="1"/>
  <c r="S412" i="1"/>
  <c r="T412" i="1"/>
  <c r="U412" i="1"/>
  <c r="BB412" i="1"/>
  <c r="BD412" i="1"/>
  <c r="CE412" i="1"/>
  <c r="A413" i="1"/>
  <c r="C413" i="1"/>
  <c r="E413" i="1"/>
  <c r="S413" i="1"/>
  <c r="T413" i="1"/>
  <c r="U413" i="1"/>
  <c r="BB413" i="1"/>
  <c r="BD413" i="1"/>
  <c r="CE413" i="1"/>
  <c r="A414" i="1"/>
  <c r="C414" i="1"/>
  <c r="E414" i="1"/>
  <c r="S414" i="1"/>
  <c r="T414" i="1"/>
  <c r="U414" i="1"/>
  <c r="BB414" i="1"/>
  <c r="BD414" i="1"/>
  <c r="CE414" i="1"/>
  <c r="A415" i="1"/>
  <c r="C415" i="1"/>
  <c r="E415" i="1"/>
  <c r="S415" i="1"/>
  <c r="T415" i="1"/>
  <c r="U415" i="1"/>
  <c r="BB415" i="1"/>
  <c r="BD415" i="1"/>
  <c r="CE415" i="1"/>
  <c r="A416" i="1"/>
  <c r="C416" i="1"/>
  <c r="E416" i="1"/>
  <c r="S416" i="1"/>
  <c r="T416" i="1"/>
  <c r="U416" i="1"/>
  <c r="BB416" i="1"/>
  <c r="BD416" i="1"/>
  <c r="CE416" i="1"/>
  <c r="A417" i="1"/>
  <c r="C417" i="1"/>
  <c r="E417" i="1"/>
  <c r="S417" i="1"/>
  <c r="T417" i="1"/>
  <c r="U417" i="1"/>
  <c r="BB417" i="1"/>
  <c r="BD417" i="1"/>
  <c r="CE417" i="1"/>
  <c r="A418" i="1"/>
  <c r="C418" i="1"/>
  <c r="E418" i="1"/>
  <c r="S418" i="1"/>
  <c r="T418" i="1"/>
  <c r="U418" i="1"/>
  <c r="BB418" i="1"/>
  <c r="BD418" i="1"/>
  <c r="CE418" i="1"/>
  <c r="A419" i="1"/>
  <c r="C419" i="1"/>
  <c r="E419" i="1"/>
  <c r="S419" i="1"/>
  <c r="T419" i="1"/>
  <c r="U419" i="1"/>
  <c r="BB419" i="1"/>
  <c r="BD419" i="1"/>
  <c r="CE419" i="1"/>
  <c r="A420" i="1"/>
  <c r="C420" i="1"/>
  <c r="E420" i="1"/>
  <c r="S420" i="1"/>
  <c r="T420" i="1"/>
  <c r="U420" i="1"/>
  <c r="BB420" i="1"/>
  <c r="BD420" i="1"/>
  <c r="CE420" i="1"/>
  <c r="A421" i="1"/>
  <c r="C421" i="1"/>
  <c r="E421" i="1"/>
  <c r="S421" i="1"/>
  <c r="T421" i="1"/>
  <c r="U421" i="1"/>
  <c r="BB421" i="1"/>
  <c r="BD421" i="1"/>
  <c r="CE421" i="1"/>
  <c r="A422" i="1"/>
  <c r="C422" i="1"/>
  <c r="E422" i="1"/>
  <c r="S422" i="1"/>
  <c r="T422" i="1"/>
  <c r="U422" i="1"/>
  <c r="BB422" i="1"/>
  <c r="BD422" i="1"/>
  <c r="CE422" i="1"/>
  <c r="A423" i="1"/>
  <c r="C423" i="1"/>
  <c r="E423" i="1"/>
  <c r="S423" i="1"/>
  <c r="T423" i="1"/>
  <c r="U423" i="1"/>
  <c r="BB423" i="1"/>
  <c r="BD423" i="1"/>
  <c r="CE423" i="1"/>
  <c r="A424" i="1"/>
  <c r="C424" i="1"/>
  <c r="E424" i="1"/>
  <c r="S424" i="1"/>
  <c r="T424" i="1"/>
  <c r="U424" i="1"/>
  <c r="BB424" i="1"/>
  <c r="BD424" i="1"/>
  <c r="CE424" i="1"/>
  <c r="A425" i="1"/>
  <c r="C425" i="1"/>
  <c r="E425" i="1"/>
  <c r="S425" i="1"/>
  <c r="T425" i="1"/>
  <c r="U425" i="1"/>
  <c r="BB425" i="1"/>
  <c r="BD425" i="1"/>
  <c r="CE425" i="1"/>
  <c r="A426" i="1"/>
  <c r="C426" i="1"/>
  <c r="E426" i="1"/>
  <c r="S426" i="1"/>
  <c r="T426" i="1"/>
  <c r="U426" i="1"/>
  <c r="BB426" i="1"/>
  <c r="BD426" i="1"/>
  <c r="CE426" i="1"/>
  <c r="A427" i="1"/>
  <c r="C427" i="1"/>
  <c r="E427" i="1"/>
  <c r="S427" i="1"/>
  <c r="T427" i="1"/>
  <c r="U427" i="1"/>
  <c r="BB427" i="1"/>
  <c r="BD427" i="1"/>
  <c r="CE427" i="1"/>
  <c r="A428" i="1"/>
  <c r="C428" i="1"/>
  <c r="E428" i="1"/>
  <c r="S428" i="1"/>
  <c r="T428" i="1"/>
  <c r="U428" i="1"/>
  <c r="BB428" i="1"/>
  <c r="BD428" i="1"/>
  <c r="CE428" i="1"/>
  <c r="A429" i="1"/>
  <c r="C429" i="1"/>
  <c r="E429" i="1"/>
  <c r="S429" i="1"/>
  <c r="T429" i="1"/>
  <c r="U429" i="1"/>
  <c r="BB429" i="1"/>
  <c r="BD429" i="1"/>
  <c r="CE429" i="1"/>
  <c r="A430" i="1"/>
  <c r="C430" i="1"/>
  <c r="E430" i="1"/>
  <c r="S430" i="1"/>
  <c r="T430" i="1"/>
  <c r="U430" i="1"/>
  <c r="BB430" i="1"/>
  <c r="BD430" i="1"/>
  <c r="CE430" i="1"/>
  <c r="A431" i="1"/>
  <c r="C431" i="1"/>
  <c r="E431" i="1"/>
  <c r="S431" i="1"/>
  <c r="T431" i="1"/>
  <c r="U431" i="1"/>
  <c r="BB431" i="1"/>
  <c r="BD431" i="1"/>
  <c r="CE431" i="1"/>
  <c r="A432" i="1"/>
  <c r="C432" i="1"/>
  <c r="E432" i="1"/>
  <c r="S432" i="1"/>
  <c r="T432" i="1"/>
  <c r="U432" i="1"/>
  <c r="BB432" i="1"/>
  <c r="BD432" i="1"/>
  <c r="CE432" i="1"/>
  <c r="A433" i="1"/>
  <c r="C433" i="1"/>
  <c r="E433" i="1"/>
  <c r="S433" i="1"/>
  <c r="T433" i="1"/>
  <c r="U433" i="1"/>
  <c r="BB433" i="1"/>
  <c r="BD433" i="1"/>
  <c r="CE433" i="1"/>
  <c r="A434" i="1"/>
  <c r="C434" i="1"/>
  <c r="E434" i="1"/>
  <c r="S434" i="1"/>
  <c r="T434" i="1"/>
  <c r="U434" i="1"/>
  <c r="BB434" i="1"/>
  <c r="BD434" i="1"/>
  <c r="CE434" i="1"/>
  <c r="A435" i="1"/>
  <c r="C435" i="1"/>
  <c r="E435" i="1"/>
  <c r="S435" i="1"/>
  <c r="T435" i="1"/>
  <c r="U435" i="1"/>
  <c r="BB435" i="1"/>
  <c r="BD435" i="1"/>
  <c r="CE435" i="1"/>
  <c r="A436" i="1"/>
  <c r="C436" i="1"/>
  <c r="E436" i="1"/>
  <c r="S436" i="1"/>
  <c r="T436" i="1"/>
  <c r="U436" i="1"/>
  <c r="BB436" i="1"/>
  <c r="BD436" i="1"/>
  <c r="CE436" i="1"/>
  <c r="A437" i="1"/>
  <c r="C437" i="1"/>
  <c r="E437" i="1"/>
  <c r="S437" i="1"/>
  <c r="T437" i="1"/>
  <c r="U437" i="1"/>
  <c r="BB437" i="1"/>
  <c r="BD437" i="1"/>
  <c r="CE437" i="1"/>
  <c r="A438" i="1"/>
  <c r="C438" i="1"/>
  <c r="E438" i="1"/>
  <c r="S438" i="1"/>
  <c r="T438" i="1"/>
  <c r="U438" i="1"/>
  <c r="BB438" i="1"/>
  <c r="BD438" i="1"/>
  <c r="CE438" i="1"/>
  <c r="A439" i="1"/>
  <c r="C439" i="1"/>
  <c r="E439" i="1"/>
  <c r="S439" i="1"/>
  <c r="T439" i="1"/>
  <c r="U439" i="1"/>
  <c r="BB439" i="1"/>
  <c r="BD439" i="1"/>
  <c r="CE439" i="1"/>
  <c r="A440" i="1"/>
  <c r="C440" i="1"/>
  <c r="E440" i="1"/>
  <c r="S440" i="1"/>
  <c r="T440" i="1"/>
  <c r="U440" i="1"/>
  <c r="BB440" i="1"/>
  <c r="BD440" i="1"/>
  <c r="CE440" i="1"/>
  <c r="A441" i="1"/>
  <c r="C441" i="1"/>
  <c r="E441" i="1"/>
  <c r="S441" i="1"/>
  <c r="T441" i="1"/>
  <c r="U441" i="1"/>
  <c r="BB441" i="1"/>
  <c r="BD441" i="1"/>
  <c r="CE441" i="1"/>
  <c r="A442" i="1"/>
  <c r="C442" i="1"/>
  <c r="E442" i="1"/>
  <c r="S442" i="1"/>
  <c r="T442" i="1"/>
  <c r="U442" i="1"/>
  <c r="BB442" i="1"/>
  <c r="BD442" i="1"/>
  <c r="CE442" i="1"/>
  <c r="A443" i="1"/>
  <c r="C443" i="1"/>
  <c r="E443" i="1"/>
  <c r="S443" i="1"/>
  <c r="T443" i="1"/>
  <c r="U443" i="1"/>
  <c r="BB443" i="1"/>
  <c r="BD443" i="1"/>
  <c r="CE443" i="1"/>
  <c r="A444" i="1"/>
  <c r="C444" i="1"/>
  <c r="E444" i="1"/>
  <c r="S444" i="1"/>
  <c r="T444" i="1"/>
  <c r="U444" i="1"/>
  <c r="BB444" i="1"/>
  <c r="BD444" i="1"/>
  <c r="CE444" i="1"/>
  <c r="A445" i="1"/>
  <c r="C445" i="1"/>
  <c r="E445" i="1"/>
  <c r="S445" i="1"/>
  <c r="T445" i="1"/>
  <c r="U445" i="1"/>
  <c r="BB445" i="1"/>
  <c r="BD445" i="1"/>
  <c r="CE445" i="1"/>
  <c r="A446" i="1"/>
  <c r="C446" i="1"/>
  <c r="E446" i="1"/>
  <c r="S446" i="1"/>
  <c r="T446" i="1"/>
  <c r="U446" i="1"/>
  <c r="BB446" i="1"/>
  <c r="BD446" i="1"/>
  <c r="CE446" i="1"/>
  <c r="A447" i="1"/>
  <c r="C447" i="1"/>
  <c r="E447" i="1"/>
  <c r="S447" i="1"/>
  <c r="T447" i="1"/>
  <c r="U447" i="1"/>
  <c r="BB447" i="1"/>
  <c r="BD447" i="1"/>
  <c r="CE447" i="1"/>
  <c r="A448" i="1"/>
  <c r="C448" i="1"/>
  <c r="E448" i="1"/>
  <c r="S448" i="1"/>
  <c r="T448" i="1"/>
  <c r="U448" i="1"/>
  <c r="BB448" i="1"/>
  <c r="BD448" i="1"/>
  <c r="CE448" i="1"/>
  <c r="A449" i="1"/>
  <c r="C449" i="1"/>
  <c r="E449" i="1"/>
  <c r="S449" i="1"/>
  <c r="T449" i="1"/>
  <c r="U449" i="1"/>
  <c r="BB449" i="1"/>
  <c r="BD449" i="1"/>
  <c r="CE449" i="1"/>
  <c r="A450" i="1"/>
  <c r="C450" i="1"/>
  <c r="E450" i="1"/>
  <c r="S450" i="1"/>
  <c r="T450" i="1"/>
  <c r="U450" i="1"/>
  <c r="BB450" i="1"/>
  <c r="BD450" i="1"/>
  <c r="CE450" i="1"/>
  <c r="A451" i="1"/>
  <c r="C451" i="1"/>
  <c r="E451" i="1"/>
  <c r="S451" i="1"/>
  <c r="T451" i="1"/>
  <c r="U451" i="1"/>
  <c r="BB451" i="1"/>
  <c r="BD451" i="1"/>
  <c r="CE451" i="1"/>
  <c r="A452" i="1"/>
  <c r="C452" i="1"/>
  <c r="E452" i="1"/>
  <c r="S452" i="1"/>
  <c r="T452" i="1"/>
  <c r="U452" i="1"/>
  <c r="BB452" i="1"/>
  <c r="BD452" i="1"/>
  <c r="CE452" i="1"/>
  <c r="A453" i="1"/>
  <c r="C453" i="1"/>
  <c r="E453" i="1"/>
  <c r="S453" i="1"/>
  <c r="T453" i="1"/>
  <c r="U453" i="1"/>
  <c r="BB453" i="1"/>
  <c r="BD453" i="1"/>
  <c r="CE453" i="1"/>
  <c r="A454" i="1"/>
  <c r="C454" i="1"/>
  <c r="E454" i="1"/>
  <c r="S454" i="1"/>
  <c r="T454" i="1"/>
  <c r="U454" i="1"/>
  <c r="BB454" i="1"/>
  <c r="BD454" i="1"/>
  <c r="CE454" i="1"/>
  <c r="A455" i="1"/>
  <c r="C455" i="1"/>
  <c r="E455" i="1"/>
  <c r="S455" i="1"/>
  <c r="T455" i="1"/>
  <c r="U455" i="1"/>
  <c r="BB455" i="1"/>
  <c r="BD455" i="1"/>
  <c r="CE455" i="1"/>
  <c r="A456" i="1"/>
  <c r="C456" i="1"/>
  <c r="E456" i="1"/>
  <c r="S456" i="1"/>
  <c r="T456" i="1"/>
  <c r="U456" i="1"/>
  <c r="BB456" i="1"/>
  <c r="BD456" i="1"/>
  <c r="CE456" i="1"/>
  <c r="A457" i="1"/>
  <c r="C457" i="1"/>
  <c r="E457" i="1"/>
  <c r="S457" i="1"/>
  <c r="T457" i="1"/>
  <c r="U457" i="1"/>
  <c r="BB457" i="1"/>
  <c r="BD457" i="1"/>
  <c r="CE457" i="1"/>
  <c r="A458" i="1"/>
  <c r="C458" i="1"/>
  <c r="E458" i="1"/>
  <c r="S458" i="1"/>
  <c r="T458" i="1"/>
  <c r="U458" i="1"/>
  <c r="BB458" i="1"/>
  <c r="BD458" i="1"/>
  <c r="CE458" i="1"/>
  <c r="A459" i="1"/>
  <c r="C459" i="1"/>
  <c r="E459" i="1"/>
  <c r="S459" i="1"/>
  <c r="T459" i="1"/>
  <c r="U459" i="1"/>
  <c r="BB459" i="1"/>
  <c r="BD459" i="1"/>
  <c r="CE459" i="1"/>
  <c r="A460" i="1"/>
  <c r="C460" i="1"/>
  <c r="E460" i="1"/>
  <c r="S460" i="1"/>
  <c r="T460" i="1"/>
  <c r="U460" i="1"/>
  <c r="BB460" i="1"/>
  <c r="BD460" i="1"/>
  <c r="CE460" i="1"/>
  <c r="A461" i="1"/>
  <c r="C461" i="1"/>
  <c r="E461" i="1"/>
  <c r="S461" i="1"/>
  <c r="T461" i="1"/>
  <c r="U461" i="1"/>
  <c r="BB461" i="1"/>
  <c r="BD461" i="1"/>
  <c r="CE461" i="1"/>
  <c r="A462" i="1"/>
  <c r="C462" i="1"/>
  <c r="E462" i="1"/>
  <c r="S462" i="1"/>
  <c r="T462" i="1"/>
  <c r="U462" i="1"/>
  <c r="BB462" i="1"/>
  <c r="BD462" i="1"/>
  <c r="CE462" i="1"/>
  <c r="A463" i="1"/>
  <c r="C463" i="1"/>
  <c r="E463" i="1"/>
  <c r="S463" i="1"/>
  <c r="T463" i="1"/>
  <c r="U463" i="1"/>
  <c r="BB463" i="1"/>
  <c r="BD463" i="1"/>
  <c r="CE463" i="1"/>
  <c r="A464" i="1"/>
  <c r="C464" i="1"/>
  <c r="E464" i="1"/>
  <c r="S464" i="1"/>
  <c r="T464" i="1"/>
  <c r="U464" i="1"/>
  <c r="BB464" i="1"/>
  <c r="BD464" i="1"/>
  <c r="CE464" i="1"/>
  <c r="A465" i="1"/>
  <c r="C465" i="1"/>
  <c r="E465" i="1"/>
  <c r="S465" i="1"/>
  <c r="T465" i="1"/>
  <c r="U465" i="1"/>
  <c r="BB465" i="1"/>
  <c r="BD465" i="1"/>
  <c r="CE465" i="1"/>
  <c r="A466" i="1"/>
  <c r="C466" i="1"/>
  <c r="E466" i="1"/>
  <c r="S466" i="1"/>
  <c r="T466" i="1"/>
  <c r="U466" i="1"/>
  <c r="BB466" i="1"/>
  <c r="BD466" i="1"/>
  <c r="CE466" i="1"/>
  <c r="A467" i="1"/>
  <c r="C467" i="1"/>
  <c r="E467" i="1"/>
  <c r="S467" i="1"/>
  <c r="T467" i="1"/>
  <c r="U467" i="1"/>
  <c r="BB467" i="1"/>
  <c r="BD467" i="1"/>
  <c r="CE467" i="1"/>
  <c r="A468" i="1"/>
  <c r="C468" i="1"/>
  <c r="E468" i="1"/>
  <c r="S468" i="1"/>
  <c r="T468" i="1"/>
  <c r="U468" i="1"/>
  <c r="BB468" i="1"/>
  <c r="BD468" i="1"/>
  <c r="CE468" i="1"/>
  <c r="A469" i="1"/>
  <c r="C469" i="1"/>
  <c r="E469" i="1"/>
  <c r="S469" i="1"/>
  <c r="T469" i="1"/>
  <c r="U469" i="1"/>
  <c r="BB469" i="1"/>
  <c r="BD469" i="1"/>
  <c r="CE469" i="1"/>
  <c r="A470" i="1"/>
  <c r="C470" i="1"/>
  <c r="E470" i="1"/>
  <c r="S470" i="1"/>
  <c r="T470" i="1"/>
  <c r="U470" i="1"/>
  <c r="BB470" i="1"/>
  <c r="BD470" i="1"/>
  <c r="CE470" i="1"/>
  <c r="A471" i="1"/>
  <c r="C471" i="1"/>
  <c r="E471" i="1"/>
  <c r="S471" i="1"/>
  <c r="T471" i="1"/>
  <c r="U471" i="1"/>
  <c r="BB471" i="1"/>
  <c r="BD471" i="1"/>
  <c r="CE471" i="1"/>
  <c r="A472" i="1"/>
  <c r="C472" i="1"/>
  <c r="E472" i="1"/>
  <c r="S472" i="1"/>
  <c r="T472" i="1"/>
  <c r="U472" i="1"/>
  <c r="BB472" i="1"/>
  <c r="BD472" i="1"/>
  <c r="CE472" i="1"/>
  <c r="A473" i="1"/>
  <c r="C473" i="1"/>
  <c r="E473" i="1"/>
  <c r="S473" i="1"/>
  <c r="T473" i="1"/>
  <c r="U473" i="1"/>
  <c r="BB473" i="1"/>
  <c r="BD473" i="1"/>
  <c r="CE473" i="1"/>
  <c r="A474" i="1"/>
  <c r="C474" i="1"/>
  <c r="E474" i="1"/>
  <c r="S474" i="1"/>
  <c r="T474" i="1"/>
  <c r="U474" i="1"/>
  <c r="BB474" i="1"/>
  <c r="BD474" i="1"/>
  <c r="CE474" i="1"/>
  <c r="A475" i="1"/>
  <c r="C475" i="1"/>
  <c r="E475" i="1"/>
  <c r="S475" i="1"/>
  <c r="T475" i="1"/>
  <c r="U475" i="1"/>
  <c r="BB475" i="1"/>
  <c r="BD475" i="1"/>
  <c r="CE475" i="1"/>
  <c r="A476" i="1"/>
  <c r="C476" i="1"/>
  <c r="E476" i="1"/>
  <c r="S476" i="1"/>
  <c r="T476" i="1"/>
  <c r="U476" i="1"/>
  <c r="BB476" i="1"/>
  <c r="BD476" i="1"/>
  <c r="CE476" i="1"/>
  <c r="A477" i="1"/>
  <c r="C477" i="1"/>
  <c r="E477" i="1"/>
  <c r="S477" i="1"/>
  <c r="T477" i="1"/>
  <c r="U477" i="1"/>
  <c r="BB477" i="1"/>
  <c r="BD477" i="1"/>
  <c r="CE477" i="1"/>
  <c r="A478" i="1"/>
  <c r="C478" i="1"/>
  <c r="E478" i="1"/>
  <c r="S478" i="1"/>
  <c r="T478" i="1"/>
  <c r="U478" i="1"/>
  <c r="BB478" i="1"/>
  <c r="BD478" i="1"/>
  <c r="CE478" i="1"/>
  <c r="A479" i="1"/>
  <c r="C479" i="1"/>
  <c r="E479" i="1"/>
  <c r="S479" i="1"/>
  <c r="T479" i="1"/>
  <c r="U479" i="1"/>
  <c r="BB479" i="1"/>
  <c r="BD479" i="1"/>
  <c r="CE479" i="1"/>
  <c r="A480" i="1"/>
  <c r="C480" i="1"/>
  <c r="E480" i="1"/>
  <c r="S480" i="1"/>
  <c r="T480" i="1"/>
  <c r="U480" i="1"/>
  <c r="BB480" i="1"/>
  <c r="BD480" i="1"/>
  <c r="CE480" i="1"/>
  <c r="A481" i="1"/>
  <c r="C481" i="1"/>
  <c r="E481" i="1"/>
  <c r="S481" i="1"/>
  <c r="T481" i="1"/>
  <c r="U481" i="1"/>
  <c r="BB481" i="1"/>
  <c r="BD481" i="1"/>
  <c r="CE481" i="1"/>
  <c r="A482" i="1"/>
  <c r="C482" i="1"/>
  <c r="E482" i="1"/>
  <c r="S482" i="1"/>
  <c r="T482" i="1"/>
  <c r="U482" i="1"/>
  <c r="BB482" i="1"/>
  <c r="BD482" i="1"/>
  <c r="CE482" i="1"/>
  <c r="A483" i="1"/>
  <c r="C483" i="1"/>
  <c r="E483" i="1"/>
  <c r="S483" i="1"/>
  <c r="T483" i="1"/>
  <c r="U483" i="1"/>
  <c r="BB483" i="1"/>
  <c r="BD483" i="1"/>
  <c r="CE483" i="1"/>
  <c r="A484" i="1"/>
  <c r="C484" i="1"/>
  <c r="E484" i="1"/>
  <c r="S484" i="1"/>
  <c r="T484" i="1"/>
  <c r="U484" i="1"/>
  <c r="BB484" i="1"/>
  <c r="BD484" i="1"/>
  <c r="CE484" i="1"/>
  <c r="A485" i="1"/>
  <c r="C485" i="1"/>
  <c r="E485" i="1"/>
  <c r="S485" i="1"/>
  <c r="T485" i="1"/>
  <c r="U485" i="1"/>
  <c r="BB485" i="1"/>
  <c r="BD485" i="1"/>
  <c r="CE485" i="1"/>
  <c r="A486" i="1"/>
  <c r="C486" i="1"/>
  <c r="E486" i="1"/>
  <c r="S486" i="1"/>
  <c r="T486" i="1"/>
  <c r="U486" i="1"/>
  <c r="BB486" i="1"/>
  <c r="BD486" i="1"/>
  <c r="CE486" i="1"/>
  <c r="A487" i="1"/>
  <c r="C487" i="1"/>
  <c r="E487" i="1"/>
  <c r="S487" i="1"/>
  <c r="T487" i="1"/>
  <c r="U487" i="1"/>
  <c r="BB487" i="1"/>
  <c r="BD487" i="1"/>
  <c r="CE487" i="1"/>
  <c r="A488" i="1"/>
  <c r="C488" i="1"/>
  <c r="E488" i="1"/>
  <c r="S488" i="1"/>
  <c r="T488" i="1"/>
  <c r="U488" i="1"/>
  <c r="BB488" i="1"/>
  <c r="BD488" i="1"/>
  <c r="CE488" i="1"/>
  <c r="A489" i="1"/>
  <c r="C489" i="1"/>
  <c r="E489" i="1"/>
  <c r="S489" i="1"/>
  <c r="T489" i="1"/>
  <c r="U489" i="1"/>
  <c r="BB489" i="1"/>
  <c r="BD489" i="1"/>
  <c r="CE489" i="1"/>
  <c r="A490" i="1"/>
  <c r="C490" i="1"/>
  <c r="E490" i="1"/>
  <c r="S490" i="1"/>
  <c r="T490" i="1"/>
  <c r="U490" i="1"/>
  <c r="BB490" i="1"/>
  <c r="BD490" i="1"/>
  <c r="CE490" i="1"/>
  <c r="A491" i="1"/>
  <c r="C491" i="1"/>
  <c r="E491" i="1"/>
  <c r="S491" i="1"/>
  <c r="T491" i="1"/>
  <c r="U491" i="1"/>
  <c r="BB491" i="1"/>
  <c r="BD491" i="1"/>
  <c r="CE491" i="1"/>
  <c r="A492" i="1"/>
  <c r="C492" i="1"/>
  <c r="E492" i="1"/>
  <c r="S492" i="1"/>
  <c r="T492" i="1"/>
  <c r="U492" i="1"/>
  <c r="BB492" i="1"/>
  <c r="BD492" i="1"/>
  <c r="CE492" i="1"/>
  <c r="A493" i="1"/>
  <c r="C493" i="1"/>
  <c r="E493" i="1"/>
  <c r="S493" i="1"/>
  <c r="T493" i="1"/>
  <c r="U493" i="1"/>
  <c r="BB493" i="1"/>
  <c r="BD493" i="1"/>
  <c r="CE493" i="1"/>
  <c r="A494" i="1"/>
  <c r="C494" i="1"/>
  <c r="E494" i="1"/>
  <c r="S494" i="1"/>
  <c r="T494" i="1"/>
  <c r="U494" i="1"/>
  <c r="BB494" i="1"/>
  <c r="BD494" i="1"/>
  <c r="CE494" i="1"/>
  <c r="A495" i="1"/>
  <c r="C495" i="1"/>
  <c r="E495" i="1"/>
  <c r="S495" i="1"/>
  <c r="T495" i="1"/>
  <c r="U495" i="1"/>
  <c r="BB495" i="1"/>
  <c r="BD495" i="1"/>
  <c r="CE495" i="1"/>
  <c r="A496" i="1"/>
  <c r="C496" i="1"/>
  <c r="E496" i="1"/>
  <c r="S496" i="1"/>
  <c r="T496" i="1"/>
  <c r="U496" i="1"/>
  <c r="BB496" i="1"/>
  <c r="BD496" i="1"/>
  <c r="CE496" i="1"/>
  <c r="A497" i="1"/>
  <c r="C497" i="1"/>
  <c r="E497" i="1"/>
  <c r="S497" i="1"/>
  <c r="T497" i="1"/>
  <c r="U497" i="1"/>
  <c r="BB497" i="1"/>
  <c r="BD497" i="1"/>
  <c r="CE497" i="1"/>
  <c r="A498" i="1"/>
  <c r="C498" i="1"/>
  <c r="E498" i="1"/>
  <c r="S498" i="1"/>
  <c r="T498" i="1"/>
  <c r="U498" i="1"/>
  <c r="BB498" i="1"/>
  <c r="BD498" i="1"/>
  <c r="CE498" i="1"/>
  <c r="A499" i="1"/>
  <c r="C499" i="1"/>
  <c r="E499" i="1"/>
  <c r="S499" i="1"/>
  <c r="T499" i="1"/>
  <c r="U499" i="1"/>
  <c r="BB499" i="1"/>
  <c r="BD499" i="1"/>
  <c r="CE499" i="1"/>
  <c r="A500" i="1"/>
  <c r="C500" i="1"/>
  <c r="E500" i="1"/>
  <c r="S500" i="1"/>
  <c r="T500" i="1"/>
  <c r="U500" i="1"/>
  <c r="BB500" i="1"/>
  <c r="BD500" i="1"/>
  <c r="CE500" i="1"/>
  <c r="A501" i="1"/>
  <c r="C501" i="1"/>
  <c r="E501" i="1"/>
  <c r="S501" i="1"/>
  <c r="T501" i="1"/>
  <c r="U501" i="1"/>
  <c r="BB501" i="1"/>
  <c r="BD501" i="1"/>
  <c r="CE501" i="1"/>
  <c r="A502" i="1"/>
  <c r="C502" i="1"/>
  <c r="E502" i="1"/>
  <c r="S502" i="1"/>
  <c r="T502" i="1"/>
  <c r="U502" i="1"/>
  <c r="BB502" i="1"/>
  <c r="BD502" i="1"/>
  <c r="CE502" i="1"/>
  <c r="A503" i="1"/>
  <c r="C503" i="1"/>
  <c r="E503" i="1"/>
  <c r="S503" i="1"/>
  <c r="T503" i="1"/>
  <c r="U503" i="1"/>
  <c r="BB503" i="1"/>
  <c r="BD503" i="1"/>
  <c r="CE503" i="1"/>
  <c r="A504" i="1"/>
  <c r="C504" i="1"/>
  <c r="E504" i="1"/>
  <c r="S504" i="1"/>
  <c r="T504" i="1"/>
  <c r="U504" i="1"/>
  <c r="BB504" i="1"/>
  <c r="BD504" i="1"/>
  <c r="CE504" i="1"/>
  <c r="A505" i="1"/>
  <c r="C505" i="1"/>
  <c r="E505" i="1"/>
  <c r="S505" i="1"/>
  <c r="T505" i="1"/>
  <c r="U505" i="1"/>
  <c r="BB505" i="1"/>
  <c r="BD505" i="1"/>
  <c r="CE505" i="1"/>
  <c r="A506" i="1"/>
  <c r="C506" i="1"/>
  <c r="E506" i="1"/>
  <c r="S506" i="1"/>
  <c r="T506" i="1"/>
  <c r="U506" i="1"/>
  <c r="BB506" i="1"/>
  <c r="BD506" i="1"/>
  <c r="CE506" i="1"/>
  <c r="A507" i="1"/>
  <c r="C507" i="1"/>
  <c r="E507" i="1"/>
  <c r="S507" i="1"/>
  <c r="T507" i="1"/>
  <c r="U507" i="1"/>
  <c r="BB507" i="1"/>
  <c r="BD507" i="1"/>
  <c r="CE507" i="1"/>
  <c r="A508" i="1"/>
  <c r="C508" i="1"/>
  <c r="E508" i="1"/>
  <c r="S508" i="1"/>
  <c r="T508" i="1"/>
  <c r="U508" i="1"/>
  <c r="BB508" i="1"/>
  <c r="BD508" i="1"/>
  <c r="CE508" i="1"/>
  <c r="A509" i="1"/>
  <c r="C509" i="1"/>
  <c r="E509" i="1"/>
  <c r="S509" i="1"/>
  <c r="T509" i="1"/>
  <c r="U509" i="1"/>
  <c r="BB509" i="1"/>
  <c r="BD509" i="1"/>
  <c r="CE509" i="1"/>
  <c r="A510" i="1"/>
  <c r="C510" i="1"/>
  <c r="E510" i="1"/>
  <c r="S510" i="1"/>
  <c r="T510" i="1"/>
  <c r="U510" i="1"/>
  <c r="BB510" i="1"/>
  <c r="BD510" i="1"/>
  <c r="CE510" i="1"/>
  <c r="A511" i="1"/>
  <c r="C511" i="1"/>
  <c r="E511" i="1"/>
  <c r="S511" i="1"/>
  <c r="T511" i="1"/>
  <c r="U511" i="1"/>
  <c r="BB511" i="1"/>
  <c r="BD511" i="1"/>
  <c r="CE511" i="1"/>
  <c r="A512" i="1"/>
  <c r="C512" i="1"/>
  <c r="E512" i="1"/>
  <c r="S512" i="1"/>
  <c r="T512" i="1"/>
  <c r="U512" i="1"/>
  <c r="BB512" i="1"/>
  <c r="BD512" i="1"/>
  <c r="CE512" i="1"/>
  <c r="A513" i="1"/>
  <c r="C513" i="1"/>
  <c r="E513" i="1"/>
  <c r="S513" i="1"/>
  <c r="T513" i="1"/>
  <c r="U513" i="1"/>
  <c r="BB513" i="1"/>
  <c r="BD513" i="1"/>
  <c r="CE513" i="1"/>
  <c r="A514" i="1"/>
  <c r="C514" i="1"/>
  <c r="E514" i="1"/>
  <c r="S514" i="1"/>
  <c r="T514" i="1"/>
  <c r="U514" i="1"/>
  <c r="BB514" i="1"/>
  <c r="BD514" i="1"/>
  <c r="CE514" i="1"/>
  <c r="A515" i="1"/>
  <c r="C515" i="1"/>
  <c r="E515" i="1"/>
  <c r="S515" i="1"/>
  <c r="T515" i="1"/>
  <c r="U515" i="1"/>
  <c r="BB515" i="1"/>
  <c r="BD515" i="1"/>
  <c r="CE515" i="1"/>
  <c r="A516" i="1"/>
  <c r="C516" i="1"/>
  <c r="E516" i="1"/>
  <c r="S516" i="1"/>
  <c r="T516" i="1"/>
  <c r="U516" i="1"/>
  <c r="BB516" i="1"/>
  <c r="BD516" i="1"/>
  <c r="CE516" i="1"/>
  <c r="A517" i="1"/>
  <c r="C517" i="1"/>
  <c r="E517" i="1"/>
  <c r="S517" i="1"/>
  <c r="T517" i="1"/>
  <c r="U517" i="1"/>
  <c r="BB517" i="1"/>
  <c r="BD517" i="1"/>
  <c r="CE517" i="1"/>
  <c r="A518" i="1"/>
  <c r="C518" i="1"/>
  <c r="E518" i="1"/>
  <c r="S518" i="1"/>
  <c r="T518" i="1"/>
  <c r="U518" i="1"/>
  <c r="BB518" i="1"/>
  <c r="BD518" i="1"/>
  <c r="CE518" i="1"/>
  <c r="A519" i="1"/>
  <c r="C519" i="1"/>
  <c r="E519" i="1"/>
  <c r="S519" i="1"/>
  <c r="T519" i="1"/>
  <c r="U519" i="1"/>
  <c r="BB519" i="1"/>
  <c r="BD519" i="1"/>
  <c r="CE519" i="1"/>
  <c r="A520" i="1"/>
  <c r="C520" i="1"/>
  <c r="E520" i="1"/>
  <c r="S520" i="1"/>
  <c r="T520" i="1"/>
  <c r="U520" i="1"/>
  <c r="BB520" i="1"/>
  <c r="BD520" i="1"/>
  <c r="CE520" i="1"/>
  <c r="A521" i="1"/>
  <c r="C521" i="1"/>
  <c r="E521" i="1"/>
  <c r="S521" i="1"/>
  <c r="T521" i="1"/>
  <c r="U521" i="1"/>
  <c r="BB521" i="1"/>
  <c r="BD521" i="1"/>
  <c r="CE521" i="1"/>
  <c r="A522" i="1"/>
  <c r="C522" i="1"/>
  <c r="E522" i="1"/>
  <c r="S522" i="1"/>
  <c r="T522" i="1"/>
  <c r="U522" i="1"/>
  <c r="BB522" i="1"/>
  <c r="BD522" i="1"/>
  <c r="CE522" i="1"/>
  <c r="A523" i="1"/>
  <c r="C523" i="1"/>
  <c r="E523" i="1"/>
  <c r="S523" i="1"/>
  <c r="T523" i="1"/>
  <c r="U523" i="1"/>
  <c r="BB523" i="1"/>
  <c r="BD523" i="1"/>
  <c r="CE523" i="1"/>
  <c r="A524" i="1"/>
  <c r="C524" i="1"/>
  <c r="E524" i="1"/>
  <c r="S524" i="1"/>
  <c r="T524" i="1"/>
  <c r="U524" i="1"/>
  <c r="BB524" i="1"/>
  <c r="BD524" i="1"/>
  <c r="CE524" i="1"/>
  <c r="A525" i="1"/>
  <c r="C525" i="1"/>
  <c r="E525" i="1"/>
  <c r="S525" i="1"/>
  <c r="T525" i="1"/>
  <c r="U525" i="1"/>
  <c r="BB525" i="1"/>
  <c r="BD525" i="1"/>
  <c r="CE525" i="1"/>
  <c r="A526" i="1"/>
  <c r="C526" i="1"/>
  <c r="E526" i="1"/>
  <c r="S526" i="1"/>
  <c r="T526" i="1"/>
  <c r="U526" i="1"/>
  <c r="BB526" i="1"/>
  <c r="BD526" i="1"/>
  <c r="CE526" i="1"/>
  <c r="A527" i="1"/>
  <c r="C527" i="1"/>
  <c r="E527" i="1"/>
  <c r="S527" i="1"/>
  <c r="T527" i="1"/>
  <c r="U527" i="1"/>
  <c r="BB527" i="1"/>
  <c r="BD527" i="1"/>
  <c r="CE527" i="1"/>
  <c r="A528" i="1"/>
  <c r="C528" i="1"/>
  <c r="E528" i="1"/>
  <c r="S528" i="1"/>
  <c r="T528" i="1"/>
  <c r="U528" i="1"/>
  <c r="BB528" i="1"/>
  <c r="BD528" i="1"/>
  <c r="CE528" i="1"/>
  <c r="A529" i="1"/>
  <c r="C529" i="1"/>
  <c r="E529" i="1"/>
  <c r="S529" i="1"/>
  <c r="T529" i="1"/>
  <c r="U529" i="1"/>
  <c r="BB529" i="1"/>
  <c r="BD529" i="1"/>
  <c r="CE529" i="1"/>
  <c r="A530" i="1"/>
  <c r="C530" i="1"/>
  <c r="E530" i="1"/>
  <c r="S530" i="1"/>
  <c r="T530" i="1"/>
  <c r="U530" i="1"/>
  <c r="BB530" i="1"/>
  <c r="BD530" i="1"/>
  <c r="CE530" i="1"/>
  <c r="A531" i="1"/>
  <c r="C531" i="1"/>
  <c r="E531" i="1"/>
  <c r="S531" i="1"/>
  <c r="T531" i="1"/>
  <c r="U531" i="1"/>
  <c r="BB531" i="1"/>
  <c r="BD531" i="1"/>
  <c r="CE531" i="1"/>
  <c r="A532" i="1"/>
  <c r="C532" i="1"/>
  <c r="E532" i="1"/>
  <c r="S532" i="1"/>
  <c r="T532" i="1"/>
  <c r="U532" i="1"/>
  <c r="BB532" i="1"/>
  <c r="BD532" i="1"/>
  <c r="CE532" i="1"/>
  <c r="A533" i="1"/>
  <c r="C533" i="1"/>
  <c r="E533" i="1"/>
  <c r="S533" i="1"/>
  <c r="T533" i="1"/>
  <c r="U533" i="1"/>
  <c r="BB533" i="1"/>
  <c r="BD533" i="1"/>
  <c r="CE533" i="1"/>
  <c r="A534" i="1"/>
  <c r="C534" i="1"/>
  <c r="E534" i="1"/>
  <c r="S534" i="1"/>
  <c r="T534" i="1"/>
  <c r="U534" i="1"/>
  <c r="BB534" i="1"/>
  <c r="BD534" i="1"/>
  <c r="CE534" i="1"/>
  <c r="A535" i="1"/>
  <c r="C535" i="1"/>
  <c r="E535" i="1"/>
  <c r="S535" i="1"/>
  <c r="T535" i="1"/>
  <c r="U535" i="1"/>
  <c r="BB535" i="1"/>
  <c r="BD535" i="1"/>
  <c r="CE535" i="1"/>
  <c r="A536" i="1"/>
  <c r="C536" i="1"/>
  <c r="E536" i="1"/>
  <c r="S536" i="1"/>
  <c r="T536" i="1"/>
  <c r="U536" i="1"/>
  <c r="BB536" i="1"/>
  <c r="BD536" i="1"/>
  <c r="CE536" i="1"/>
  <c r="A537" i="1"/>
  <c r="C537" i="1"/>
  <c r="E537" i="1"/>
  <c r="S537" i="1"/>
  <c r="T537" i="1"/>
  <c r="U537" i="1"/>
  <c r="BB537" i="1"/>
  <c r="BD537" i="1"/>
  <c r="CE537" i="1"/>
  <c r="A538" i="1"/>
  <c r="C538" i="1"/>
  <c r="E538" i="1"/>
  <c r="S538" i="1"/>
  <c r="T538" i="1"/>
  <c r="U538" i="1"/>
  <c r="BB538" i="1"/>
  <c r="BD538" i="1"/>
  <c r="CE538" i="1"/>
  <c r="A539" i="1"/>
  <c r="C539" i="1"/>
  <c r="E539" i="1"/>
  <c r="S539" i="1"/>
  <c r="T539" i="1"/>
  <c r="U539" i="1"/>
  <c r="BB539" i="1"/>
  <c r="BD539" i="1"/>
  <c r="CE539" i="1"/>
  <c r="A540" i="1"/>
  <c r="C540" i="1"/>
  <c r="E540" i="1"/>
  <c r="S540" i="1"/>
  <c r="T540" i="1"/>
  <c r="U540" i="1"/>
  <c r="BB540" i="1"/>
  <c r="BD540" i="1"/>
  <c r="CE540" i="1"/>
  <c r="A541" i="1"/>
  <c r="C541" i="1"/>
  <c r="E541" i="1"/>
  <c r="S541" i="1"/>
  <c r="T541" i="1"/>
  <c r="U541" i="1"/>
  <c r="BB541" i="1"/>
  <c r="BD541" i="1"/>
  <c r="CE541" i="1"/>
  <c r="A542" i="1"/>
  <c r="C542" i="1"/>
  <c r="E542" i="1"/>
  <c r="S542" i="1"/>
  <c r="T542" i="1"/>
  <c r="U542" i="1"/>
  <c r="BB542" i="1"/>
  <c r="BD542" i="1"/>
  <c r="CE542" i="1"/>
  <c r="A543" i="1"/>
  <c r="C543" i="1"/>
  <c r="E543" i="1"/>
  <c r="S543" i="1"/>
  <c r="T543" i="1"/>
  <c r="U543" i="1"/>
  <c r="BB543" i="1"/>
  <c r="BD543" i="1"/>
  <c r="CE543" i="1"/>
  <c r="A544" i="1"/>
  <c r="C544" i="1"/>
  <c r="E544" i="1"/>
  <c r="S544" i="1"/>
  <c r="T544" i="1"/>
  <c r="U544" i="1"/>
  <c r="BB544" i="1"/>
  <c r="BD544" i="1"/>
  <c r="CE544" i="1"/>
  <c r="A545" i="1"/>
  <c r="C545" i="1"/>
  <c r="E545" i="1"/>
  <c r="S545" i="1"/>
  <c r="T545" i="1"/>
  <c r="U545" i="1"/>
  <c r="BB545" i="1"/>
  <c r="BD545" i="1"/>
  <c r="CE545" i="1"/>
  <c r="A546" i="1"/>
  <c r="C546" i="1"/>
  <c r="E546" i="1"/>
  <c r="S546" i="1"/>
  <c r="T546" i="1"/>
  <c r="U546" i="1"/>
  <c r="BB546" i="1"/>
  <c r="BD546" i="1"/>
  <c r="CE546" i="1"/>
  <c r="A547" i="1"/>
  <c r="C547" i="1"/>
  <c r="E547" i="1"/>
  <c r="S547" i="1"/>
  <c r="T547" i="1"/>
  <c r="U547" i="1"/>
  <c r="BB547" i="1"/>
  <c r="BD547" i="1"/>
  <c r="CE547" i="1"/>
  <c r="A548" i="1"/>
  <c r="C548" i="1"/>
  <c r="E548" i="1"/>
  <c r="S548" i="1"/>
  <c r="T548" i="1"/>
  <c r="U548" i="1"/>
  <c r="BB548" i="1"/>
  <c r="BD548" i="1"/>
  <c r="CE548" i="1"/>
  <c r="A549" i="1"/>
  <c r="C549" i="1"/>
  <c r="E549" i="1"/>
  <c r="S549" i="1"/>
  <c r="T549" i="1"/>
  <c r="U549" i="1"/>
  <c r="BB549" i="1"/>
  <c r="BD549" i="1"/>
  <c r="CE549" i="1"/>
  <c r="A550" i="1"/>
  <c r="C550" i="1"/>
  <c r="E550" i="1"/>
  <c r="S550" i="1"/>
  <c r="T550" i="1"/>
  <c r="U550" i="1"/>
  <c r="BB550" i="1"/>
  <c r="BD550" i="1"/>
  <c r="CE550" i="1"/>
  <c r="A551" i="1"/>
  <c r="C551" i="1"/>
  <c r="E551" i="1"/>
  <c r="S551" i="1"/>
  <c r="T551" i="1"/>
  <c r="U551" i="1"/>
  <c r="BB551" i="1"/>
  <c r="BD551" i="1"/>
  <c r="CE551" i="1"/>
  <c r="A552" i="1"/>
  <c r="C552" i="1"/>
  <c r="E552" i="1"/>
  <c r="S552" i="1"/>
  <c r="T552" i="1"/>
  <c r="U552" i="1"/>
  <c r="BB552" i="1"/>
  <c r="BD552" i="1"/>
  <c r="CE552" i="1"/>
  <c r="A553" i="1"/>
  <c r="C553" i="1"/>
  <c r="E553" i="1"/>
  <c r="S553" i="1"/>
  <c r="T553" i="1"/>
  <c r="U553" i="1"/>
  <c r="BB553" i="1"/>
  <c r="BD553" i="1"/>
  <c r="CE553" i="1"/>
  <c r="A554" i="1"/>
  <c r="C554" i="1"/>
  <c r="E554" i="1"/>
  <c r="S554" i="1"/>
  <c r="T554" i="1"/>
  <c r="U554" i="1"/>
  <c r="BB554" i="1"/>
  <c r="BD554" i="1"/>
  <c r="CE554" i="1"/>
  <c r="A555" i="1"/>
  <c r="C555" i="1"/>
  <c r="E555" i="1"/>
  <c r="S555" i="1"/>
  <c r="T555" i="1"/>
  <c r="U555" i="1"/>
  <c r="BB555" i="1"/>
  <c r="BD555" i="1"/>
  <c r="CE555" i="1"/>
  <c r="A556" i="1"/>
  <c r="C556" i="1"/>
  <c r="E556" i="1"/>
  <c r="S556" i="1"/>
  <c r="T556" i="1"/>
  <c r="U556" i="1"/>
  <c r="BB556" i="1"/>
  <c r="BD556" i="1"/>
  <c r="CE556" i="1"/>
  <c r="A557" i="1"/>
  <c r="C557" i="1"/>
  <c r="E557" i="1"/>
  <c r="S557" i="1"/>
  <c r="T557" i="1"/>
  <c r="U557" i="1"/>
  <c r="BB557" i="1"/>
  <c r="BD557" i="1"/>
  <c r="CE557" i="1"/>
  <c r="A558" i="1"/>
  <c r="C558" i="1"/>
  <c r="E558" i="1"/>
  <c r="S558" i="1"/>
  <c r="T558" i="1"/>
  <c r="U558" i="1"/>
  <c r="BB558" i="1"/>
  <c r="BD558" i="1"/>
  <c r="CE558" i="1"/>
  <c r="A559" i="1"/>
  <c r="C559" i="1"/>
  <c r="E559" i="1"/>
  <c r="S559" i="1"/>
  <c r="T559" i="1"/>
  <c r="U559" i="1"/>
  <c r="BB559" i="1"/>
  <c r="BD559" i="1"/>
  <c r="CE559" i="1"/>
  <c r="A560" i="1"/>
  <c r="C560" i="1"/>
  <c r="E560" i="1"/>
  <c r="S560" i="1"/>
  <c r="T560" i="1"/>
  <c r="U560" i="1"/>
  <c r="BB560" i="1"/>
  <c r="BD560" i="1"/>
  <c r="CE560" i="1"/>
  <c r="A561" i="1"/>
  <c r="C561" i="1"/>
  <c r="E561" i="1"/>
  <c r="S561" i="1"/>
  <c r="T561" i="1"/>
  <c r="U561" i="1"/>
  <c r="BB561" i="1"/>
  <c r="BD561" i="1"/>
  <c r="CE561" i="1"/>
  <c r="A562" i="1"/>
  <c r="C562" i="1"/>
  <c r="E562" i="1"/>
  <c r="S562" i="1"/>
  <c r="T562" i="1"/>
  <c r="U562" i="1"/>
  <c r="BB562" i="1"/>
  <c r="BD562" i="1"/>
  <c r="CE562" i="1"/>
  <c r="A563" i="1"/>
  <c r="C563" i="1"/>
  <c r="E563" i="1"/>
  <c r="S563" i="1"/>
  <c r="T563" i="1"/>
  <c r="U563" i="1"/>
  <c r="BB563" i="1"/>
  <c r="BD563" i="1"/>
  <c r="CE563" i="1"/>
  <c r="A564" i="1"/>
  <c r="C564" i="1"/>
  <c r="E564" i="1"/>
  <c r="S564" i="1"/>
  <c r="T564" i="1"/>
  <c r="U564" i="1"/>
  <c r="BB564" i="1"/>
  <c r="BD564" i="1"/>
  <c r="CE564" i="1"/>
  <c r="A565" i="1"/>
  <c r="C565" i="1"/>
  <c r="E565" i="1"/>
  <c r="S565" i="1"/>
  <c r="T565" i="1"/>
  <c r="U565" i="1"/>
  <c r="BB565" i="1"/>
  <c r="BD565" i="1"/>
  <c r="CE565" i="1"/>
  <c r="A566" i="1"/>
  <c r="C566" i="1"/>
  <c r="E566" i="1"/>
  <c r="S566" i="1"/>
  <c r="T566" i="1"/>
  <c r="U566" i="1"/>
  <c r="BB566" i="1"/>
  <c r="BD566" i="1"/>
  <c r="CE566" i="1"/>
  <c r="A567" i="1"/>
  <c r="C567" i="1"/>
  <c r="E567" i="1"/>
  <c r="S567" i="1"/>
  <c r="T567" i="1"/>
  <c r="U567" i="1"/>
  <c r="BB567" i="1"/>
  <c r="BD567" i="1"/>
  <c r="CE567" i="1"/>
  <c r="A568" i="1"/>
  <c r="C568" i="1"/>
  <c r="E568" i="1"/>
  <c r="S568" i="1"/>
  <c r="T568" i="1"/>
  <c r="U568" i="1"/>
  <c r="BB568" i="1"/>
  <c r="BD568" i="1"/>
  <c r="CE568" i="1"/>
  <c r="A569" i="1"/>
  <c r="C569" i="1"/>
  <c r="E569" i="1"/>
  <c r="S569" i="1"/>
  <c r="T569" i="1"/>
  <c r="U569" i="1"/>
  <c r="BB569" i="1"/>
  <c r="BD569" i="1"/>
  <c r="CE569" i="1"/>
  <c r="A570" i="1"/>
  <c r="C570" i="1"/>
  <c r="E570" i="1"/>
  <c r="S570" i="1"/>
  <c r="T570" i="1"/>
  <c r="U570" i="1"/>
  <c r="BB570" i="1"/>
  <c r="BD570" i="1"/>
  <c r="CE570" i="1"/>
  <c r="A571" i="1"/>
  <c r="C571" i="1"/>
  <c r="E571" i="1"/>
  <c r="S571" i="1"/>
  <c r="T571" i="1"/>
  <c r="U571" i="1"/>
  <c r="BB571" i="1"/>
  <c r="BD571" i="1"/>
  <c r="CE571" i="1"/>
  <c r="A572" i="1"/>
  <c r="C572" i="1"/>
  <c r="E572" i="1"/>
  <c r="S572" i="1"/>
  <c r="T572" i="1"/>
  <c r="U572" i="1"/>
  <c r="BB572" i="1"/>
  <c r="BD572" i="1"/>
  <c r="CE572" i="1"/>
  <c r="A573" i="1"/>
  <c r="C573" i="1"/>
  <c r="E573" i="1"/>
  <c r="S573" i="1"/>
  <c r="T573" i="1"/>
  <c r="U573" i="1"/>
  <c r="BB573" i="1"/>
  <c r="BD573" i="1"/>
  <c r="CE573" i="1"/>
  <c r="A574" i="1"/>
  <c r="C574" i="1"/>
  <c r="E574" i="1"/>
  <c r="S574" i="1"/>
  <c r="T574" i="1"/>
  <c r="U574" i="1"/>
  <c r="BB574" i="1"/>
  <c r="BD574" i="1"/>
  <c r="CE574" i="1"/>
  <c r="A575" i="1"/>
  <c r="C575" i="1"/>
  <c r="E575" i="1"/>
  <c r="S575" i="1"/>
  <c r="T575" i="1"/>
  <c r="U575" i="1"/>
  <c r="BB575" i="1"/>
  <c r="BD575" i="1"/>
  <c r="CE575" i="1"/>
  <c r="A576" i="1"/>
  <c r="C576" i="1"/>
  <c r="E576" i="1"/>
  <c r="S576" i="1"/>
  <c r="T576" i="1"/>
  <c r="U576" i="1"/>
  <c r="BB576" i="1"/>
  <c r="BD576" i="1"/>
  <c r="CE576" i="1"/>
  <c r="A577" i="1"/>
  <c r="C577" i="1"/>
  <c r="E577" i="1"/>
  <c r="S577" i="1"/>
  <c r="T577" i="1"/>
  <c r="U577" i="1"/>
  <c r="BB577" i="1"/>
  <c r="BD577" i="1"/>
  <c r="CE577" i="1"/>
  <c r="A578" i="1"/>
  <c r="C578" i="1"/>
  <c r="E578" i="1"/>
  <c r="S578" i="1"/>
  <c r="T578" i="1"/>
  <c r="U578" i="1"/>
  <c r="BB578" i="1"/>
  <c r="BD578" i="1"/>
  <c r="CE578" i="1"/>
  <c r="A579" i="1"/>
  <c r="C579" i="1"/>
  <c r="E579" i="1"/>
  <c r="S579" i="1"/>
  <c r="T579" i="1"/>
  <c r="U579" i="1"/>
  <c r="BB579" i="1"/>
  <c r="BD579" i="1"/>
  <c r="CE579" i="1"/>
  <c r="A580" i="1"/>
  <c r="C580" i="1"/>
  <c r="E580" i="1"/>
  <c r="S580" i="1"/>
  <c r="T580" i="1"/>
  <c r="U580" i="1"/>
  <c r="BB580" i="1"/>
  <c r="BD580" i="1"/>
  <c r="CE580" i="1"/>
  <c r="A581" i="1"/>
  <c r="C581" i="1"/>
  <c r="E581" i="1"/>
  <c r="S581" i="1"/>
  <c r="T581" i="1"/>
  <c r="U581" i="1"/>
  <c r="BB581" i="1"/>
  <c r="BD581" i="1"/>
  <c r="CE581" i="1"/>
  <c r="A582" i="1"/>
  <c r="C582" i="1"/>
  <c r="E582" i="1"/>
  <c r="S582" i="1"/>
  <c r="T582" i="1"/>
  <c r="U582" i="1"/>
  <c r="BB582" i="1"/>
  <c r="BD582" i="1"/>
  <c r="CE582" i="1"/>
  <c r="A583" i="1"/>
  <c r="C583" i="1"/>
  <c r="E583" i="1"/>
  <c r="S583" i="1"/>
  <c r="T583" i="1"/>
  <c r="U583" i="1"/>
  <c r="BB583" i="1"/>
  <c r="BD583" i="1"/>
  <c r="CE583" i="1"/>
  <c r="A584" i="1"/>
  <c r="C584" i="1"/>
  <c r="E584" i="1"/>
  <c r="S584" i="1"/>
  <c r="T584" i="1"/>
  <c r="U584" i="1"/>
  <c r="BB584" i="1"/>
  <c r="BD584" i="1"/>
  <c r="CE584" i="1"/>
  <c r="A585" i="1"/>
  <c r="C585" i="1"/>
  <c r="E585" i="1"/>
  <c r="S585" i="1"/>
  <c r="T585" i="1"/>
  <c r="U585" i="1"/>
  <c r="BB585" i="1"/>
  <c r="BD585" i="1"/>
  <c r="CE585" i="1"/>
  <c r="A586" i="1"/>
  <c r="C586" i="1"/>
  <c r="E586" i="1"/>
  <c r="S586" i="1"/>
  <c r="T586" i="1"/>
  <c r="U586" i="1"/>
  <c r="BB586" i="1"/>
  <c r="BD586" i="1"/>
  <c r="CE586" i="1"/>
  <c r="A587" i="1"/>
  <c r="C587" i="1"/>
  <c r="E587" i="1"/>
  <c r="S587" i="1"/>
  <c r="T587" i="1"/>
  <c r="U587" i="1"/>
  <c r="BB587" i="1"/>
  <c r="BD587" i="1"/>
  <c r="CE587" i="1"/>
  <c r="A588" i="1"/>
  <c r="C588" i="1"/>
  <c r="E588" i="1"/>
  <c r="S588" i="1"/>
  <c r="T588" i="1"/>
  <c r="U588" i="1"/>
  <c r="BB588" i="1"/>
  <c r="BD588" i="1"/>
  <c r="CE588" i="1"/>
  <c r="A589" i="1"/>
  <c r="C589" i="1"/>
  <c r="E589" i="1"/>
  <c r="S589" i="1"/>
  <c r="T589" i="1"/>
  <c r="U589" i="1"/>
  <c r="BB589" i="1"/>
  <c r="BD589" i="1"/>
  <c r="CE589" i="1"/>
  <c r="A590" i="1"/>
  <c r="C590" i="1"/>
  <c r="E590" i="1"/>
  <c r="S590" i="1"/>
  <c r="T590" i="1"/>
  <c r="U590" i="1"/>
  <c r="BB590" i="1"/>
  <c r="BD590" i="1"/>
  <c r="CE590" i="1"/>
  <c r="A591" i="1"/>
  <c r="C591" i="1"/>
  <c r="E591" i="1"/>
  <c r="S591" i="1"/>
  <c r="T591" i="1"/>
  <c r="U591" i="1"/>
  <c r="BB591" i="1"/>
  <c r="BD591" i="1"/>
  <c r="CE591" i="1"/>
  <c r="A592" i="1"/>
  <c r="C592" i="1"/>
  <c r="E592" i="1"/>
  <c r="S592" i="1"/>
  <c r="T592" i="1"/>
  <c r="U592" i="1"/>
  <c r="BB592" i="1"/>
  <c r="BD592" i="1"/>
  <c r="CE592" i="1"/>
  <c r="A593" i="1"/>
  <c r="C593" i="1"/>
  <c r="E593" i="1"/>
  <c r="S593" i="1"/>
  <c r="T593" i="1"/>
  <c r="U593" i="1"/>
  <c r="BB593" i="1"/>
  <c r="BD593" i="1"/>
  <c r="CE593" i="1"/>
  <c r="A594" i="1"/>
  <c r="C594" i="1"/>
  <c r="E594" i="1"/>
  <c r="S594" i="1"/>
  <c r="T594" i="1"/>
  <c r="U594" i="1"/>
  <c r="BB594" i="1"/>
  <c r="BD594" i="1"/>
  <c r="CE594" i="1"/>
  <c r="A595" i="1"/>
  <c r="C595" i="1"/>
  <c r="E595" i="1"/>
  <c r="S595" i="1"/>
  <c r="T595" i="1"/>
  <c r="U595" i="1"/>
  <c r="BB595" i="1"/>
  <c r="BD595" i="1"/>
  <c r="CE595" i="1"/>
  <c r="A596" i="1"/>
  <c r="C596" i="1"/>
  <c r="E596" i="1"/>
  <c r="S596" i="1"/>
  <c r="T596" i="1"/>
  <c r="U596" i="1"/>
  <c r="BB596" i="1"/>
  <c r="BD596" i="1"/>
  <c r="CE596" i="1"/>
  <c r="A597" i="1"/>
  <c r="C597" i="1"/>
  <c r="E597" i="1"/>
  <c r="S597" i="1"/>
  <c r="T597" i="1"/>
  <c r="U597" i="1"/>
  <c r="BB597" i="1"/>
  <c r="BD597" i="1"/>
  <c r="CE597" i="1"/>
  <c r="A598" i="1"/>
  <c r="C598" i="1"/>
  <c r="E598" i="1"/>
  <c r="S598" i="1"/>
  <c r="T598" i="1"/>
  <c r="U598" i="1"/>
  <c r="BB598" i="1"/>
  <c r="BD598" i="1"/>
  <c r="CE598" i="1"/>
  <c r="A599" i="1"/>
  <c r="C599" i="1"/>
  <c r="E599" i="1"/>
  <c r="S599" i="1"/>
  <c r="T599" i="1"/>
  <c r="U599" i="1"/>
  <c r="BB599" i="1"/>
  <c r="BD599" i="1"/>
  <c r="CE599" i="1"/>
  <c r="A600" i="1"/>
  <c r="C600" i="1"/>
  <c r="E600" i="1"/>
  <c r="S600" i="1"/>
  <c r="T600" i="1"/>
  <c r="U600" i="1"/>
  <c r="BB600" i="1"/>
  <c r="BD600" i="1"/>
  <c r="CE600" i="1"/>
  <c r="A601" i="1"/>
  <c r="C601" i="1"/>
  <c r="E601" i="1"/>
  <c r="S601" i="1"/>
  <c r="T601" i="1"/>
  <c r="U601" i="1"/>
  <c r="BB601" i="1"/>
  <c r="BD601" i="1"/>
  <c r="CE601" i="1"/>
  <c r="A602" i="1"/>
  <c r="C602" i="1"/>
  <c r="E602" i="1"/>
  <c r="S602" i="1"/>
  <c r="T602" i="1"/>
  <c r="U602" i="1"/>
  <c r="BB602" i="1"/>
  <c r="BD602" i="1"/>
  <c r="CE602" i="1"/>
  <c r="A603" i="1"/>
  <c r="C603" i="1"/>
  <c r="E603" i="1"/>
  <c r="S603" i="1"/>
  <c r="T603" i="1"/>
  <c r="U603" i="1"/>
  <c r="BB603" i="1"/>
  <c r="BD603" i="1"/>
  <c r="CE603" i="1"/>
  <c r="A604" i="1"/>
  <c r="C604" i="1"/>
  <c r="E604" i="1"/>
  <c r="S604" i="1"/>
  <c r="T604" i="1"/>
  <c r="U604" i="1"/>
  <c r="BB604" i="1"/>
  <c r="BD604" i="1"/>
  <c r="CE604" i="1"/>
  <c r="A605" i="1"/>
  <c r="C605" i="1"/>
  <c r="E605" i="1"/>
  <c r="S605" i="1"/>
  <c r="T605" i="1"/>
  <c r="U605" i="1"/>
  <c r="BB605" i="1"/>
  <c r="BD605" i="1"/>
  <c r="CE605" i="1"/>
  <c r="A606" i="1"/>
  <c r="C606" i="1"/>
  <c r="E606" i="1"/>
  <c r="S606" i="1"/>
  <c r="T606" i="1"/>
  <c r="U606" i="1"/>
  <c r="BB606" i="1"/>
  <c r="BD606" i="1"/>
  <c r="CE606" i="1"/>
  <c r="A607" i="1"/>
  <c r="C607" i="1"/>
  <c r="E607" i="1"/>
  <c r="S607" i="1"/>
  <c r="T607" i="1"/>
  <c r="U607" i="1"/>
  <c r="BB607" i="1"/>
  <c r="BD607" i="1"/>
  <c r="CE607" i="1"/>
  <c r="A608" i="1"/>
  <c r="C608" i="1"/>
  <c r="E608" i="1"/>
  <c r="S608" i="1"/>
  <c r="T608" i="1"/>
  <c r="U608" i="1"/>
  <c r="BB608" i="1"/>
  <c r="BD608" i="1"/>
  <c r="CE608" i="1"/>
  <c r="A609" i="1"/>
  <c r="C609" i="1"/>
  <c r="E609" i="1"/>
  <c r="S609" i="1"/>
  <c r="T609" i="1"/>
  <c r="U609" i="1"/>
  <c r="BB609" i="1"/>
  <c r="BD609" i="1"/>
  <c r="CE609" i="1"/>
  <c r="A610" i="1"/>
  <c r="C610" i="1"/>
  <c r="E610" i="1"/>
  <c r="S610" i="1"/>
  <c r="T610" i="1"/>
  <c r="U610" i="1"/>
  <c r="BB610" i="1"/>
  <c r="BD610" i="1"/>
  <c r="CE610" i="1"/>
  <c r="A611" i="1"/>
  <c r="C611" i="1"/>
  <c r="E611" i="1"/>
  <c r="S611" i="1"/>
  <c r="T611" i="1"/>
  <c r="U611" i="1"/>
  <c r="BB611" i="1"/>
  <c r="BD611" i="1"/>
  <c r="CE611" i="1"/>
  <c r="A612" i="1"/>
  <c r="C612" i="1"/>
  <c r="E612" i="1"/>
  <c r="S612" i="1"/>
  <c r="T612" i="1"/>
  <c r="U612" i="1"/>
  <c r="BB612" i="1"/>
  <c r="BD612" i="1"/>
  <c r="CE612" i="1"/>
  <c r="A613" i="1"/>
  <c r="C613" i="1"/>
  <c r="E613" i="1"/>
  <c r="S613" i="1"/>
  <c r="T613" i="1"/>
  <c r="U613" i="1"/>
  <c r="BB613" i="1"/>
  <c r="BD613" i="1"/>
  <c r="CE613" i="1"/>
  <c r="A614" i="1"/>
  <c r="C614" i="1"/>
  <c r="E614" i="1"/>
  <c r="S614" i="1"/>
  <c r="T614" i="1"/>
  <c r="U614" i="1"/>
  <c r="BB614" i="1"/>
  <c r="BD614" i="1"/>
  <c r="CE614" i="1"/>
  <c r="A615" i="1"/>
  <c r="C615" i="1"/>
  <c r="E615" i="1"/>
  <c r="S615" i="1"/>
  <c r="T615" i="1"/>
  <c r="U615" i="1"/>
  <c r="BB615" i="1"/>
  <c r="BD615" i="1"/>
  <c r="CE615" i="1"/>
  <c r="A616" i="1"/>
  <c r="C616" i="1"/>
  <c r="E616" i="1"/>
  <c r="S616" i="1"/>
  <c r="T616" i="1"/>
  <c r="U616" i="1"/>
  <c r="BB616" i="1"/>
  <c r="BD616" i="1"/>
  <c r="CE616" i="1"/>
  <c r="A617" i="1"/>
  <c r="C617" i="1"/>
  <c r="E617" i="1"/>
  <c r="S617" i="1"/>
  <c r="T617" i="1"/>
  <c r="U617" i="1"/>
  <c r="BB617" i="1"/>
  <c r="BD617" i="1"/>
  <c r="CE617" i="1"/>
  <c r="A618" i="1"/>
  <c r="C618" i="1"/>
  <c r="E618" i="1"/>
  <c r="S618" i="1"/>
  <c r="T618" i="1"/>
  <c r="U618" i="1"/>
  <c r="BB618" i="1"/>
  <c r="BD618" i="1"/>
  <c r="CE618" i="1"/>
  <c r="A619" i="1"/>
  <c r="C619" i="1"/>
  <c r="E619" i="1"/>
  <c r="S619" i="1"/>
  <c r="T619" i="1"/>
  <c r="U619" i="1"/>
  <c r="BB619" i="1"/>
  <c r="BD619" i="1"/>
  <c r="CE619" i="1"/>
  <c r="A620" i="1"/>
  <c r="C620" i="1"/>
  <c r="E620" i="1"/>
  <c r="S620" i="1"/>
  <c r="T620" i="1"/>
  <c r="U620" i="1"/>
  <c r="BB620" i="1"/>
  <c r="BD620" i="1"/>
  <c r="CE620" i="1"/>
  <c r="A621" i="1"/>
  <c r="C621" i="1"/>
  <c r="E621" i="1"/>
  <c r="S621" i="1"/>
  <c r="T621" i="1"/>
  <c r="U621" i="1"/>
  <c r="BB621" i="1"/>
  <c r="BD621" i="1"/>
  <c r="CE621" i="1"/>
  <c r="A622" i="1"/>
  <c r="C622" i="1"/>
  <c r="E622" i="1"/>
  <c r="S622" i="1"/>
  <c r="T622" i="1"/>
  <c r="U622" i="1"/>
  <c r="BB622" i="1"/>
  <c r="BD622" i="1"/>
  <c r="CE622" i="1"/>
  <c r="A623" i="1"/>
  <c r="C623" i="1"/>
  <c r="E623" i="1"/>
  <c r="S623" i="1"/>
  <c r="T623" i="1"/>
  <c r="U623" i="1"/>
  <c r="BB623" i="1"/>
  <c r="BD623" i="1"/>
  <c r="CE623" i="1"/>
  <c r="A624" i="1"/>
  <c r="C624" i="1"/>
  <c r="E624" i="1"/>
  <c r="S624" i="1"/>
  <c r="T624" i="1"/>
  <c r="U624" i="1"/>
  <c r="BB624" i="1"/>
  <c r="BD624" i="1"/>
  <c r="CE624" i="1"/>
  <c r="A625" i="1"/>
  <c r="C625" i="1"/>
  <c r="E625" i="1"/>
  <c r="S625" i="1"/>
  <c r="T625" i="1"/>
  <c r="U625" i="1"/>
  <c r="BB625" i="1"/>
  <c r="BD625" i="1"/>
  <c r="CE625" i="1"/>
  <c r="A626" i="1"/>
  <c r="C626" i="1"/>
  <c r="E626" i="1"/>
  <c r="S626" i="1"/>
  <c r="T626" i="1"/>
  <c r="U626" i="1"/>
  <c r="BB626" i="1"/>
  <c r="BD626" i="1"/>
  <c r="CE626" i="1"/>
  <c r="A627" i="1"/>
  <c r="C627" i="1"/>
  <c r="E627" i="1"/>
  <c r="S627" i="1"/>
  <c r="T627" i="1"/>
  <c r="U627" i="1"/>
  <c r="BB627" i="1"/>
  <c r="BD627" i="1"/>
  <c r="CE627" i="1"/>
  <c r="A628" i="1"/>
  <c r="C628" i="1"/>
  <c r="E628" i="1"/>
  <c r="S628" i="1"/>
  <c r="T628" i="1"/>
  <c r="U628" i="1"/>
  <c r="BB628" i="1"/>
  <c r="BD628" i="1"/>
  <c r="CE628" i="1"/>
  <c r="A629" i="1"/>
  <c r="C629" i="1"/>
  <c r="E629" i="1"/>
  <c r="S629" i="1"/>
  <c r="T629" i="1"/>
  <c r="U629" i="1"/>
  <c r="BB629" i="1"/>
  <c r="BD629" i="1"/>
  <c r="CE629" i="1"/>
  <c r="A630" i="1"/>
  <c r="C630" i="1"/>
  <c r="E630" i="1"/>
  <c r="S630" i="1"/>
  <c r="T630" i="1"/>
  <c r="U630" i="1"/>
  <c r="BB630" i="1"/>
  <c r="BD630" i="1"/>
  <c r="CE630" i="1"/>
  <c r="A631" i="1"/>
  <c r="C631" i="1"/>
  <c r="E631" i="1"/>
  <c r="S631" i="1"/>
  <c r="T631" i="1"/>
  <c r="U631" i="1"/>
  <c r="BB631" i="1"/>
  <c r="BD631" i="1"/>
  <c r="CE631" i="1"/>
  <c r="A632" i="1"/>
  <c r="C632" i="1"/>
  <c r="E632" i="1"/>
  <c r="S632" i="1"/>
  <c r="T632" i="1"/>
  <c r="U632" i="1"/>
  <c r="BB632" i="1"/>
  <c r="BD632" i="1"/>
  <c r="CE632" i="1"/>
  <c r="A633" i="1"/>
  <c r="C633" i="1"/>
  <c r="E633" i="1"/>
  <c r="S633" i="1"/>
  <c r="T633" i="1"/>
  <c r="U633" i="1"/>
  <c r="BB633" i="1"/>
  <c r="BD633" i="1"/>
  <c r="CE633" i="1"/>
  <c r="A634" i="1"/>
  <c r="C634" i="1"/>
  <c r="E634" i="1"/>
  <c r="S634" i="1"/>
  <c r="T634" i="1"/>
  <c r="U634" i="1"/>
  <c r="BB634" i="1"/>
  <c r="BD634" i="1"/>
  <c r="CE634" i="1"/>
  <c r="A635" i="1"/>
  <c r="C635" i="1"/>
  <c r="E635" i="1"/>
  <c r="S635" i="1"/>
  <c r="T635" i="1"/>
  <c r="U635" i="1"/>
  <c r="BB635" i="1"/>
  <c r="BD635" i="1"/>
  <c r="CE635" i="1"/>
  <c r="A636" i="1"/>
  <c r="C636" i="1"/>
  <c r="E636" i="1"/>
  <c r="S636" i="1"/>
  <c r="T636" i="1"/>
  <c r="U636" i="1"/>
  <c r="BB636" i="1"/>
  <c r="BD636" i="1"/>
  <c r="CE636" i="1"/>
  <c r="A637" i="1"/>
  <c r="C637" i="1"/>
  <c r="E637" i="1"/>
  <c r="S637" i="1"/>
  <c r="T637" i="1"/>
  <c r="U637" i="1"/>
  <c r="BB637" i="1"/>
  <c r="BD637" i="1"/>
  <c r="CE637" i="1"/>
  <c r="A638" i="1"/>
  <c r="C638" i="1"/>
  <c r="E638" i="1"/>
  <c r="S638" i="1"/>
  <c r="T638" i="1"/>
  <c r="U638" i="1"/>
  <c r="BB638" i="1"/>
  <c r="BD638" i="1"/>
  <c r="CE638" i="1"/>
  <c r="A639" i="1"/>
  <c r="C639" i="1"/>
  <c r="E639" i="1"/>
  <c r="S639" i="1"/>
  <c r="T639" i="1"/>
  <c r="U639" i="1"/>
  <c r="BB639" i="1"/>
  <c r="BD639" i="1"/>
  <c r="CE639" i="1"/>
  <c r="A640" i="1"/>
  <c r="C640" i="1"/>
  <c r="E640" i="1"/>
  <c r="S640" i="1"/>
  <c r="T640" i="1"/>
  <c r="U640" i="1"/>
  <c r="BB640" i="1"/>
  <c r="BD640" i="1"/>
  <c r="CE640" i="1"/>
  <c r="A641" i="1"/>
  <c r="C641" i="1"/>
  <c r="E641" i="1"/>
  <c r="S641" i="1"/>
  <c r="T641" i="1"/>
  <c r="U641" i="1"/>
  <c r="BB641" i="1"/>
  <c r="BD641" i="1"/>
  <c r="CE641" i="1"/>
  <c r="A642" i="1"/>
  <c r="C642" i="1"/>
  <c r="E642" i="1"/>
  <c r="S642" i="1"/>
  <c r="T642" i="1"/>
  <c r="U642" i="1"/>
  <c r="BB642" i="1"/>
  <c r="BD642" i="1"/>
  <c r="CE642" i="1"/>
  <c r="A643" i="1"/>
  <c r="C643" i="1"/>
  <c r="E643" i="1"/>
  <c r="S643" i="1"/>
  <c r="T643" i="1"/>
  <c r="U643" i="1"/>
  <c r="BB643" i="1"/>
  <c r="BD643" i="1"/>
  <c r="CE643" i="1"/>
  <c r="A644" i="1"/>
  <c r="C644" i="1"/>
  <c r="E644" i="1"/>
  <c r="S644" i="1"/>
  <c r="T644" i="1"/>
  <c r="U644" i="1"/>
  <c r="BB644" i="1"/>
  <c r="BD644" i="1"/>
  <c r="CE644" i="1"/>
  <c r="A645" i="1"/>
  <c r="C645" i="1"/>
  <c r="E645" i="1"/>
  <c r="S645" i="1"/>
  <c r="T645" i="1"/>
  <c r="U645" i="1"/>
  <c r="BB645" i="1"/>
  <c r="BD645" i="1"/>
  <c r="CE645" i="1"/>
  <c r="A646" i="1"/>
  <c r="C646" i="1"/>
  <c r="E646" i="1"/>
  <c r="S646" i="1"/>
  <c r="T646" i="1"/>
  <c r="U646" i="1"/>
  <c r="BB646" i="1"/>
  <c r="BD646" i="1"/>
  <c r="CE646" i="1"/>
  <c r="A647" i="1"/>
  <c r="C647" i="1"/>
  <c r="E647" i="1"/>
  <c r="S647" i="1"/>
  <c r="T647" i="1"/>
  <c r="U647" i="1"/>
  <c r="BB647" i="1"/>
  <c r="BD647" i="1"/>
  <c r="CE647" i="1"/>
  <c r="A648" i="1"/>
  <c r="C648" i="1"/>
  <c r="E648" i="1"/>
  <c r="S648" i="1"/>
  <c r="T648" i="1"/>
  <c r="U648" i="1"/>
  <c r="BB648" i="1"/>
  <c r="BD648" i="1"/>
  <c r="CE648" i="1"/>
  <c r="A649" i="1"/>
  <c r="C649" i="1"/>
  <c r="E649" i="1"/>
  <c r="S649" i="1"/>
  <c r="T649" i="1"/>
  <c r="U649" i="1"/>
  <c r="BB649" i="1"/>
  <c r="BD649" i="1"/>
  <c r="CE649" i="1"/>
  <c r="A650" i="1"/>
  <c r="C650" i="1"/>
  <c r="E650" i="1"/>
  <c r="S650" i="1"/>
  <c r="T650" i="1"/>
  <c r="U650" i="1"/>
  <c r="BB650" i="1"/>
  <c r="BD650" i="1"/>
  <c r="CE650" i="1"/>
  <c r="A651" i="1"/>
  <c r="C651" i="1"/>
  <c r="E651" i="1"/>
  <c r="S651" i="1"/>
  <c r="T651" i="1"/>
  <c r="U651" i="1"/>
  <c r="BB651" i="1"/>
  <c r="BD651" i="1"/>
  <c r="CE651" i="1"/>
  <c r="A652" i="1"/>
  <c r="C652" i="1"/>
  <c r="E652" i="1"/>
  <c r="S652" i="1"/>
  <c r="T652" i="1"/>
  <c r="U652" i="1"/>
  <c r="BB652" i="1"/>
  <c r="BD652" i="1"/>
  <c r="CE652" i="1"/>
  <c r="A653" i="1"/>
  <c r="C653" i="1"/>
  <c r="E653" i="1"/>
  <c r="S653" i="1"/>
  <c r="T653" i="1"/>
  <c r="U653" i="1"/>
  <c r="BB653" i="1"/>
  <c r="BD653" i="1"/>
  <c r="CE653" i="1"/>
  <c r="A654" i="1"/>
  <c r="C654" i="1"/>
  <c r="E654" i="1"/>
  <c r="S654" i="1"/>
  <c r="T654" i="1"/>
  <c r="U654" i="1"/>
  <c r="BB654" i="1"/>
  <c r="BD654" i="1"/>
  <c r="CE654" i="1"/>
  <c r="A655" i="1"/>
  <c r="C655" i="1"/>
  <c r="E655" i="1"/>
  <c r="S655" i="1"/>
  <c r="T655" i="1"/>
  <c r="U655" i="1"/>
  <c r="BB655" i="1"/>
  <c r="BD655" i="1"/>
  <c r="CE655" i="1"/>
  <c r="A656" i="1"/>
  <c r="C656" i="1"/>
  <c r="E656" i="1"/>
  <c r="S656" i="1"/>
  <c r="T656" i="1"/>
  <c r="U656" i="1"/>
  <c r="BB656" i="1"/>
  <c r="BD656" i="1"/>
  <c r="CE656" i="1"/>
  <c r="A657" i="1"/>
  <c r="C657" i="1"/>
  <c r="E657" i="1"/>
  <c r="S657" i="1"/>
  <c r="T657" i="1"/>
  <c r="U657" i="1"/>
  <c r="BB657" i="1"/>
  <c r="BD657" i="1"/>
  <c r="CE657" i="1"/>
  <c r="A658" i="1"/>
  <c r="C658" i="1"/>
  <c r="E658" i="1"/>
  <c r="S658" i="1"/>
  <c r="T658" i="1"/>
  <c r="U658" i="1"/>
  <c r="BB658" i="1"/>
  <c r="BD658" i="1"/>
  <c r="CE658" i="1"/>
  <c r="A659" i="1"/>
  <c r="C659" i="1"/>
  <c r="E659" i="1"/>
  <c r="S659" i="1"/>
  <c r="T659" i="1"/>
  <c r="U659" i="1"/>
  <c r="BB659" i="1"/>
  <c r="BD659" i="1"/>
  <c r="CE659" i="1"/>
  <c r="A660" i="1"/>
  <c r="C660" i="1"/>
  <c r="E660" i="1"/>
  <c r="S660" i="1"/>
  <c r="T660" i="1"/>
  <c r="U660" i="1"/>
  <c r="BB660" i="1"/>
  <c r="BD660" i="1"/>
  <c r="CE660" i="1"/>
  <c r="A661" i="1"/>
  <c r="C661" i="1"/>
  <c r="E661" i="1"/>
  <c r="S661" i="1"/>
  <c r="T661" i="1"/>
  <c r="U661" i="1"/>
  <c r="BB661" i="1"/>
  <c r="BD661" i="1"/>
  <c r="CE661" i="1"/>
  <c r="A662" i="1"/>
  <c r="C662" i="1"/>
  <c r="E662" i="1"/>
  <c r="S662" i="1"/>
  <c r="T662" i="1"/>
  <c r="U662" i="1"/>
  <c r="BB662" i="1"/>
  <c r="BD662" i="1"/>
  <c r="CE662" i="1"/>
  <c r="A663" i="1"/>
  <c r="C663" i="1"/>
  <c r="E663" i="1"/>
  <c r="S663" i="1"/>
  <c r="T663" i="1"/>
  <c r="U663" i="1"/>
  <c r="BB663" i="1"/>
  <c r="BD663" i="1"/>
  <c r="CE663" i="1"/>
  <c r="A664" i="1"/>
  <c r="C664" i="1"/>
  <c r="E664" i="1"/>
  <c r="S664" i="1"/>
  <c r="T664" i="1"/>
  <c r="U664" i="1"/>
  <c r="BB664" i="1"/>
  <c r="BD664" i="1"/>
  <c r="CE664" i="1"/>
  <c r="A665" i="1"/>
  <c r="C665" i="1"/>
  <c r="E665" i="1"/>
  <c r="S665" i="1"/>
  <c r="T665" i="1"/>
  <c r="U665" i="1"/>
  <c r="BB665" i="1"/>
  <c r="BD665" i="1"/>
  <c r="CE665" i="1"/>
  <c r="A666" i="1"/>
  <c r="C666" i="1"/>
  <c r="E666" i="1"/>
  <c r="S666" i="1"/>
  <c r="T666" i="1"/>
  <c r="U666" i="1"/>
  <c r="BB666" i="1"/>
  <c r="BD666" i="1"/>
  <c r="CE666" i="1"/>
  <c r="A667" i="1"/>
  <c r="C667" i="1"/>
  <c r="E667" i="1"/>
  <c r="S667" i="1"/>
  <c r="T667" i="1"/>
  <c r="U667" i="1"/>
  <c r="BB667" i="1"/>
  <c r="BD667" i="1"/>
  <c r="CE667" i="1"/>
  <c r="A668" i="1"/>
  <c r="C668" i="1"/>
  <c r="E668" i="1"/>
  <c r="S668" i="1"/>
  <c r="T668" i="1"/>
  <c r="U668" i="1"/>
  <c r="BB668" i="1"/>
  <c r="BD668" i="1"/>
  <c r="CE668" i="1"/>
  <c r="A669" i="1"/>
  <c r="C669" i="1"/>
  <c r="E669" i="1"/>
  <c r="S669" i="1"/>
  <c r="T669" i="1"/>
  <c r="U669" i="1"/>
  <c r="BB669" i="1"/>
  <c r="BD669" i="1"/>
  <c r="CE669" i="1"/>
  <c r="A670" i="1"/>
  <c r="C670" i="1"/>
  <c r="E670" i="1"/>
  <c r="S670" i="1"/>
  <c r="T670" i="1"/>
  <c r="U670" i="1"/>
  <c r="BB670" i="1"/>
  <c r="BD670" i="1"/>
  <c r="CE670" i="1"/>
  <c r="A671" i="1"/>
  <c r="C671" i="1"/>
  <c r="E671" i="1"/>
  <c r="S671" i="1"/>
  <c r="T671" i="1"/>
  <c r="U671" i="1"/>
  <c r="BB671" i="1"/>
  <c r="BD671" i="1"/>
  <c r="CE671" i="1"/>
  <c r="A672" i="1"/>
  <c r="C672" i="1"/>
  <c r="E672" i="1"/>
  <c r="S672" i="1"/>
  <c r="T672" i="1"/>
  <c r="U672" i="1"/>
  <c r="BB672" i="1"/>
  <c r="BD672" i="1"/>
  <c r="CE672" i="1"/>
  <c r="A673" i="1"/>
  <c r="C673" i="1"/>
  <c r="E673" i="1"/>
  <c r="S673" i="1"/>
  <c r="T673" i="1"/>
  <c r="U673" i="1"/>
  <c r="BB673" i="1"/>
  <c r="BD673" i="1"/>
  <c r="CE673" i="1"/>
  <c r="A674" i="1"/>
  <c r="C674" i="1"/>
  <c r="E674" i="1"/>
  <c r="S674" i="1"/>
  <c r="T674" i="1"/>
  <c r="U674" i="1"/>
  <c r="BB674" i="1"/>
  <c r="BD674" i="1"/>
  <c r="CE674" i="1"/>
  <c r="A675" i="1"/>
  <c r="C675" i="1"/>
  <c r="E675" i="1"/>
  <c r="S675" i="1"/>
  <c r="T675" i="1"/>
  <c r="U675" i="1"/>
  <c r="BB675" i="1"/>
  <c r="BD675" i="1"/>
  <c r="CE675" i="1"/>
  <c r="A676" i="1"/>
  <c r="C676" i="1"/>
  <c r="E676" i="1"/>
  <c r="S676" i="1"/>
  <c r="T676" i="1"/>
  <c r="U676" i="1"/>
  <c r="BB676" i="1"/>
  <c r="BD676" i="1"/>
  <c r="CE676" i="1"/>
  <c r="A677" i="1"/>
  <c r="C677" i="1"/>
  <c r="E677" i="1"/>
  <c r="S677" i="1"/>
  <c r="T677" i="1"/>
  <c r="U677" i="1"/>
  <c r="BB677" i="1"/>
  <c r="BD677" i="1"/>
  <c r="CE677" i="1"/>
  <c r="A678" i="1"/>
  <c r="C678" i="1"/>
  <c r="E678" i="1"/>
  <c r="S678" i="1"/>
  <c r="T678" i="1"/>
  <c r="U678" i="1"/>
  <c r="BB678" i="1"/>
  <c r="BD678" i="1"/>
  <c r="CE678" i="1"/>
  <c r="A679" i="1"/>
  <c r="C679" i="1"/>
  <c r="E679" i="1"/>
  <c r="S679" i="1"/>
  <c r="T679" i="1"/>
  <c r="U679" i="1"/>
  <c r="BB679" i="1"/>
  <c r="BD679" i="1"/>
  <c r="CE679" i="1"/>
  <c r="A680" i="1"/>
  <c r="C680" i="1"/>
  <c r="E680" i="1"/>
  <c r="S680" i="1"/>
  <c r="T680" i="1"/>
  <c r="U680" i="1"/>
  <c r="BB680" i="1"/>
  <c r="BD680" i="1"/>
  <c r="CE680" i="1"/>
  <c r="A681" i="1"/>
  <c r="C681" i="1"/>
  <c r="E681" i="1"/>
  <c r="S681" i="1"/>
  <c r="T681" i="1"/>
  <c r="U681" i="1"/>
  <c r="BB681" i="1"/>
  <c r="BD681" i="1"/>
  <c r="CE681" i="1"/>
  <c r="A682" i="1"/>
  <c r="C682" i="1"/>
  <c r="E682" i="1"/>
  <c r="S682" i="1"/>
  <c r="T682" i="1"/>
  <c r="U682" i="1"/>
  <c r="BB682" i="1"/>
  <c r="BD682" i="1"/>
  <c r="CE682" i="1"/>
  <c r="A683" i="1"/>
  <c r="C683" i="1"/>
  <c r="E683" i="1"/>
  <c r="S683" i="1"/>
  <c r="T683" i="1"/>
  <c r="U683" i="1"/>
  <c r="BB683" i="1"/>
  <c r="BD683" i="1"/>
  <c r="CE683" i="1"/>
  <c r="A684" i="1"/>
  <c r="C684" i="1"/>
  <c r="E684" i="1"/>
  <c r="S684" i="1"/>
  <c r="T684" i="1"/>
  <c r="U684" i="1"/>
  <c r="BB684" i="1"/>
  <c r="BD684" i="1"/>
  <c r="CE684" i="1"/>
  <c r="A685" i="1"/>
  <c r="C685" i="1"/>
  <c r="E685" i="1"/>
  <c r="S685" i="1"/>
  <c r="T685" i="1"/>
  <c r="U685" i="1"/>
  <c r="BB685" i="1"/>
  <c r="BD685" i="1"/>
  <c r="CE685" i="1"/>
  <c r="A686" i="1"/>
  <c r="C686" i="1"/>
  <c r="E686" i="1"/>
  <c r="S686" i="1"/>
  <c r="T686" i="1"/>
  <c r="U686" i="1"/>
  <c r="CE686" i="1"/>
  <c r="A687" i="1"/>
  <c r="C687" i="1"/>
  <c r="E687" i="1"/>
  <c r="S687" i="1"/>
  <c r="T687" i="1"/>
  <c r="U687" i="1"/>
  <c r="CE687" i="1"/>
  <c r="A688" i="1"/>
  <c r="C688" i="1"/>
  <c r="E688" i="1"/>
  <c r="S688" i="1"/>
  <c r="T688" i="1"/>
  <c r="U688" i="1"/>
  <c r="CE688" i="1"/>
  <c r="A689" i="1"/>
  <c r="C689" i="1"/>
  <c r="E689" i="1"/>
  <c r="S689" i="1"/>
  <c r="T689" i="1"/>
  <c r="U689" i="1"/>
  <c r="CE689" i="1"/>
  <c r="A690" i="1"/>
  <c r="C690" i="1"/>
  <c r="E690" i="1"/>
  <c r="S690" i="1"/>
  <c r="T690" i="1"/>
  <c r="U690" i="1"/>
  <c r="CE690" i="1"/>
  <c r="A691" i="1"/>
  <c r="C691" i="1"/>
  <c r="E691" i="1"/>
  <c r="S691" i="1"/>
  <c r="T691" i="1"/>
  <c r="U691" i="1"/>
  <c r="CE691" i="1"/>
  <c r="A692" i="1"/>
  <c r="C692" i="1"/>
  <c r="E692" i="1"/>
  <c r="S692" i="1"/>
  <c r="T692" i="1"/>
  <c r="U692" i="1"/>
  <c r="BB692" i="1"/>
  <c r="BD692" i="1"/>
  <c r="CE692" i="1"/>
  <c r="A693" i="1"/>
  <c r="C693" i="1"/>
  <c r="E693" i="1"/>
  <c r="S693" i="1"/>
  <c r="T693" i="1"/>
  <c r="U693" i="1"/>
  <c r="BB693" i="1"/>
  <c r="BD693" i="1"/>
  <c r="CE693" i="1"/>
  <c r="A694" i="1"/>
  <c r="C694" i="1"/>
  <c r="E694" i="1"/>
  <c r="S694" i="1"/>
  <c r="T694" i="1"/>
  <c r="U694" i="1"/>
  <c r="BB694" i="1"/>
  <c r="BD694" i="1"/>
  <c r="CE694" i="1"/>
  <c r="A695" i="1"/>
  <c r="C695" i="1"/>
  <c r="E695" i="1"/>
  <c r="S695" i="1"/>
  <c r="T695" i="1"/>
  <c r="U695" i="1"/>
  <c r="BB695" i="1"/>
  <c r="BD695" i="1"/>
  <c r="CE695" i="1"/>
  <c r="A696" i="1"/>
  <c r="C696" i="1"/>
  <c r="E696" i="1"/>
  <c r="S696" i="1"/>
  <c r="T696" i="1"/>
  <c r="U696" i="1"/>
  <c r="BB696" i="1"/>
  <c r="BD696" i="1"/>
  <c r="CE696" i="1"/>
  <c r="A697" i="1"/>
  <c r="C697" i="1"/>
  <c r="E697" i="1"/>
  <c r="S697" i="1"/>
  <c r="T697" i="1"/>
  <c r="U697" i="1"/>
  <c r="BB697" i="1"/>
  <c r="BD697" i="1"/>
  <c r="CE697" i="1"/>
  <c r="A698" i="1"/>
  <c r="C698" i="1"/>
  <c r="E698" i="1"/>
  <c r="S698" i="1"/>
  <c r="T698" i="1"/>
  <c r="U698" i="1"/>
  <c r="BB698" i="1"/>
  <c r="BD698" i="1"/>
  <c r="CE698" i="1"/>
  <c r="A699" i="1"/>
  <c r="C699" i="1"/>
  <c r="E699" i="1"/>
  <c r="S699" i="1"/>
  <c r="T699" i="1"/>
  <c r="U699" i="1"/>
  <c r="BB699" i="1"/>
  <c r="BD699" i="1"/>
  <c r="CE699" i="1"/>
  <c r="A700" i="1"/>
  <c r="C700" i="1"/>
  <c r="E700" i="1"/>
  <c r="S700" i="1"/>
  <c r="T700" i="1"/>
  <c r="U700" i="1"/>
  <c r="BB700" i="1"/>
  <c r="BD700" i="1"/>
  <c r="CE700" i="1"/>
  <c r="A701" i="1"/>
  <c r="C701" i="1"/>
  <c r="E701" i="1"/>
  <c r="S701" i="1"/>
  <c r="T701" i="1"/>
  <c r="U701" i="1"/>
  <c r="BB701" i="1"/>
  <c r="BD701" i="1"/>
  <c r="CE701" i="1"/>
  <c r="A702" i="1"/>
  <c r="C702" i="1"/>
  <c r="E702" i="1"/>
  <c r="S702" i="1"/>
  <c r="T702" i="1"/>
  <c r="U702" i="1"/>
  <c r="BB702" i="1"/>
  <c r="BD702" i="1"/>
  <c r="CE702" i="1"/>
  <c r="A703" i="1"/>
  <c r="C703" i="1"/>
  <c r="E703" i="1"/>
  <c r="S703" i="1"/>
  <c r="T703" i="1"/>
  <c r="U703" i="1"/>
  <c r="BB703" i="1"/>
  <c r="BD703" i="1"/>
  <c r="CE703" i="1"/>
  <c r="A704" i="1"/>
  <c r="C704" i="1"/>
  <c r="E704" i="1"/>
  <c r="S704" i="1"/>
  <c r="T704" i="1"/>
  <c r="U704" i="1"/>
  <c r="BB704" i="1"/>
  <c r="BD704" i="1"/>
  <c r="CE704" i="1"/>
  <c r="A705" i="1"/>
  <c r="C705" i="1"/>
  <c r="E705" i="1"/>
  <c r="S705" i="1"/>
  <c r="T705" i="1"/>
  <c r="U705" i="1"/>
  <c r="BB705" i="1"/>
  <c r="BD705" i="1"/>
  <c r="CE705" i="1"/>
  <c r="A706" i="1"/>
  <c r="C706" i="1"/>
  <c r="E706" i="1"/>
  <c r="S706" i="1"/>
  <c r="T706" i="1"/>
  <c r="U706" i="1"/>
  <c r="BB706" i="1"/>
  <c r="BD706" i="1"/>
  <c r="CE706" i="1"/>
  <c r="A707" i="1"/>
  <c r="C707" i="1"/>
  <c r="E707" i="1"/>
  <c r="S707" i="1"/>
  <c r="T707" i="1"/>
  <c r="U707" i="1"/>
  <c r="BB707" i="1"/>
  <c r="BD707" i="1"/>
  <c r="CE707" i="1"/>
  <c r="A708" i="1"/>
  <c r="C708" i="1"/>
  <c r="E708" i="1"/>
  <c r="S708" i="1"/>
  <c r="T708" i="1"/>
  <c r="U708" i="1"/>
  <c r="BB708" i="1"/>
  <c r="BD708" i="1"/>
  <c r="CE708" i="1"/>
  <c r="A709" i="1"/>
  <c r="C709" i="1"/>
  <c r="E709" i="1"/>
  <c r="S709" i="1"/>
  <c r="T709" i="1"/>
  <c r="U709" i="1"/>
  <c r="BB709" i="1"/>
  <c r="BD709" i="1"/>
  <c r="CE709" i="1"/>
  <c r="A710" i="1"/>
  <c r="C710" i="1"/>
  <c r="E710" i="1"/>
  <c r="S710" i="1"/>
  <c r="T710" i="1"/>
  <c r="U710" i="1"/>
  <c r="BB710" i="1"/>
  <c r="BD710" i="1"/>
  <c r="CE710" i="1"/>
  <c r="A711" i="1"/>
  <c r="C711" i="1"/>
  <c r="E711" i="1"/>
  <c r="S711" i="1"/>
  <c r="T711" i="1"/>
  <c r="U711" i="1"/>
  <c r="BB711" i="1"/>
  <c r="BD711" i="1"/>
  <c r="CE711" i="1"/>
  <c r="A712" i="1"/>
  <c r="C712" i="1"/>
  <c r="E712" i="1"/>
  <c r="S712" i="1"/>
  <c r="T712" i="1"/>
  <c r="U712" i="1"/>
  <c r="BB712" i="1"/>
  <c r="BD712" i="1"/>
  <c r="CE712" i="1"/>
  <c r="A713" i="1"/>
  <c r="C713" i="1"/>
  <c r="E713" i="1"/>
  <c r="S713" i="1"/>
  <c r="T713" i="1"/>
  <c r="U713" i="1"/>
  <c r="BB713" i="1"/>
  <c r="BD713" i="1"/>
  <c r="CE713" i="1"/>
  <c r="A714" i="1"/>
  <c r="C714" i="1"/>
  <c r="E714" i="1"/>
  <c r="S714" i="1"/>
  <c r="T714" i="1"/>
  <c r="U714" i="1"/>
  <c r="BB714" i="1"/>
  <c r="BD714" i="1"/>
  <c r="CE714" i="1"/>
  <c r="A715" i="1"/>
  <c r="C715" i="1"/>
  <c r="E715" i="1"/>
  <c r="S715" i="1"/>
  <c r="T715" i="1"/>
  <c r="U715" i="1"/>
  <c r="BB715" i="1"/>
  <c r="BD715" i="1"/>
  <c r="CE715" i="1"/>
  <c r="A716" i="1"/>
  <c r="C716" i="1"/>
  <c r="E716" i="1"/>
  <c r="S716" i="1"/>
  <c r="T716" i="1"/>
  <c r="U716" i="1"/>
  <c r="BB716" i="1"/>
  <c r="BD716" i="1"/>
  <c r="CE716" i="1"/>
  <c r="A717" i="1"/>
  <c r="C717" i="1"/>
  <c r="E717" i="1"/>
  <c r="S717" i="1"/>
  <c r="T717" i="1"/>
  <c r="U717" i="1"/>
  <c r="BB717" i="1"/>
  <c r="BD717" i="1"/>
  <c r="CE717" i="1"/>
  <c r="A718" i="1"/>
  <c r="C718" i="1"/>
  <c r="E718" i="1"/>
  <c r="S718" i="1"/>
  <c r="T718" i="1"/>
  <c r="U718" i="1"/>
  <c r="BB718" i="1"/>
  <c r="BD718" i="1"/>
  <c r="CE718" i="1"/>
  <c r="A719" i="1"/>
  <c r="C719" i="1"/>
  <c r="E719" i="1"/>
  <c r="S719" i="1"/>
  <c r="T719" i="1"/>
  <c r="U719" i="1"/>
  <c r="BB719" i="1"/>
  <c r="BD719" i="1"/>
  <c r="CE719" i="1"/>
  <c r="A720" i="1"/>
  <c r="C720" i="1"/>
  <c r="E720" i="1"/>
  <c r="S720" i="1"/>
  <c r="T720" i="1"/>
  <c r="U720" i="1"/>
  <c r="BB720" i="1"/>
  <c r="BD720" i="1"/>
  <c r="CE720" i="1"/>
  <c r="A721" i="1"/>
  <c r="C721" i="1"/>
  <c r="E721" i="1"/>
  <c r="S721" i="1"/>
  <c r="T721" i="1"/>
  <c r="U721" i="1"/>
  <c r="BB721" i="1"/>
  <c r="BD721" i="1"/>
  <c r="CE721" i="1"/>
  <c r="A722" i="1"/>
  <c r="C722" i="1"/>
  <c r="E722" i="1"/>
  <c r="S722" i="1"/>
  <c r="T722" i="1"/>
  <c r="U722" i="1"/>
  <c r="BB722" i="1"/>
  <c r="BD722" i="1"/>
  <c r="CE722" i="1"/>
  <c r="A723" i="1"/>
  <c r="C723" i="1"/>
  <c r="E723" i="1"/>
  <c r="S723" i="1"/>
  <c r="T723" i="1"/>
  <c r="U723" i="1"/>
  <c r="BB723" i="1"/>
  <c r="BD723" i="1"/>
  <c r="CE723" i="1"/>
  <c r="A724" i="1"/>
  <c r="C724" i="1"/>
  <c r="E724" i="1"/>
  <c r="S724" i="1"/>
  <c r="T724" i="1"/>
  <c r="U724" i="1"/>
  <c r="BB724" i="1"/>
  <c r="BD724" i="1"/>
  <c r="CE724" i="1"/>
  <c r="A725" i="1"/>
  <c r="C725" i="1"/>
  <c r="E725" i="1"/>
  <c r="S725" i="1"/>
  <c r="T725" i="1"/>
  <c r="U725" i="1"/>
  <c r="BB725" i="1"/>
  <c r="BD725" i="1"/>
  <c r="CE725" i="1"/>
  <c r="A726" i="1"/>
  <c r="C726" i="1"/>
  <c r="E726" i="1"/>
  <c r="S726" i="1"/>
  <c r="T726" i="1"/>
  <c r="U726" i="1"/>
  <c r="BB726" i="1"/>
  <c r="BD726" i="1"/>
  <c r="CE726" i="1"/>
  <c r="A727" i="1"/>
  <c r="C727" i="1"/>
  <c r="E727" i="1"/>
  <c r="S727" i="1"/>
  <c r="T727" i="1"/>
  <c r="U727" i="1"/>
  <c r="BB727" i="1"/>
  <c r="BD727" i="1"/>
  <c r="CE727" i="1"/>
  <c r="A728" i="1"/>
  <c r="C728" i="1"/>
  <c r="E728" i="1"/>
  <c r="S728" i="1"/>
  <c r="T728" i="1"/>
  <c r="U728" i="1"/>
  <c r="BB728" i="1"/>
  <c r="BD728" i="1"/>
  <c r="CE728" i="1"/>
  <c r="A729" i="1"/>
  <c r="C729" i="1"/>
  <c r="E729" i="1"/>
  <c r="S729" i="1"/>
  <c r="T729" i="1"/>
  <c r="U729" i="1"/>
  <c r="BB729" i="1"/>
  <c r="BD729" i="1"/>
  <c r="CE729" i="1"/>
  <c r="A730" i="1"/>
  <c r="C730" i="1"/>
  <c r="E730" i="1"/>
  <c r="S730" i="1"/>
  <c r="T730" i="1"/>
  <c r="U730" i="1"/>
  <c r="BB730" i="1"/>
  <c r="BD730" i="1"/>
  <c r="CE730" i="1"/>
  <c r="A731" i="1"/>
  <c r="C731" i="1"/>
  <c r="E731" i="1"/>
  <c r="S731" i="1"/>
  <c r="T731" i="1"/>
  <c r="U731" i="1"/>
  <c r="BB731" i="1"/>
  <c r="BD731" i="1"/>
  <c r="CE731" i="1"/>
  <c r="A732" i="1"/>
  <c r="C732" i="1"/>
  <c r="E732" i="1"/>
  <c r="S732" i="1"/>
  <c r="T732" i="1"/>
  <c r="U732" i="1"/>
  <c r="BB732" i="1"/>
  <c r="BD732" i="1"/>
  <c r="CE732" i="1"/>
  <c r="A733" i="1"/>
  <c r="C733" i="1"/>
  <c r="E733" i="1"/>
  <c r="S733" i="1"/>
  <c r="T733" i="1"/>
  <c r="U733" i="1"/>
  <c r="BB733" i="1"/>
  <c r="BD733" i="1"/>
  <c r="CE733" i="1"/>
  <c r="A734" i="1"/>
  <c r="C734" i="1"/>
  <c r="E734" i="1"/>
  <c r="S734" i="1"/>
  <c r="T734" i="1"/>
  <c r="U734" i="1"/>
  <c r="BB734" i="1"/>
  <c r="BD734" i="1"/>
  <c r="CE734" i="1"/>
  <c r="A735" i="1"/>
  <c r="C735" i="1"/>
  <c r="E735" i="1"/>
  <c r="S735" i="1"/>
  <c r="T735" i="1"/>
  <c r="U735" i="1"/>
  <c r="BB735" i="1"/>
  <c r="BD735" i="1"/>
  <c r="CE735" i="1"/>
  <c r="A736" i="1"/>
  <c r="C736" i="1"/>
  <c r="E736" i="1"/>
  <c r="S736" i="1"/>
  <c r="T736" i="1"/>
  <c r="U736" i="1"/>
  <c r="BB736" i="1"/>
  <c r="BD736" i="1"/>
  <c r="CE736" i="1"/>
  <c r="A737" i="1"/>
  <c r="C737" i="1"/>
  <c r="E737" i="1"/>
  <c r="S737" i="1"/>
  <c r="T737" i="1"/>
  <c r="U737" i="1"/>
  <c r="BB737" i="1"/>
  <c r="BD737" i="1"/>
  <c r="CE737" i="1"/>
  <c r="A738" i="1"/>
  <c r="C738" i="1"/>
  <c r="E738" i="1"/>
  <c r="S738" i="1"/>
  <c r="T738" i="1"/>
  <c r="U738" i="1"/>
  <c r="BB738" i="1"/>
  <c r="BD738" i="1"/>
  <c r="CE738" i="1"/>
  <c r="A739" i="1"/>
  <c r="C739" i="1"/>
  <c r="E739" i="1"/>
  <c r="S739" i="1"/>
  <c r="T739" i="1"/>
  <c r="U739" i="1"/>
  <c r="BB739" i="1"/>
  <c r="BD739" i="1"/>
  <c r="CE739" i="1"/>
  <c r="A740" i="1"/>
  <c r="C740" i="1"/>
  <c r="E740" i="1"/>
  <c r="S740" i="1"/>
  <c r="T740" i="1"/>
  <c r="U740" i="1"/>
  <c r="BB740" i="1"/>
  <c r="BD740" i="1"/>
  <c r="CE740" i="1"/>
  <c r="A741" i="1"/>
  <c r="C741" i="1"/>
  <c r="E741" i="1"/>
  <c r="S741" i="1"/>
  <c r="T741" i="1"/>
  <c r="U741" i="1"/>
  <c r="BB741" i="1"/>
  <c r="BD741" i="1"/>
  <c r="CE741" i="1"/>
  <c r="A742" i="1"/>
  <c r="C742" i="1"/>
  <c r="E742" i="1"/>
  <c r="S742" i="1"/>
  <c r="T742" i="1"/>
  <c r="U742" i="1"/>
  <c r="BB742" i="1"/>
  <c r="BD742" i="1"/>
  <c r="CE742" i="1"/>
  <c r="A743" i="1"/>
  <c r="C743" i="1"/>
  <c r="E743" i="1"/>
  <c r="S743" i="1"/>
  <c r="T743" i="1"/>
  <c r="U743" i="1"/>
  <c r="BB743" i="1"/>
  <c r="BD743" i="1"/>
  <c r="CE743" i="1"/>
  <c r="A744" i="1"/>
  <c r="C744" i="1"/>
  <c r="E744" i="1"/>
  <c r="S744" i="1"/>
  <c r="T744" i="1"/>
  <c r="U744" i="1"/>
  <c r="BB744" i="1"/>
  <c r="BD744" i="1"/>
  <c r="CE744" i="1"/>
  <c r="A745" i="1"/>
  <c r="C745" i="1"/>
  <c r="E745" i="1"/>
  <c r="S745" i="1"/>
  <c r="T745" i="1"/>
  <c r="U745" i="1"/>
  <c r="BB745" i="1"/>
  <c r="BD745" i="1"/>
  <c r="CE745" i="1"/>
  <c r="A746" i="1"/>
  <c r="C746" i="1"/>
  <c r="E746" i="1"/>
  <c r="S746" i="1"/>
  <c r="T746" i="1"/>
  <c r="U746" i="1"/>
  <c r="BB746" i="1"/>
  <c r="BD746" i="1"/>
  <c r="CE746" i="1"/>
  <c r="A747" i="1"/>
  <c r="C747" i="1"/>
  <c r="E747" i="1"/>
  <c r="S747" i="1"/>
  <c r="T747" i="1"/>
  <c r="U747" i="1"/>
  <c r="BB747" i="1"/>
  <c r="BD747" i="1"/>
  <c r="CE747" i="1"/>
  <c r="A748" i="1"/>
  <c r="C748" i="1"/>
  <c r="E748" i="1"/>
  <c r="S748" i="1"/>
  <c r="T748" i="1"/>
  <c r="U748" i="1"/>
  <c r="BB748" i="1"/>
  <c r="BD748" i="1"/>
  <c r="CE748" i="1"/>
  <c r="A749" i="1"/>
  <c r="C749" i="1"/>
  <c r="E749" i="1"/>
  <c r="S749" i="1"/>
  <c r="T749" i="1"/>
  <c r="U749" i="1"/>
  <c r="BB749" i="1"/>
  <c r="BD749" i="1"/>
  <c r="CE749" i="1"/>
  <c r="A750" i="1"/>
  <c r="C750" i="1"/>
  <c r="E750" i="1"/>
  <c r="S750" i="1"/>
  <c r="T750" i="1"/>
  <c r="U750" i="1"/>
  <c r="BB750" i="1"/>
  <c r="BD750" i="1"/>
  <c r="CE750" i="1"/>
  <c r="A751" i="1"/>
  <c r="C751" i="1"/>
  <c r="E751" i="1"/>
  <c r="S751" i="1"/>
  <c r="T751" i="1"/>
  <c r="U751" i="1"/>
  <c r="BB751" i="1"/>
  <c r="BD751" i="1"/>
  <c r="CE751" i="1"/>
  <c r="A752" i="1"/>
  <c r="C752" i="1"/>
  <c r="E752" i="1"/>
  <c r="S752" i="1"/>
  <c r="T752" i="1"/>
  <c r="U752" i="1"/>
  <c r="BB752" i="1"/>
  <c r="BD752" i="1"/>
  <c r="CE752" i="1"/>
  <c r="A753" i="1"/>
  <c r="C753" i="1"/>
  <c r="E753" i="1"/>
  <c r="S753" i="1"/>
  <c r="T753" i="1"/>
  <c r="U753" i="1"/>
  <c r="BB753" i="1"/>
  <c r="BD753" i="1"/>
  <c r="CE753" i="1"/>
  <c r="A754" i="1"/>
  <c r="C754" i="1"/>
  <c r="E754" i="1"/>
  <c r="S754" i="1"/>
  <c r="T754" i="1"/>
  <c r="U754" i="1"/>
  <c r="BB754" i="1"/>
  <c r="BD754" i="1"/>
  <c r="CE754" i="1"/>
  <c r="A755" i="1"/>
  <c r="C755" i="1"/>
  <c r="E755" i="1"/>
  <c r="S755" i="1"/>
  <c r="T755" i="1"/>
  <c r="U755" i="1"/>
  <c r="BB755" i="1"/>
  <c r="BD755" i="1"/>
  <c r="CE755" i="1"/>
  <c r="A756" i="1"/>
  <c r="C756" i="1"/>
  <c r="E756" i="1"/>
  <c r="S756" i="1"/>
  <c r="T756" i="1"/>
  <c r="U756" i="1"/>
  <c r="BB756" i="1"/>
  <c r="BD756" i="1"/>
  <c r="CE756" i="1"/>
  <c r="A757" i="1"/>
  <c r="C757" i="1"/>
  <c r="E757" i="1"/>
  <c r="S757" i="1"/>
  <c r="T757" i="1"/>
  <c r="U757" i="1"/>
  <c r="BB757" i="1"/>
  <c r="BD757" i="1"/>
  <c r="CE757" i="1"/>
  <c r="A758" i="1"/>
  <c r="C758" i="1"/>
  <c r="E758" i="1"/>
  <c r="S758" i="1"/>
  <c r="T758" i="1"/>
  <c r="U758" i="1"/>
  <c r="BB758" i="1"/>
  <c r="BD758" i="1"/>
  <c r="CE758" i="1"/>
  <c r="A759" i="1"/>
  <c r="C759" i="1"/>
  <c r="E759" i="1"/>
  <c r="S759" i="1"/>
  <c r="T759" i="1"/>
  <c r="U759" i="1"/>
  <c r="BB759" i="1"/>
  <c r="BD759" i="1"/>
  <c r="CE759" i="1"/>
  <c r="A760" i="1"/>
  <c r="C760" i="1"/>
  <c r="E760" i="1"/>
  <c r="S760" i="1"/>
  <c r="T760" i="1"/>
  <c r="U760" i="1"/>
  <c r="BB760" i="1"/>
  <c r="BD760" i="1"/>
  <c r="CE760" i="1"/>
  <c r="A761" i="1"/>
  <c r="C761" i="1"/>
  <c r="E761" i="1"/>
  <c r="S761" i="1"/>
  <c r="T761" i="1"/>
  <c r="U761" i="1"/>
  <c r="BB761" i="1"/>
  <c r="BD761" i="1"/>
  <c r="CE761" i="1"/>
  <c r="A762" i="1"/>
  <c r="C762" i="1"/>
  <c r="E762" i="1"/>
  <c r="S762" i="1"/>
  <c r="T762" i="1"/>
  <c r="U762" i="1"/>
  <c r="BB762" i="1"/>
  <c r="BD762" i="1"/>
  <c r="CE762" i="1"/>
  <c r="A763" i="1"/>
  <c r="C763" i="1"/>
  <c r="E763" i="1"/>
  <c r="S763" i="1"/>
  <c r="T763" i="1"/>
  <c r="U763" i="1"/>
  <c r="BB763" i="1"/>
  <c r="BD763" i="1"/>
  <c r="CE763" i="1"/>
  <c r="A764" i="1"/>
  <c r="C764" i="1"/>
  <c r="E764" i="1"/>
  <c r="S764" i="1"/>
  <c r="T764" i="1"/>
  <c r="U764" i="1"/>
  <c r="BB764" i="1"/>
  <c r="BD764" i="1"/>
  <c r="CE764" i="1"/>
  <c r="A765" i="1"/>
  <c r="C765" i="1"/>
  <c r="E765" i="1"/>
  <c r="S765" i="1"/>
  <c r="T765" i="1"/>
  <c r="U765" i="1"/>
  <c r="BB765" i="1"/>
  <c r="BD765" i="1"/>
  <c r="CE765" i="1"/>
  <c r="A766" i="1"/>
  <c r="C766" i="1"/>
  <c r="E766" i="1"/>
  <c r="S766" i="1"/>
  <c r="T766" i="1"/>
  <c r="U766" i="1"/>
  <c r="BB766" i="1"/>
  <c r="BD766" i="1"/>
  <c r="CE766" i="1"/>
  <c r="A767" i="1"/>
  <c r="C767" i="1"/>
  <c r="E767" i="1"/>
  <c r="S767" i="1"/>
  <c r="T767" i="1"/>
  <c r="U767" i="1"/>
  <c r="BB767" i="1"/>
  <c r="BD767" i="1"/>
  <c r="CE767" i="1"/>
  <c r="A768" i="1"/>
  <c r="C768" i="1"/>
  <c r="E768" i="1"/>
  <c r="S768" i="1"/>
  <c r="T768" i="1"/>
  <c r="U768" i="1"/>
  <c r="BB768" i="1"/>
  <c r="BD768" i="1"/>
  <c r="CE768" i="1"/>
  <c r="A769" i="1"/>
  <c r="C769" i="1"/>
  <c r="E769" i="1"/>
  <c r="S769" i="1"/>
  <c r="T769" i="1"/>
  <c r="U769" i="1"/>
  <c r="BB769" i="1"/>
  <c r="BD769" i="1"/>
  <c r="CE769" i="1"/>
  <c r="A770" i="1"/>
  <c r="C770" i="1"/>
  <c r="E770" i="1"/>
  <c r="S770" i="1"/>
  <c r="T770" i="1"/>
  <c r="U770" i="1"/>
  <c r="BB770" i="1"/>
  <c r="BD770" i="1"/>
  <c r="CE770" i="1"/>
  <c r="A771" i="1"/>
  <c r="C771" i="1"/>
  <c r="E771" i="1"/>
  <c r="S771" i="1"/>
  <c r="T771" i="1"/>
  <c r="U771" i="1"/>
  <c r="BB771" i="1"/>
  <c r="BD771" i="1"/>
  <c r="CE771" i="1"/>
  <c r="A772" i="1"/>
  <c r="C772" i="1"/>
  <c r="E772" i="1"/>
  <c r="S772" i="1"/>
  <c r="T772" i="1"/>
  <c r="U772" i="1"/>
  <c r="BB772" i="1"/>
  <c r="BD772" i="1"/>
  <c r="CE772" i="1"/>
  <c r="A773" i="1"/>
  <c r="C773" i="1"/>
  <c r="E773" i="1"/>
  <c r="S773" i="1"/>
  <c r="T773" i="1"/>
  <c r="U773" i="1"/>
  <c r="BB773" i="1"/>
  <c r="BD773" i="1"/>
  <c r="CE773" i="1"/>
  <c r="A774" i="1"/>
  <c r="C774" i="1"/>
  <c r="E774" i="1"/>
  <c r="S774" i="1"/>
  <c r="T774" i="1"/>
  <c r="U774" i="1"/>
  <c r="BB774" i="1"/>
  <c r="BD774" i="1"/>
  <c r="CE774" i="1"/>
  <c r="A775" i="1"/>
  <c r="C775" i="1"/>
  <c r="E775" i="1"/>
  <c r="S775" i="1"/>
  <c r="T775" i="1"/>
  <c r="U775" i="1"/>
  <c r="BB775" i="1"/>
  <c r="BD775" i="1"/>
  <c r="CE775" i="1"/>
  <c r="A776" i="1"/>
  <c r="C776" i="1"/>
  <c r="E776" i="1"/>
  <c r="S776" i="1"/>
  <c r="T776" i="1"/>
  <c r="U776" i="1"/>
  <c r="BB776" i="1"/>
  <c r="BD776" i="1"/>
  <c r="CE776" i="1"/>
  <c r="A777" i="1"/>
  <c r="C777" i="1"/>
  <c r="E777" i="1"/>
  <c r="S777" i="1"/>
  <c r="T777" i="1"/>
  <c r="U777" i="1"/>
  <c r="BB777" i="1"/>
  <c r="BD777" i="1"/>
  <c r="CE777" i="1"/>
  <c r="A778" i="1"/>
  <c r="C778" i="1"/>
  <c r="E778" i="1"/>
  <c r="S778" i="1"/>
  <c r="T778" i="1"/>
  <c r="U778" i="1"/>
  <c r="BB778" i="1"/>
  <c r="BD778" i="1"/>
  <c r="CE778" i="1"/>
  <c r="A779" i="1"/>
  <c r="C779" i="1"/>
  <c r="E779" i="1"/>
  <c r="S779" i="1"/>
  <c r="T779" i="1"/>
  <c r="U779" i="1"/>
  <c r="BB779" i="1"/>
  <c r="BD779" i="1"/>
  <c r="CE779" i="1"/>
  <c r="A780" i="1"/>
  <c r="C780" i="1"/>
  <c r="E780" i="1"/>
  <c r="S780" i="1"/>
  <c r="T780" i="1"/>
  <c r="U780" i="1"/>
  <c r="BB780" i="1"/>
  <c r="BD780" i="1"/>
  <c r="CE780" i="1"/>
  <c r="A781" i="1"/>
  <c r="C781" i="1"/>
  <c r="E781" i="1"/>
  <c r="S781" i="1"/>
  <c r="T781" i="1"/>
  <c r="U781" i="1"/>
  <c r="BB781" i="1"/>
  <c r="BD781" i="1"/>
  <c r="CE781" i="1"/>
  <c r="A782" i="1"/>
  <c r="C782" i="1"/>
  <c r="E782" i="1"/>
  <c r="S782" i="1"/>
  <c r="T782" i="1"/>
  <c r="U782" i="1"/>
  <c r="BB782" i="1"/>
  <c r="BD782" i="1"/>
  <c r="CE782" i="1"/>
  <c r="A783" i="1"/>
  <c r="C783" i="1"/>
  <c r="E783" i="1"/>
  <c r="S783" i="1"/>
  <c r="T783" i="1"/>
  <c r="U783" i="1"/>
  <c r="BB783" i="1"/>
  <c r="BD783" i="1"/>
  <c r="CE783" i="1"/>
  <c r="A784" i="1"/>
  <c r="C784" i="1"/>
  <c r="E784" i="1"/>
  <c r="S784" i="1"/>
  <c r="T784" i="1"/>
  <c r="U784" i="1"/>
  <c r="BB784" i="1"/>
  <c r="BD784" i="1"/>
  <c r="CE784" i="1"/>
  <c r="A785" i="1"/>
  <c r="C785" i="1"/>
  <c r="E785" i="1"/>
  <c r="S785" i="1"/>
  <c r="T785" i="1"/>
  <c r="U785" i="1"/>
  <c r="BB785" i="1"/>
  <c r="BD785" i="1"/>
  <c r="CE785" i="1"/>
  <c r="A786" i="1"/>
  <c r="C786" i="1"/>
  <c r="E786" i="1"/>
  <c r="S786" i="1"/>
  <c r="T786" i="1"/>
  <c r="U786" i="1"/>
  <c r="BB786" i="1"/>
  <c r="BD786" i="1"/>
  <c r="CE786" i="1"/>
  <c r="A787" i="1"/>
  <c r="C787" i="1"/>
  <c r="E787" i="1"/>
  <c r="S787" i="1"/>
  <c r="T787" i="1"/>
  <c r="U787" i="1"/>
  <c r="BB787" i="1"/>
  <c r="BD787" i="1"/>
  <c r="CE787" i="1"/>
  <c r="A788" i="1"/>
  <c r="C788" i="1"/>
  <c r="E788" i="1"/>
  <c r="S788" i="1"/>
  <c r="T788" i="1"/>
  <c r="U788" i="1"/>
  <c r="BB788" i="1"/>
  <c r="BD788" i="1"/>
  <c r="CE788" i="1"/>
  <c r="A789" i="1"/>
  <c r="C789" i="1"/>
  <c r="E789" i="1"/>
  <c r="S789" i="1"/>
  <c r="T789" i="1"/>
  <c r="U789" i="1"/>
  <c r="BB789" i="1"/>
  <c r="BD789" i="1"/>
  <c r="CE789" i="1"/>
  <c r="A790" i="1"/>
  <c r="C790" i="1"/>
  <c r="E790" i="1"/>
  <c r="S790" i="1"/>
  <c r="T790" i="1"/>
  <c r="U790" i="1"/>
  <c r="BB790" i="1"/>
  <c r="BD790" i="1"/>
  <c r="CE790" i="1"/>
  <c r="A791" i="1"/>
  <c r="C791" i="1"/>
  <c r="E791" i="1"/>
  <c r="S791" i="1"/>
  <c r="T791" i="1"/>
  <c r="U791" i="1"/>
  <c r="BB791" i="1"/>
  <c r="BD791" i="1"/>
  <c r="CE791" i="1"/>
  <c r="A792" i="1"/>
  <c r="C792" i="1"/>
  <c r="E792" i="1"/>
  <c r="S792" i="1"/>
  <c r="T792" i="1"/>
  <c r="U792" i="1"/>
  <c r="BB792" i="1"/>
  <c r="BD792" i="1"/>
  <c r="CE792" i="1"/>
  <c r="A793" i="1"/>
  <c r="C793" i="1"/>
  <c r="E793" i="1"/>
  <c r="S793" i="1"/>
  <c r="T793" i="1"/>
  <c r="U793" i="1"/>
  <c r="BB793" i="1"/>
  <c r="BD793" i="1"/>
  <c r="CE793" i="1"/>
  <c r="A794" i="1"/>
  <c r="C794" i="1"/>
  <c r="E794" i="1"/>
  <c r="S794" i="1"/>
  <c r="T794" i="1"/>
  <c r="U794" i="1"/>
  <c r="BB794" i="1"/>
  <c r="BD794" i="1"/>
  <c r="CE794" i="1"/>
  <c r="A795" i="1"/>
  <c r="C795" i="1"/>
  <c r="E795" i="1"/>
  <c r="S795" i="1"/>
  <c r="T795" i="1"/>
  <c r="U795" i="1"/>
  <c r="BB795" i="1"/>
  <c r="BD795" i="1"/>
  <c r="CE795" i="1"/>
  <c r="A796" i="1"/>
  <c r="C796" i="1"/>
  <c r="E796" i="1"/>
  <c r="S796" i="1"/>
  <c r="T796" i="1"/>
  <c r="U796" i="1"/>
  <c r="BB796" i="1"/>
  <c r="BD796" i="1"/>
  <c r="CE796" i="1"/>
  <c r="A797" i="1"/>
  <c r="C797" i="1"/>
  <c r="E797" i="1"/>
  <c r="S797" i="1"/>
  <c r="T797" i="1"/>
  <c r="U797" i="1"/>
  <c r="BB797" i="1"/>
  <c r="BD797" i="1"/>
  <c r="CE797" i="1"/>
  <c r="A798" i="1"/>
  <c r="C798" i="1"/>
  <c r="E798" i="1"/>
  <c r="S798" i="1"/>
  <c r="T798" i="1"/>
  <c r="U798" i="1"/>
  <c r="BB798" i="1"/>
  <c r="BD798" i="1"/>
  <c r="CE798" i="1"/>
  <c r="A799" i="1"/>
  <c r="C799" i="1"/>
  <c r="E799" i="1"/>
  <c r="S799" i="1"/>
  <c r="T799" i="1"/>
  <c r="U799" i="1"/>
  <c r="BB799" i="1"/>
  <c r="BD799" i="1"/>
  <c r="CE799" i="1"/>
  <c r="A800" i="1"/>
  <c r="C800" i="1"/>
  <c r="E800" i="1"/>
  <c r="S800" i="1"/>
  <c r="T800" i="1"/>
  <c r="U800" i="1"/>
  <c r="BB800" i="1"/>
  <c r="BD800" i="1"/>
  <c r="CE800" i="1"/>
  <c r="A801" i="1"/>
  <c r="C801" i="1"/>
  <c r="E801" i="1"/>
  <c r="S801" i="1"/>
  <c r="T801" i="1"/>
  <c r="U801" i="1"/>
  <c r="BB801" i="1"/>
  <c r="BD801" i="1"/>
  <c r="CE801" i="1"/>
  <c r="A802" i="1"/>
  <c r="C802" i="1"/>
  <c r="E802" i="1"/>
  <c r="S802" i="1"/>
  <c r="T802" i="1"/>
  <c r="U802" i="1"/>
  <c r="BB802" i="1"/>
  <c r="BD802" i="1"/>
  <c r="CE802" i="1"/>
  <c r="A803" i="1"/>
  <c r="C803" i="1"/>
  <c r="E803" i="1"/>
  <c r="S803" i="1"/>
  <c r="T803" i="1"/>
  <c r="U803" i="1"/>
  <c r="BB803" i="1"/>
  <c r="BD803" i="1"/>
  <c r="CE803" i="1"/>
  <c r="A804" i="1"/>
  <c r="C804" i="1"/>
  <c r="E804" i="1"/>
  <c r="S804" i="1"/>
  <c r="T804" i="1"/>
  <c r="U804" i="1"/>
  <c r="BB804" i="1"/>
  <c r="BD804" i="1"/>
  <c r="CE804" i="1"/>
  <c r="A805" i="1"/>
  <c r="C805" i="1"/>
  <c r="E805" i="1"/>
  <c r="S805" i="1"/>
  <c r="T805" i="1"/>
  <c r="U805" i="1"/>
  <c r="BB805" i="1"/>
  <c r="BD805" i="1"/>
  <c r="CE805" i="1"/>
  <c r="A806" i="1"/>
  <c r="C806" i="1"/>
  <c r="E806" i="1"/>
  <c r="S806" i="1"/>
  <c r="T806" i="1"/>
  <c r="U806" i="1"/>
  <c r="BB806" i="1"/>
  <c r="BD806" i="1"/>
  <c r="CE806" i="1"/>
  <c r="A807" i="1"/>
  <c r="C807" i="1"/>
  <c r="E807" i="1"/>
  <c r="S807" i="1"/>
  <c r="T807" i="1"/>
  <c r="U807" i="1"/>
  <c r="BB807" i="1"/>
  <c r="BD807" i="1"/>
  <c r="CE807" i="1"/>
  <c r="A808" i="1"/>
  <c r="C808" i="1"/>
  <c r="E808" i="1"/>
  <c r="S808" i="1"/>
  <c r="T808" i="1"/>
  <c r="U808" i="1"/>
  <c r="BB808" i="1"/>
  <c r="BD808" i="1"/>
  <c r="CE808" i="1"/>
  <c r="A809" i="1"/>
  <c r="C809" i="1"/>
  <c r="E809" i="1"/>
  <c r="S809" i="1"/>
  <c r="T809" i="1"/>
  <c r="U809" i="1"/>
  <c r="BB809" i="1"/>
  <c r="BD809" i="1"/>
  <c r="CE809" i="1"/>
  <c r="A810" i="1"/>
  <c r="C810" i="1"/>
  <c r="E810" i="1"/>
  <c r="S810" i="1"/>
  <c r="T810" i="1"/>
  <c r="U810" i="1"/>
  <c r="BB810" i="1"/>
  <c r="BD810" i="1"/>
  <c r="CE810" i="1"/>
  <c r="A811" i="1"/>
  <c r="C811" i="1"/>
  <c r="E811" i="1"/>
  <c r="S811" i="1"/>
  <c r="T811" i="1"/>
  <c r="U811" i="1"/>
  <c r="BB811" i="1"/>
  <c r="BD811" i="1"/>
  <c r="CE811" i="1"/>
  <c r="A812" i="1"/>
  <c r="C812" i="1"/>
  <c r="E812" i="1"/>
  <c r="S812" i="1"/>
  <c r="T812" i="1"/>
  <c r="U812" i="1"/>
  <c r="BB812" i="1"/>
  <c r="BD812" i="1"/>
  <c r="CE812" i="1"/>
  <c r="A813" i="1"/>
  <c r="C813" i="1"/>
  <c r="E813" i="1"/>
  <c r="S813" i="1"/>
  <c r="T813" i="1"/>
  <c r="U813" i="1"/>
  <c r="BB813" i="1"/>
  <c r="BD813" i="1"/>
  <c r="CE813" i="1"/>
  <c r="A814" i="1"/>
  <c r="C814" i="1"/>
  <c r="E814" i="1"/>
  <c r="S814" i="1"/>
  <c r="T814" i="1"/>
  <c r="U814" i="1"/>
  <c r="BB814" i="1"/>
  <c r="BD814" i="1"/>
  <c r="CE814" i="1"/>
  <c r="A815" i="1"/>
  <c r="C815" i="1"/>
  <c r="E815" i="1"/>
  <c r="S815" i="1"/>
  <c r="T815" i="1"/>
  <c r="U815" i="1"/>
  <c r="BB815" i="1"/>
  <c r="BD815" i="1"/>
  <c r="CE815" i="1"/>
  <c r="A816" i="1"/>
  <c r="C816" i="1"/>
  <c r="E816" i="1"/>
  <c r="S816" i="1"/>
  <c r="T816" i="1"/>
  <c r="U816" i="1"/>
  <c r="BB816" i="1"/>
  <c r="BD816" i="1"/>
  <c r="CE816" i="1"/>
  <c r="A817" i="1"/>
  <c r="C817" i="1"/>
  <c r="E817" i="1"/>
  <c r="S817" i="1"/>
  <c r="T817" i="1"/>
  <c r="U817" i="1"/>
  <c r="BB817" i="1"/>
  <c r="BD817" i="1"/>
  <c r="CE817" i="1"/>
  <c r="A818" i="1"/>
  <c r="C818" i="1"/>
  <c r="E818" i="1"/>
  <c r="S818" i="1"/>
  <c r="T818" i="1"/>
  <c r="U818" i="1"/>
  <c r="BB818" i="1"/>
  <c r="BD818" i="1"/>
  <c r="CE818" i="1"/>
  <c r="A819" i="1"/>
  <c r="C819" i="1"/>
  <c r="E819" i="1"/>
  <c r="S819" i="1"/>
  <c r="T819" i="1"/>
  <c r="U819" i="1"/>
  <c r="BB819" i="1"/>
  <c r="BD819" i="1"/>
  <c r="CE819" i="1"/>
  <c r="A820" i="1"/>
  <c r="C820" i="1"/>
  <c r="E820" i="1"/>
  <c r="S820" i="1"/>
  <c r="T820" i="1"/>
  <c r="U820" i="1"/>
  <c r="BB820" i="1"/>
  <c r="BD820" i="1"/>
  <c r="CE820" i="1"/>
  <c r="A821" i="1"/>
  <c r="C821" i="1"/>
  <c r="E821" i="1"/>
  <c r="S821" i="1"/>
  <c r="T821" i="1"/>
  <c r="U821" i="1"/>
  <c r="BB821" i="1"/>
  <c r="BD821" i="1"/>
  <c r="CE821" i="1"/>
  <c r="A822" i="1"/>
  <c r="C822" i="1"/>
  <c r="E822" i="1"/>
  <c r="S822" i="1"/>
  <c r="T822" i="1"/>
  <c r="U822" i="1"/>
  <c r="BB822" i="1"/>
  <c r="BD822" i="1"/>
  <c r="CE822" i="1"/>
</calcChain>
</file>

<file path=xl/sharedStrings.xml><?xml version="1.0" encoding="utf-8"?>
<sst xmlns="http://schemas.openxmlformats.org/spreadsheetml/2006/main" count="9976" uniqueCount="515">
  <si>
    <t>Time</t>
  </si>
  <si>
    <t>DeType</t>
  </si>
  <si>
    <t>FRNs</t>
  </si>
  <si>
    <t>SAC</t>
  </si>
  <si>
    <t>SIC</t>
  </si>
  <si>
    <t>CTVID</t>
  </si>
  <si>
    <t>CTVName</t>
  </si>
  <si>
    <t>SVID</t>
  </si>
  <si>
    <t>SVName</t>
  </si>
  <si>
    <t>SVType</t>
  </si>
  <si>
    <t>VersStat</t>
  </si>
  <si>
    <t>AstxVers</t>
  </si>
  <si>
    <t>UnkVers</t>
  </si>
  <si>
    <t>LinkVers</t>
  </si>
  <si>
    <t>1090ES</t>
  </si>
  <si>
    <t>UAT</t>
  </si>
  <si>
    <t>Non ADS-B</t>
  </si>
  <si>
    <t>TIS-B</t>
  </si>
  <si>
    <t>PosToa</t>
  </si>
  <si>
    <t>VelToa</t>
  </si>
  <si>
    <t>ModeSId</t>
  </si>
  <si>
    <t>Qual</t>
  </si>
  <si>
    <t>Dupl</t>
  </si>
  <si>
    <t>TgtSVType</t>
  </si>
  <si>
    <t>TestMsgExtMode</t>
  </si>
  <si>
    <t>TrackNum</t>
  </si>
  <si>
    <t>UTC</t>
  </si>
  <si>
    <t>NIC</t>
  </si>
  <si>
    <t>SIL</t>
  </si>
  <si>
    <t>SIL-S</t>
  </si>
  <si>
    <t>NAC-P</t>
  </si>
  <si>
    <t>SepEligInd</t>
  </si>
  <si>
    <t>SvcInTestMode</t>
  </si>
  <si>
    <t>Valid</t>
  </si>
  <si>
    <t>NAC-V</t>
  </si>
  <si>
    <t>NIC-B</t>
  </si>
  <si>
    <t>Lat</t>
  </si>
  <si>
    <t>LatDeg</t>
  </si>
  <si>
    <t>Lon</t>
  </si>
  <si>
    <t>LonDeg</t>
  </si>
  <si>
    <t>Res</t>
  </si>
  <si>
    <t>PressAlt</t>
  </si>
  <si>
    <t>VVSrc</t>
  </si>
  <si>
    <t>Vx</t>
  </si>
  <si>
    <t>Vy</t>
  </si>
  <si>
    <t>Vz</t>
  </si>
  <si>
    <t>TrkOrHdgVal</t>
  </si>
  <si>
    <t>TrkOrHdgInd</t>
  </si>
  <si>
    <t>HRD</t>
  </si>
  <si>
    <t>Angle</t>
  </si>
  <si>
    <t>GrndSpd</t>
  </si>
  <si>
    <t>LWC</t>
  </si>
  <si>
    <t>POA</t>
  </si>
  <si>
    <t>Aid</t>
  </si>
  <si>
    <t>AidVal</t>
  </si>
  <si>
    <t>FlightId</t>
  </si>
  <si>
    <t>EmitCat</t>
  </si>
  <si>
    <t>RxAtc(FRN14)</t>
  </si>
  <si>
    <t>Ident(FRN14)</t>
  </si>
  <si>
    <t>SurvStat</t>
  </si>
  <si>
    <t>EmerPriStat</t>
  </si>
  <si>
    <t>GeomAlt</t>
  </si>
  <si>
    <t>DeltaAlt</t>
  </si>
  <si>
    <t>ValidType</t>
  </si>
  <si>
    <t>SAF</t>
  </si>
  <si>
    <t>UATInCap</t>
  </si>
  <si>
    <t>1090InCap</t>
  </si>
  <si>
    <t>TCAS</t>
  </si>
  <si>
    <t>CDTI</t>
  </si>
  <si>
    <t>RxAtc(FRN16)</t>
  </si>
  <si>
    <t>ValidDist</t>
  </si>
  <si>
    <t>Ident(FRN16)</t>
  </si>
  <si>
    <t>TcasRa</t>
  </si>
  <si>
    <t>ARA</t>
  </si>
  <si>
    <t>RAC</t>
  </si>
  <si>
    <t>RAT</t>
  </si>
  <si>
    <t>MTE</t>
  </si>
  <si>
    <t>TTI</t>
  </si>
  <si>
    <t>TID-MdsId</t>
  </si>
  <si>
    <t>TID-Alt</t>
  </si>
  <si>
    <t>TID-Rng</t>
  </si>
  <si>
    <t>TID-Bear</t>
  </si>
  <si>
    <t>TOMR</t>
  </si>
  <si>
    <t>TOMR(NSec)</t>
  </si>
  <si>
    <t>GPSLatOff</t>
  </si>
  <si>
    <t>GPSLonOff</t>
  </si>
  <si>
    <t>SelAltType</t>
  </si>
  <si>
    <t>SelAlt</t>
  </si>
  <si>
    <t>Baro</t>
  </si>
  <si>
    <t>SelHdg</t>
  </si>
  <si>
    <t>McpFcuSt</t>
  </si>
  <si>
    <t>AutoPilot</t>
  </si>
  <si>
    <t>VNav</t>
  </si>
  <si>
    <t>AltHold</t>
  </si>
  <si>
    <t>Approach</t>
  </si>
  <si>
    <t>LNav</t>
  </si>
  <si>
    <t>EnhVal</t>
  </si>
  <si>
    <t>GVA</t>
  </si>
  <si>
    <t>NIC6Supp</t>
  </si>
  <si>
    <t>SDA</t>
  </si>
  <si>
    <t>UATUpFdBk</t>
  </si>
  <si>
    <t>SQL</t>
  </si>
  <si>
    <t>System</t>
  </si>
  <si>
    <t>EqType</t>
  </si>
  <si>
    <t>LocId</t>
  </si>
  <si>
    <t>Inst</t>
  </si>
  <si>
    <t>RSID</t>
  </si>
  <si>
    <t>DSName</t>
  </si>
  <si>
    <t>RadarName</t>
  </si>
  <si>
    <t>AsdeXName</t>
  </si>
  <si>
    <t>ReportId</t>
  </si>
  <si>
    <t>TimeOrig</t>
  </si>
  <si>
    <t>TIS-B Client</t>
  </si>
  <si>
    <t>AirOnGnd</t>
  </si>
  <si>
    <t>DupMsg</t>
  </si>
  <si>
    <t>SquitMap</t>
  </si>
  <si>
    <t>NC_Port</t>
  </si>
  <si>
    <t>InRule</t>
  </si>
  <si>
    <t>X_Rule</t>
  </si>
  <si>
    <t>X_ME</t>
  </si>
  <si>
    <t>X_IA</t>
  </si>
  <si>
    <t>X_KM</t>
  </si>
  <si>
    <t>X_OC</t>
  </si>
  <si>
    <t>AltCorrection</t>
  </si>
  <si>
    <t>DA</t>
  </si>
  <si>
    <t>Ft Worth</t>
  </si>
  <si>
    <t>Enroute</t>
  </si>
  <si>
    <t>A</t>
  </si>
  <si>
    <t>None</t>
  </si>
  <si>
    <t>033:39:48.38 N</t>
  </si>
  <si>
    <t>101:11:57.77 W</t>
  </si>
  <si>
    <t>GNSS</t>
  </si>
  <si>
    <t>NoneAvailable</t>
  </si>
  <si>
    <t>RS - HP 1090 Multi Chl Radio</t>
  </si>
  <si>
    <t>154-31</t>
  </si>
  <si>
    <t>8F3</t>
  </si>
  <si>
    <t>C1</t>
  </si>
  <si>
    <t>EnrouteCTV</t>
  </si>
  <si>
    <t>Albuquerque</t>
  </si>
  <si>
    <t>DC</t>
  </si>
  <si>
    <t>Lubbock</t>
  </si>
  <si>
    <t>Terminal</t>
  </si>
  <si>
    <t>033:39:48.31 N</t>
  </si>
  <si>
    <t>101:11:57.93 W</t>
  </si>
  <si>
    <t>033:39:48.23 N</t>
  </si>
  <si>
    <t>033:39:48.07 N</t>
  </si>
  <si>
    <t>033:39:47.69 N</t>
  </si>
  <si>
    <t>101:11:57.62 W</t>
  </si>
  <si>
    <t>033:39:47.46 N</t>
  </si>
  <si>
    <t>101:11:57.46 W</t>
  </si>
  <si>
    <t>033:39:46.92 N</t>
  </si>
  <si>
    <t>101:11:57.15 W</t>
  </si>
  <si>
    <t>033:39:46.30 N</t>
  </si>
  <si>
    <t>101:11:56.85 W</t>
  </si>
  <si>
    <t>033:39:45.60 N</t>
  </si>
  <si>
    <t>101:11:57.00 W</t>
  </si>
  <si>
    <t>033:39:44.91 N</t>
  </si>
  <si>
    <t>033:39:44.29 N</t>
  </si>
  <si>
    <t>033:39:43.59 N</t>
  </si>
  <si>
    <t>101:11:57.31 W</t>
  </si>
  <si>
    <t>033:39:42.90 N</t>
  </si>
  <si>
    <t>101:11:57.70 W</t>
  </si>
  <si>
    <t>033:39:42.59 N</t>
  </si>
  <si>
    <t>101:11:58.08 W</t>
  </si>
  <si>
    <t>033:39:42.13 N</t>
  </si>
  <si>
    <t>101:11:59.16 W</t>
  </si>
  <si>
    <t>101:12:00.01 W</t>
  </si>
  <si>
    <t>033:39:42.44 N</t>
  </si>
  <si>
    <t>101:12:01.17 W</t>
  </si>
  <si>
    <t>101:12:01.79 W</t>
  </si>
  <si>
    <t>033:39:43.75 N</t>
  </si>
  <si>
    <t>101:12:02.87 W</t>
  </si>
  <si>
    <t>033:39:44.60 N</t>
  </si>
  <si>
    <t>101:12:03.26 W</t>
  </si>
  <si>
    <t>033:39:45.45 N</t>
  </si>
  <si>
    <t>101:12:03.88 W</t>
  </si>
  <si>
    <t>033:39:46.53 N</t>
  </si>
  <si>
    <t>101:12:04.26 W</t>
  </si>
  <si>
    <t>033:39:47.84 N</t>
  </si>
  <si>
    <t>101:12:04.42 W</t>
  </si>
  <si>
    <t>033:39:49.16 N</t>
  </si>
  <si>
    <t>101:12:04.73 W</t>
  </si>
  <si>
    <t>033:39:50.55 N</t>
  </si>
  <si>
    <t>101:12:05.03 W</t>
  </si>
  <si>
    <t>033:39:51.63 N</t>
  </si>
  <si>
    <t>101:12:05.11 W</t>
  </si>
  <si>
    <t>033:39:52.94 N</t>
  </si>
  <si>
    <t>101:12:05.50 W</t>
  </si>
  <si>
    <t>033:39:54.33 N</t>
  </si>
  <si>
    <t>101:12:05.65 W</t>
  </si>
  <si>
    <t>033:39:55.64 N</t>
  </si>
  <si>
    <t>101:12:05.96 W</t>
  </si>
  <si>
    <t>033:39:57.42 N</t>
  </si>
  <si>
    <t>101:12:06.27 W</t>
  </si>
  <si>
    <t>033:39:59.20 N</t>
  </si>
  <si>
    <t>101:12:06.58 W</t>
  </si>
  <si>
    <t>033:40:00.43 N</t>
  </si>
  <si>
    <t>101:12:06.89 W</t>
  </si>
  <si>
    <t>033:40:01.67 N</t>
  </si>
  <si>
    <t>101:12:07.20 W</t>
  </si>
  <si>
    <t>033:40:03.06 N</t>
  </si>
  <si>
    <t>101:12:07.51 W</t>
  </si>
  <si>
    <t>033:40:04.68 N</t>
  </si>
  <si>
    <t>101:12:07.89 W</t>
  </si>
  <si>
    <t>033:40:05.92 N</t>
  </si>
  <si>
    <t>101:12:08.20 W</t>
  </si>
  <si>
    <t>033:40:07.31 N</t>
  </si>
  <si>
    <t>101:12:08.51 W</t>
  </si>
  <si>
    <t>033:40:08.54 N</t>
  </si>
  <si>
    <t>101:12:08.82 W</t>
  </si>
  <si>
    <t>033:40:10.48 N</t>
  </si>
  <si>
    <t>101:12:09.28 W</t>
  </si>
  <si>
    <t>033:40:11.56 N</t>
  </si>
  <si>
    <t>101:12:09.67 W</t>
  </si>
  <si>
    <t>033:40:12.95 N</t>
  </si>
  <si>
    <t>101:12:10.06 W</t>
  </si>
  <si>
    <t>033:40:14.26 N</t>
  </si>
  <si>
    <t>101:12:10.52 W</t>
  </si>
  <si>
    <t>033:40:15.57 N</t>
  </si>
  <si>
    <t>101:12:11.14 W</t>
  </si>
  <si>
    <t>033:40:17.12 N</t>
  </si>
  <si>
    <t>101:12:11.52 W</t>
  </si>
  <si>
    <t>033:40:18.36 N</t>
  </si>
  <si>
    <t>101:12:11.91 W</t>
  </si>
  <si>
    <t>033:40:19.67 N</t>
  </si>
  <si>
    <t>101:12:12.30 W</t>
  </si>
  <si>
    <t>033:40:20.83 N</t>
  </si>
  <si>
    <t>101:12:12.68 W</t>
  </si>
  <si>
    <t>033:40:22.14 N</t>
  </si>
  <si>
    <t>101:12:13.15 W</t>
  </si>
  <si>
    <t>033:40:23.30 N</t>
  </si>
  <si>
    <t>101:12:13.53 W</t>
  </si>
  <si>
    <t>033:40:24.46 N</t>
  </si>
  <si>
    <t>101:12:14.15 W</t>
  </si>
  <si>
    <t>033:40:26.16 N</t>
  </si>
  <si>
    <t>101:12:14.77 W</t>
  </si>
  <si>
    <t>033:40:27.24 N</t>
  </si>
  <si>
    <t>101:12:15.15 W</t>
  </si>
  <si>
    <t>033:40:28.47 N</t>
  </si>
  <si>
    <t>101:12:15.85 W</t>
  </si>
  <si>
    <t>033:40:29.71 N</t>
  </si>
  <si>
    <t>101:12:16.31 W</t>
  </si>
  <si>
    <t>033:40:30.87 N</t>
  </si>
  <si>
    <t>101:12:16.78 W</t>
  </si>
  <si>
    <t>033:40:31.87 N</t>
  </si>
  <si>
    <t>101:12:17.16 W</t>
  </si>
  <si>
    <t>033:40:33.73 N</t>
  </si>
  <si>
    <t>101:12:17.78 W</t>
  </si>
  <si>
    <t>033:40:35.66 N</t>
  </si>
  <si>
    <t>101:12:18.55 W</t>
  </si>
  <si>
    <t>033:40:36.66 N</t>
  </si>
  <si>
    <t>101:12:18.94 W</t>
  </si>
  <si>
    <t>033:40:37.90 N</t>
  </si>
  <si>
    <t>101:12:19.32 W</t>
  </si>
  <si>
    <t>033:40:39.13 N</t>
  </si>
  <si>
    <t>101:12:19.79 W</t>
  </si>
  <si>
    <t>033:40:41.07 N</t>
  </si>
  <si>
    <t>101:12:20.56 W</t>
  </si>
  <si>
    <t>033:40:42.38 N</t>
  </si>
  <si>
    <t>101:12:20.95 W</t>
  </si>
  <si>
    <t>033:40:43.77 N</t>
  </si>
  <si>
    <t>101:12:21.41 W</t>
  </si>
  <si>
    <t>033:40:45.08 N</t>
  </si>
  <si>
    <t>101:12:22.03 W</t>
  </si>
  <si>
    <t>033:40:46.24 N</t>
  </si>
  <si>
    <t>101:12:22.41 W</t>
  </si>
  <si>
    <t>033:40:47.79 N</t>
  </si>
  <si>
    <t>101:12:22.80 W</t>
  </si>
  <si>
    <t>033:40:49.18 N</t>
  </si>
  <si>
    <t>101:12:23.03 W</t>
  </si>
  <si>
    <t>033:40:50.49 N</t>
  </si>
  <si>
    <t>101:12:23.65 W</t>
  </si>
  <si>
    <t>033:40:51.96 N</t>
  </si>
  <si>
    <t>101:12:23.81 W</t>
  </si>
  <si>
    <t>033:40:53.35 N</t>
  </si>
  <si>
    <t>101:12:24.27 W</t>
  </si>
  <si>
    <t>033:40:55.67 N</t>
  </si>
  <si>
    <t>101:12:24.66 W</t>
  </si>
  <si>
    <t>033:40:57.29 N</t>
  </si>
  <si>
    <t>101:12:25.04 W</t>
  </si>
  <si>
    <t>033:40:58.37 N</t>
  </si>
  <si>
    <t>101:12:25.27 W</t>
  </si>
  <si>
    <t>033:40:59.68 N</t>
  </si>
  <si>
    <t>101:12:25.50 W</t>
  </si>
  <si>
    <t>033:41:01.15 N</t>
  </si>
  <si>
    <t>101:12:25.74 W</t>
  </si>
  <si>
    <t>033:41:02.70 N</t>
  </si>
  <si>
    <t>101:12:26.05 W</t>
  </si>
  <si>
    <t>033:41:03.85 N</t>
  </si>
  <si>
    <t>101:12:26.20 W</t>
  </si>
  <si>
    <t>033:41:05.24 N</t>
  </si>
  <si>
    <t>101:12:26.51 W</t>
  </si>
  <si>
    <t>033:41:06.63 N</t>
  </si>
  <si>
    <t>101:12:26.66 W</t>
  </si>
  <si>
    <t>033:41:07.95 N</t>
  </si>
  <si>
    <t>101:12:27.05 W</t>
  </si>
  <si>
    <t>033:41:09.80 N</t>
  </si>
  <si>
    <t>101:12:27.28 W</t>
  </si>
  <si>
    <t>033:41:11.42 N</t>
  </si>
  <si>
    <t>101:12:27.67 W</t>
  </si>
  <si>
    <t>033:41:12.74 N</t>
  </si>
  <si>
    <t>101:12:27.82 W</t>
  </si>
  <si>
    <t>033:41:14.13 N</t>
  </si>
  <si>
    <t>101:12:28.21 W</t>
  </si>
  <si>
    <t>033:41:15.52 N</t>
  </si>
  <si>
    <t>101:12:28.44 W</t>
  </si>
  <si>
    <t>033:41:17.84 N</t>
  </si>
  <si>
    <t>101:12:28.83 W</t>
  </si>
  <si>
    <t>033:41:20.31 N</t>
  </si>
  <si>
    <t>101:12:29.29 W</t>
  </si>
  <si>
    <t>033:41:21.78 N</t>
  </si>
  <si>
    <t>101:12:29.60 W</t>
  </si>
  <si>
    <t>033:41:23.32 N</t>
  </si>
  <si>
    <t>101:12:30.06 W</t>
  </si>
  <si>
    <t>033:41:24.94 N</t>
  </si>
  <si>
    <t>101:12:30.29 W</t>
  </si>
  <si>
    <t>033:41:26.26 N</t>
  </si>
  <si>
    <t>101:12:30.68 W</t>
  </si>
  <si>
    <t>033:41:27.88 N</t>
  </si>
  <si>
    <t>101:12:31.07 W</t>
  </si>
  <si>
    <t>033:41:29.19 N</t>
  </si>
  <si>
    <t>101:12:31.30 W</t>
  </si>
  <si>
    <t>033:41:30.66 N</t>
  </si>
  <si>
    <t>101:12:31.68 W</t>
  </si>
  <si>
    <t>033:41:32.05 N</t>
  </si>
  <si>
    <t>101:12:31.92 W</t>
  </si>
  <si>
    <t>033:41:34.21 N</t>
  </si>
  <si>
    <t>101:12:32.53 W</t>
  </si>
  <si>
    <t>033:41:36.38 N</t>
  </si>
  <si>
    <t>101:12:32.92 W</t>
  </si>
  <si>
    <t>033:41:37.77 N</t>
  </si>
  <si>
    <t>101:12:33.54 W</t>
  </si>
  <si>
    <t>033:41:39.08 N</t>
  </si>
  <si>
    <t>101:12:33.69 W</t>
  </si>
  <si>
    <t>033:41:40.62 N</t>
  </si>
  <si>
    <t>101:12:34.08 W</t>
  </si>
  <si>
    <t>033:41:42.09 N</t>
  </si>
  <si>
    <t>101:12:34.54 W</t>
  </si>
  <si>
    <t>033:41:43.56 N</t>
  </si>
  <si>
    <t>101:12:34.93 W</t>
  </si>
  <si>
    <t>033:41:44.72 N</t>
  </si>
  <si>
    <t>101:12:35.32 W</t>
  </si>
  <si>
    <t>033:41:46.34 N</t>
  </si>
  <si>
    <t>101:12:35.93 W</t>
  </si>
  <si>
    <t>033:41:47.81 N</t>
  </si>
  <si>
    <t>101:12:36.01 W</t>
  </si>
  <si>
    <t>033:41:49.35 N</t>
  </si>
  <si>
    <t>101:12:36.55 W</t>
  </si>
  <si>
    <t>033:41:50.98 N</t>
  </si>
  <si>
    <t>101:12:36.94 W</t>
  </si>
  <si>
    <t>033:41:52.44 N</t>
  </si>
  <si>
    <t>101:12:37.01 W</t>
  </si>
  <si>
    <t>033:41:53.91 N</t>
  </si>
  <si>
    <t>101:12:37.32 W</t>
  </si>
  <si>
    <t>033:41:55.30 N</t>
  </si>
  <si>
    <t>033:41:56.69 N</t>
  </si>
  <si>
    <t>101:12:37.48 W</t>
  </si>
  <si>
    <t>033:41:58.24 N</t>
  </si>
  <si>
    <t>101:12:37.56 W</t>
  </si>
  <si>
    <t>033:41:59.70 N</t>
  </si>
  <si>
    <t>101:12:37.63 W</t>
  </si>
  <si>
    <t>033:42:01.17 N</t>
  </si>
  <si>
    <t>101:12:37.71 W</t>
  </si>
  <si>
    <t>033:42:03.03 N</t>
  </si>
  <si>
    <t>101:12:37.86 W</t>
  </si>
  <si>
    <t>033:42:04.73 N</t>
  </si>
  <si>
    <t>033:42:06.27 N</t>
  </si>
  <si>
    <t>033:42:07.89 N</t>
  </si>
  <si>
    <t>033:42:09.44 N</t>
  </si>
  <si>
    <t>101:12:37.94 W</t>
  </si>
  <si>
    <t>033:42:10.75 N</t>
  </si>
  <si>
    <t>033:42:12.22 N</t>
  </si>
  <si>
    <t>033:42:13.69 N</t>
  </si>
  <si>
    <t>033:42:15.39 N</t>
  </si>
  <si>
    <t>033:42:16.93 N</t>
  </si>
  <si>
    <t>033:42:18.32 N</t>
  </si>
  <si>
    <t>033:42:19.94 N</t>
  </si>
  <si>
    <t>033:42:21.49 N</t>
  </si>
  <si>
    <t>033:42:23.50 N</t>
  </si>
  <si>
    <t>033:42:25.35 N</t>
  </si>
  <si>
    <t>033:42:27.05 N</t>
  </si>
  <si>
    <t>101:12:37.17 W</t>
  </si>
  <si>
    <t>033:42:28.36 N</t>
  </si>
  <si>
    <t>033:42:29.99 N</t>
  </si>
  <si>
    <t>101:12:36.86 W</t>
  </si>
  <si>
    <t>033:42:31.38 N</t>
  </si>
  <si>
    <t>101:12:36.40 W</t>
  </si>
  <si>
    <t>033:42:33.46 N</t>
  </si>
  <si>
    <t>101:12:36.09 W</t>
  </si>
  <si>
    <t>033:42:35.01 N</t>
  </si>
  <si>
    <t>033:42:36.63 N</t>
  </si>
  <si>
    <t>101:12:35.70 W</t>
  </si>
  <si>
    <t>033:42:37.86 N</t>
  </si>
  <si>
    <t>101:12:35.62 W</t>
  </si>
  <si>
    <t>033:42:39.25 N</t>
  </si>
  <si>
    <t>101:12:35.39 W</t>
  </si>
  <si>
    <t>033:42:40.72 N</t>
  </si>
  <si>
    <t>033:42:42.42 N</t>
  </si>
  <si>
    <t>033:42:44.74 N</t>
  </si>
  <si>
    <t>101:12:33.92 W</t>
  </si>
  <si>
    <t>033:42:46.44 N</t>
  </si>
  <si>
    <t>033:42:48.60 N</t>
  </si>
  <si>
    <t>101:12:32.69 W</t>
  </si>
  <si>
    <t>033:42:50.15 N</t>
  </si>
  <si>
    <t>101:12:32.07 W</t>
  </si>
  <si>
    <t>033:42:51.46 N</t>
  </si>
  <si>
    <t>033:42:53.00 N</t>
  </si>
  <si>
    <t>033:42:54.47 N</t>
  </si>
  <si>
    <t>033:42:56.71 N</t>
  </si>
  <si>
    <t>101:12:29.68 W</t>
  </si>
  <si>
    <t>033:42:59.34 N</t>
  </si>
  <si>
    <t>033:43:00.81 N</t>
  </si>
  <si>
    <t>101:12:27.59 W</t>
  </si>
  <si>
    <t>033:43:02.35 N</t>
  </si>
  <si>
    <t>033:43:03.67 N</t>
  </si>
  <si>
    <t>101:12:26.12 W</t>
  </si>
  <si>
    <t>033:43:05.13 N</t>
  </si>
  <si>
    <t>101:12:25.43 W</t>
  </si>
  <si>
    <t>033:43:06.52 N</t>
  </si>
  <si>
    <t>033:43:08.69 N</t>
  </si>
  <si>
    <t>101:12:23.88 W</t>
  </si>
  <si>
    <t>033:43:10.08 N</t>
  </si>
  <si>
    <t>033:43:11.54 N</t>
  </si>
  <si>
    <t>101:12:22.18 W</t>
  </si>
  <si>
    <t>033:43:13.55 N</t>
  </si>
  <si>
    <t>101:12:21.18 W</t>
  </si>
  <si>
    <t>033:43:16.64 N</t>
  </si>
  <si>
    <t>033:43:17.80 N</t>
  </si>
  <si>
    <t>101:12:19.09 W</t>
  </si>
  <si>
    <t>033:43:19.50 N</t>
  </si>
  <si>
    <t>101:12:18.40 W</t>
  </si>
  <si>
    <t>033:43:21.66 N</t>
  </si>
  <si>
    <t>101:12:17.47 W</t>
  </si>
  <si>
    <t>033:43:23.83 N</t>
  </si>
  <si>
    <t>101:12:16.47 W</t>
  </si>
  <si>
    <t>033:43:25.45 N</t>
  </si>
  <si>
    <t>033:43:26.92 N</t>
  </si>
  <si>
    <t>033:43:29.16 N</t>
  </si>
  <si>
    <t>033:43:30.55 N</t>
  </si>
  <si>
    <t>033:43:32.01 N</t>
  </si>
  <si>
    <t>101:12:12.76 W</t>
  </si>
  <si>
    <t>033:43:33.79 N</t>
  </si>
  <si>
    <t>101:12:11.68 W</t>
  </si>
  <si>
    <t>033:43:42.21 N</t>
  </si>
  <si>
    <t>101:12:07.58 W</t>
  </si>
  <si>
    <t>033:45:57.32 N</t>
  </si>
  <si>
    <t>101:13:23.21 W</t>
  </si>
  <si>
    <t>033:45:57.16 N</t>
  </si>
  <si>
    <t>101:13:25.68 W</t>
  </si>
  <si>
    <t>033:45:57.01 N</t>
  </si>
  <si>
    <t>101:13:27.07 W</t>
  </si>
  <si>
    <t>033:45:56.85 N</t>
  </si>
  <si>
    <t>101:13:27.38 W</t>
  </si>
  <si>
    <t>033:45:56.78 N</t>
  </si>
  <si>
    <t>101:13:28.15 W</t>
  </si>
  <si>
    <t>101:13:28.54 W</t>
  </si>
  <si>
    <t>101:13:29.16 W</t>
  </si>
  <si>
    <t>101:13:29.77 W</t>
  </si>
  <si>
    <t>101:13:30.62 W</t>
  </si>
  <si>
    <t>101:13:31.01 W</t>
  </si>
  <si>
    <t>101:13:31.63 W</t>
  </si>
  <si>
    <t>101:13:32.01 W</t>
  </si>
  <si>
    <t>101:13:32.63 W</t>
  </si>
  <si>
    <t>033:45:57.47 N</t>
  </si>
  <si>
    <t>101:13:33.25 W</t>
  </si>
  <si>
    <t>033:45:57.63 N</t>
  </si>
  <si>
    <t>101:13:33.71 W</t>
  </si>
  <si>
    <t>033:45:57.78 N</t>
  </si>
  <si>
    <t>101:13:34.33 W</t>
  </si>
  <si>
    <t>033:45:58.17 N</t>
  </si>
  <si>
    <t>101:13:34.87 W</t>
  </si>
  <si>
    <t>033:45:58.48 N</t>
  </si>
  <si>
    <t>101:13:35.03 W</t>
  </si>
  <si>
    <t>033:45:59.48 N</t>
  </si>
  <si>
    <t>101:13:35.41 W</t>
  </si>
  <si>
    <t>033:46:00.33 N</t>
  </si>
  <si>
    <t>101:13:35.65 W</t>
  </si>
  <si>
    <t>033:46:00.87 N</t>
  </si>
  <si>
    <t>101:13:35.57 W</t>
  </si>
  <si>
    <t>033:46:01.49 N</t>
  </si>
  <si>
    <t>033:46:02.34 N</t>
  </si>
  <si>
    <t>101:13:35.72 W</t>
  </si>
  <si>
    <t>033:46:03.03 N</t>
  </si>
  <si>
    <t>033:46:03.57 N</t>
  </si>
  <si>
    <t>101:13:36.03 W</t>
  </si>
  <si>
    <t>033:46:04.12 N</t>
  </si>
  <si>
    <t>101:13:36.26 W</t>
  </si>
  <si>
    <t>033:46:04.66 N</t>
  </si>
  <si>
    <t>101:13:36.34 W</t>
  </si>
  <si>
    <t>033:46:05.12 N</t>
  </si>
  <si>
    <t>101:13:36.65 W</t>
  </si>
  <si>
    <t>033:46:05.51 N</t>
  </si>
  <si>
    <t>101:13:36.96 W</t>
  </si>
  <si>
    <t>033:46:06.05 N</t>
  </si>
  <si>
    <t>101:13:37.42 W</t>
  </si>
  <si>
    <t>033:46:06.20 N</t>
  </si>
  <si>
    <t>101:13:37.81 W</t>
  </si>
  <si>
    <t>033:46:06.36 N</t>
  </si>
  <si>
    <t>101:13:38.19 W</t>
  </si>
  <si>
    <t>033:46:06.66 N</t>
  </si>
  <si>
    <t>101:13:38.66 W</t>
  </si>
  <si>
    <t>033:46:06.74 N</t>
  </si>
  <si>
    <t>101:13:39.04 W</t>
  </si>
  <si>
    <t>101:13:40.13 W</t>
  </si>
  <si>
    <t>101:13:40.51 W</t>
  </si>
  <si>
    <t>033:46:06.59 N</t>
  </si>
  <si>
    <t>101:13:41.28 W</t>
  </si>
  <si>
    <t>033:46:06.43 N</t>
  </si>
  <si>
    <t>101:13:41.67 W</t>
  </si>
  <si>
    <t>033:46:06.28 N</t>
  </si>
  <si>
    <t>101:13:42.52 W</t>
  </si>
  <si>
    <t>033:46:05.89 N</t>
  </si>
  <si>
    <t>101:13:42.91 W</t>
  </si>
  <si>
    <t>033:46:05.58 N</t>
  </si>
  <si>
    <t>101:13:43.91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</si>
</sst>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EA6CE-F8B2-4D64-A59D-FC695EDDEF3D}">
  <dimension ref="A1:DT822"/>
  <sheetViews>
    <sheetView tabSelected="1" workbookViewId="0"/>
  </sheetViews>
  <sheetFormatPr defaultRowHeight="15" x14ac:dyDescent="0.25"/>
  <sheetData>
    <row r="1" spans="1:12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</row>
    <row r="2" spans="1:124" x14ac:dyDescent="0.25">
      <c r="A2" t="str">
        <f>"04/17/2026 15:37:28.038"</f>
        <v>04/17/2026 15:37:28.038</v>
      </c>
      <c r="C2" t="str">
        <f t="shared" ref="C2:C65" si="0">"FFDFD3C0"</f>
        <v>FFDFD3C0</v>
      </c>
      <c r="D2" t="s">
        <v>124</v>
      </c>
      <c r="E2" t="str">
        <f>"03"</f>
        <v>03</v>
      </c>
      <c r="H2">
        <v>160</v>
      </c>
      <c r="I2" t="s">
        <v>125</v>
      </c>
      <c r="J2" t="s">
        <v>126</v>
      </c>
      <c r="K2">
        <v>0</v>
      </c>
      <c r="L2">
        <v>3</v>
      </c>
      <c r="M2">
        <v>0</v>
      </c>
      <c r="N2">
        <v>2</v>
      </c>
      <c r="O2">
        <v>1</v>
      </c>
      <c r="P2">
        <v>0</v>
      </c>
      <c r="Q2">
        <v>0</v>
      </c>
      <c r="R2" t="s">
        <v>127</v>
      </c>
      <c r="S2" t="str">
        <f t="shared" ref="S2:T5" si="1">"15:37:27.789"</f>
        <v>15:37:27.789</v>
      </c>
      <c r="T2" t="str">
        <f t="shared" si="1"/>
        <v>15:37:27.789</v>
      </c>
      <c r="U2" t="str">
        <f t="shared" ref="U2:U65" si="2">"A55E09"</f>
        <v>A55E09</v>
      </c>
      <c r="V2">
        <v>0</v>
      </c>
      <c r="W2">
        <v>0</v>
      </c>
      <c r="X2">
        <v>2</v>
      </c>
      <c r="Y2">
        <v>0</v>
      </c>
      <c r="AA2">
        <v>0</v>
      </c>
      <c r="AB2">
        <v>9</v>
      </c>
      <c r="AC2">
        <v>3</v>
      </c>
      <c r="AD2">
        <v>0</v>
      </c>
      <c r="AE2">
        <v>9</v>
      </c>
      <c r="AF2" t="s">
        <v>128</v>
      </c>
      <c r="AG2">
        <v>0</v>
      </c>
      <c r="AH2">
        <v>0</v>
      </c>
      <c r="AI2">
        <v>1</v>
      </c>
      <c r="AJ2">
        <v>0</v>
      </c>
      <c r="AK2" t="s">
        <v>129</v>
      </c>
      <c r="AL2">
        <v>33.663440000000001</v>
      </c>
      <c r="AM2" t="s">
        <v>130</v>
      </c>
      <c r="AN2">
        <v>-101.199381</v>
      </c>
      <c r="AO2">
        <v>100</v>
      </c>
      <c r="AP2">
        <v>3100</v>
      </c>
      <c r="AQ2" t="s">
        <v>131</v>
      </c>
      <c r="AR2">
        <v>1</v>
      </c>
      <c r="AS2">
        <v>0</v>
      </c>
      <c r="AT2">
        <v>320</v>
      </c>
      <c r="BB2" t="str">
        <f t="shared" ref="BB2:BB65" si="3">"1200"</f>
        <v>1200</v>
      </c>
      <c r="BC2">
        <v>1</v>
      </c>
      <c r="BD2" t="str">
        <f t="shared" ref="BD2:BD65" si="4">"N445JS  "</f>
        <v xml:space="preserve">N445JS  </v>
      </c>
      <c r="BE2">
        <v>7</v>
      </c>
      <c r="BG2">
        <v>0</v>
      </c>
      <c r="BH2">
        <v>0</v>
      </c>
      <c r="BI2">
        <v>0</v>
      </c>
      <c r="BJ2">
        <v>2925</v>
      </c>
      <c r="BK2">
        <v>-175</v>
      </c>
      <c r="BL2" t="s">
        <v>132</v>
      </c>
      <c r="BM2">
        <v>1</v>
      </c>
      <c r="BN2">
        <v>1</v>
      </c>
      <c r="BO2">
        <v>1</v>
      </c>
      <c r="BP2">
        <v>0</v>
      </c>
      <c r="BT2">
        <v>0</v>
      </c>
      <c r="BU2">
        <v>0</v>
      </c>
      <c r="CE2" t="str">
        <f>"15:37:27.794"</f>
        <v>15:37:27.794</v>
      </c>
      <c r="CF2">
        <v>793515769</v>
      </c>
      <c r="CS2">
        <v>0</v>
      </c>
      <c r="CT2">
        <v>2</v>
      </c>
      <c r="CU2">
        <v>0</v>
      </c>
      <c r="CV2">
        <v>2</v>
      </c>
      <c r="CW2">
        <v>0</v>
      </c>
      <c r="CX2">
        <v>6</v>
      </c>
      <c r="CY2">
        <v>7</v>
      </c>
      <c r="CZ2" t="s">
        <v>133</v>
      </c>
      <c r="DA2">
        <v>125</v>
      </c>
      <c r="DB2">
        <v>1</v>
      </c>
      <c r="DC2" t="s">
        <v>134</v>
      </c>
      <c r="DD2" t="s">
        <v>135</v>
      </c>
      <c r="DG2">
        <v>2438443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0</v>
      </c>
      <c r="DQ2">
        <v>0</v>
      </c>
      <c r="DR2">
        <v>0</v>
      </c>
      <c r="DS2">
        <v>0</v>
      </c>
    </row>
    <row r="3" spans="1:124" x14ac:dyDescent="0.25">
      <c r="A3" t="str">
        <f>"04/17/2026 15:37:28.043"</f>
        <v>04/17/2026 15:37:28.043</v>
      </c>
      <c r="C3" t="str">
        <f t="shared" si="0"/>
        <v>FFDFD3C0</v>
      </c>
      <c r="D3" t="s">
        <v>136</v>
      </c>
      <c r="E3" t="str">
        <f>"0E"</f>
        <v>0E</v>
      </c>
      <c r="F3">
        <v>1014</v>
      </c>
      <c r="G3" t="s">
        <v>125</v>
      </c>
      <c r="J3" t="s">
        <v>137</v>
      </c>
      <c r="K3">
        <v>0</v>
      </c>
      <c r="L3">
        <v>3</v>
      </c>
      <c r="M3">
        <v>0</v>
      </c>
      <c r="N3">
        <v>2</v>
      </c>
      <c r="O3">
        <v>1</v>
      </c>
      <c r="P3">
        <v>0</v>
      </c>
      <c r="Q3">
        <v>0</v>
      </c>
      <c r="R3" t="s">
        <v>127</v>
      </c>
      <c r="S3" t="str">
        <f t="shared" si="1"/>
        <v>15:37:27.789</v>
      </c>
      <c r="T3" t="str">
        <f t="shared" si="1"/>
        <v>15:37:27.789</v>
      </c>
      <c r="U3" t="str">
        <f t="shared" si="2"/>
        <v>A55E09</v>
      </c>
      <c r="V3">
        <v>0</v>
      </c>
      <c r="W3">
        <v>0</v>
      </c>
      <c r="X3">
        <v>2</v>
      </c>
      <c r="Y3">
        <v>0</v>
      </c>
      <c r="AA3">
        <v>0</v>
      </c>
      <c r="AB3">
        <v>9</v>
      </c>
      <c r="AC3">
        <v>3</v>
      </c>
      <c r="AD3">
        <v>0</v>
      </c>
      <c r="AE3">
        <v>9</v>
      </c>
      <c r="AF3" t="s">
        <v>128</v>
      </c>
      <c r="AG3">
        <v>0</v>
      </c>
      <c r="AH3">
        <v>0</v>
      </c>
      <c r="AI3">
        <v>1</v>
      </c>
      <c r="AJ3">
        <v>0</v>
      </c>
      <c r="AK3" t="s">
        <v>129</v>
      </c>
      <c r="AL3">
        <v>33.663440000000001</v>
      </c>
      <c r="AM3" t="s">
        <v>130</v>
      </c>
      <c r="AN3">
        <v>-101.199381</v>
      </c>
      <c r="AO3">
        <v>100</v>
      </c>
      <c r="AP3">
        <v>3100</v>
      </c>
      <c r="AQ3" t="s">
        <v>131</v>
      </c>
      <c r="AR3">
        <v>1</v>
      </c>
      <c r="AS3">
        <v>0</v>
      </c>
      <c r="AT3">
        <v>320</v>
      </c>
      <c r="BB3" t="str">
        <f t="shared" si="3"/>
        <v>1200</v>
      </c>
      <c r="BC3">
        <v>1</v>
      </c>
      <c r="BD3" t="str">
        <f t="shared" si="4"/>
        <v xml:space="preserve">N445JS  </v>
      </c>
      <c r="BE3">
        <v>7</v>
      </c>
      <c r="BG3">
        <v>0</v>
      </c>
      <c r="BH3">
        <v>0</v>
      </c>
      <c r="BI3">
        <v>0</v>
      </c>
      <c r="BJ3">
        <v>2925</v>
      </c>
      <c r="BK3">
        <v>-175</v>
      </c>
      <c r="BL3" t="s">
        <v>132</v>
      </c>
      <c r="BM3">
        <v>1</v>
      </c>
      <c r="BN3">
        <v>1</v>
      </c>
      <c r="BO3">
        <v>1</v>
      </c>
      <c r="BP3">
        <v>0</v>
      </c>
      <c r="BT3">
        <v>0</v>
      </c>
      <c r="BU3">
        <v>0</v>
      </c>
      <c r="CE3" t="str">
        <f>"15:37:27.794"</f>
        <v>15:37:27.794</v>
      </c>
      <c r="CF3">
        <v>793515769</v>
      </c>
      <c r="CS3">
        <v>0</v>
      </c>
      <c r="CT3">
        <v>2</v>
      </c>
      <c r="CU3">
        <v>0</v>
      </c>
      <c r="CV3">
        <v>2</v>
      </c>
      <c r="CW3">
        <v>0</v>
      </c>
      <c r="CX3">
        <v>6</v>
      </c>
      <c r="CY3">
        <v>7</v>
      </c>
      <c r="CZ3" t="s">
        <v>133</v>
      </c>
      <c r="DA3">
        <v>125</v>
      </c>
      <c r="DB3">
        <v>1</v>
      </c>
      <c r="DC3" t="s">
        <v>134</v>
      </c>
      <c r="DD3" t="s">
        <v>135</v>
      </c>
      <c r="DG3">
        <v>2438443</v>
      </c>
      <c r="DI3">
        <v>0</v>
      </c>
      <c r="DJ3">
        <v>0</v>
      </c>
      <c r="DK3">
        <v>1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</row>
    <row r="4" spans="1:124" x14ac:dyDescent="0.25">
      <c r="A4" t="str">
        <f>"04/17/2026 15:37:28.043"</f>
        <v>04/17/2026 15:37:28.043</v>
      </c>
      <c r="C4" t="str">
        <f t="shared" si="0"/>
        <v>FFDFD3C0</v>
      </c>
      <c r="D4" t="s">
        <v>136</v>
      </c>
      <c r="E4" t="str">
        <f>"0F"</f>
        <v>0F</v>
      </c>
      <c r="F4">
        <v>1015</v>
      </c>
      <c r="G4" t="s">
        <v>138</v>
      </c>
      <c r="J4" t="s">
        <v>137</v>
      </c>
      <c r="K4">
        <v>0</v>
      </c>
      <c r="L4">
        <v>3</v>
      </c>
      <c r="M4">
        <v>0</v>
      </c>
      <c r="N4">
        <v>2</v>
      </c>
      <c r="O4">
        <v>1</v>
      </c>
      <c r="P4">
        <v>0</v>
      </c>
      <c r="Q4">
        <v>0</v>
      </c>
      <c r="R4" t="s">
        <v>127</v>
      </c>
      <c r="S4" t="str">
        <f t="shared" si="1"/>
        <v>15:37:27.789</v>
      </c>
      <c r="T4" t="str">
        <f t="shared" si="1"/>
        <v>15:37:27.789</v>
      </c>
      <c r="U4" t="str">
        <f t="shared" si="2"/>
        <v>A55E09</v>
      </c>
      <c r="V4">
        <v>0</v>
      </c>
      <c r="W4">
        <v>0</v>
      </c>
      <c r="X4">
        <v>2</v>
      </c>
      <c r="Y4">
        <v>0</v>
      </c>
      <c r="AA4">
        <v>0</v>
      </c>
      <c r="AB4">
        <v>9</v>
      </c>
      <c r="AC4">
        <v>3</v>
      </c>
      <c r="AD4">
        <v>0</v>
      </c>
      <c r="AE4">
        <v>9</v>
      </c>
      <c r="AF4" t="s">
        <v>128</v>
      </c>
      <c r="AG4">
        <v>0</v>
      </c>
      <c r="AH4">
        <v>0</v>
      </c>
      <c r="AI4">
        <v>1</v>
      </c>
      <c r="AJ4">
        <v>0</v>
      </c>
      <c r="AK4" t="s">
        <v>129</v>
      </c>
      <c r="AL4">
        <v>33.663440000000001</v>
      </c>
      <c r="AM4" t="s">
        <v>130</v>
      </c>
      <c r="AN4">
        <v>-101.199381</v>
      </c>
      <c r="AO4">
        <v>100</v>
      </c>
      <c r="AP4">
        <v>3100</v>
      </c>
      <c r="AQ4" t="s">
        <v>131</v>
      </c>
      <c r="AR4">
        <v>1</v>
      </c>
      <c r="AS4">
        <v>0</v>
      </c>
      <c r="AT4">
        <v>320</v>
      </c>
      <c r="BB4" t="str">
        <f t="shared" si="3"/>
        <v>1200</v>
      </c>
      <c r="BC4">
        <v>1</v>
      </c>
      <c r="BD4" t="str">
        <f t="shared" si="4"/>
        <v xml:space="preserve">N445JS  </v>
      </c>
      <c r="BE4">
        <v>7</v>
      </c>
      <c r="BG4">
        <v>0</v>
      </c>
      <c r="BH4">
        <v>0</v>
      </c>
      <c r="BI4">
        <v>0</v>
      </c>
      <c r="BJ4">
        <v>2925</v>
      </c>
      <c r="BK4">
        <v>-175</v>
      </c>
      <c r="BL4" t="s">
        <v>132</v>
      </c>
      <c r="BM4">
        <v>1</v>
      </c>
      <c r="BN4">
        <v>1</v>
      </c>
      <c r="BO4">
        <v>1</v>
      </c>
      <c r="BP4">
        <v>0</v>
      </c>
      <c r="BT4">
        <v>0</v>
      </c>
      <c r="BU4">
        <v>0</v>
      </c>
      <c r="CE4" t="str">
        <f>"15:37:27.794"</f>
        <v>15:37:27.794</v>
      </c>
      <c r="CF4">
        <v>793515769</v>
      </c>
      <c r="CS4">
        <v>0</v>
      </c>
      <c r="CT4">
        <v>2</v>
      </c>
      <c r="CU4">
        <v>0</v>
      </c>
      <c r="CV4">
        <v>2</v>
      </c>
      <c r="CW4">
        <v>0</v>
      </c>
      <c r="CX4">
        <v>6</v>
      </c>
      <c r="CY4">
        <v>7</v>
      </c>
      <c r="CZ4" t="s">
        <v>133</v>
      </c>
      <c r="DA4">
        <v>125</v>
      </c>
      <c r="DB4">
        <v>1</v>
      </c>
      <c r="DC4" t="s">
        <v>134</v>
      </c>
      <c r="DD4" t="s">
        <v>135</v>
      </c>
      <c r="DG4">
        <v>2438443</v>
      </c>
      <c r="DI4">
        <v>0</v>
      </c>
      <c r="DJ4">
        <v>0</v>
      </c>
      <c r="DK4">
        <v>1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</row>
    <row r="5" spans="1:124" x14ac:dyDescent="0.25">
      <c r="A5" t="str">
        <f>"04/17/2026 15:37:28.060"</f>
        <v>04/17/2026 15:37:28.060</v>
      </c>
      <c r="C5" t="str">
        <f t="shared" si="0"/>
        <v>FFDFD3C0</v>
      </c>
      <c r="D5" t="s">
        <v>139</v>
      </c>
      <c r="E5" t="str">
        <f>"28"</f>
        <v>28</v>
      </c>
      <c r="H5">
        <v>140</v>
      </c>
      <c r="I5" t="s">
        <v>140</v>
      </c>
      <c r="J5" t="s">
        <v>141</v>
      </c>
      <c r="K5">
        <v>0</v>
      </c>
      <c r="L5">
        <v>3</v>
      </c>
      <c r="M5">
        <v>0</v>
      </c>
      <c r="N5">
        <v>2</v>
      </c>
      <c r="O5">
        <v>1</v>
      </c>
      <c r="P5">
        <v>0</v>
      </c>
      <c r="Q5">
        <v>0</v>
      </c>
      <c r="R5" t="s">
        <v>127</v>
      </c>
      <c r="S5" t="str">
        <f t="shared" si="1"/>
        <v>15:37:27.789</v>
      </c>
      <c r="T5" t="str">
        <f t="shared" si="1"/>
        <v>15:37:27.789</v>
      </c>
      <c r="U5" t="str">
        <f t="shared" si="2"/>
        <v>A55E09</v>
      </c>
      <c r="V5">
        <v>0</v>
      </c>
      <c r="W5">
        <v>0</v>
      </c>
      <c r="X5">
        <v>2</v>
      </c>
      <c r="Y5">
        <v>0</v>
      </c>
      <c r="AA5">
        <v>0</v>
      </c>
      <c r="AB5">
        <v>9</v>
      </c>
      <c r="AC5">
        <v>3</v>
      </c>
      <c r="AD5">
        <v>0</v>
      </c>
      <c r="AE5">
        <v>9</v>
      </c>
      <c r="AF5" t="s">
        <v>128</v>
      </c>
      <c r="AG5">
        <v>0</v>
      </c>
      <c r="AH5">
        <v>0</v>
      </c>
      <c r="AI5">
        <v>1</v>
      </c>
      <c r="AJ5">
        <v>0</v>
      </c>
      <c r="AK5" t="s">
        <v>129</v>
      </c>
      <c r="AL5">
        <v>33.663440000000001</v>
      </c>
      <c r="AM5" t="s">
        <v>130</v>
      </c>
      <c r="AN5">
        <v>-101.199381</v>
      </c>
      <c r="AO5">
        <v>100</v>
      </c>
      <c r="AP5">
        <v>3100</v>
      </c>
      <c r="AQ5" t="s">
        <v>131</v>
      </c>
      <c r="AR5">
        <v>1</v>
      </c>
      <c r="AS5">
        <v>0</v>
      </c>
      <c r="AT5">
        <v>320</v>
      </c>
      <c r="BB5" t="str">
        <f t="shared" si="3"/>
        <v>1200</v>
      </c>
      <c r="BC5">
        <v>1</v>
      </c>
      <c r="BD5" t="str">
        <f t="shared" si="4"/>
        <v xml:space="preserve">N445JS  </v>
      </c>
      <c r="BE5">
        <v>7</v>
      </c>
      <c r="BG5">
        <v>0</v>
      </c>
      <c r="BH5">
        <v>0</v>
      </c>
      <c r="BI5">
        <v>0</v>
      </c>
      <c r="BJ5">
        <v>2925</v>
      </c>
      <c r="BK5">
        <v>-175</v>
      </c>
      <c r="BL5" t="s">
        <v>132</v>
      </c>
      <c r="BM5">
        <v>1</v>
      </c>
      <c r="BN5">
        <v>1</v>
      </c>
      <c r="BO5">
        <v>1</v>
      </c>
      <c r="BP5">
        <v>0</v>
      </c>
      <c r="BT5">
        <v>0</v>
      </c>
      <c r="BU5">
        <v>0</v>
      </c>
      <c r="CE5" t="str">
        <f>"15:37:27.794"</f>
        <v>15:37:27.794</v>
      </c>
      <c r="CF5">
        <v>793515769</v>
      </c>
      <c r="CS5">
        <v>0</v>
      </c>
      <c r="CT5">
        <v>2</v>
      </c>
      <c r="CU5">
        <v>0</v>
      </c>
      <c r="CV5">
        <v>2</v>
      </c>
      <c r="CW5">
        <v>0</v>
      </c>
      <c r="CX5">
        <v>6</v>
      </c>
      <c r="CY5">
        <v>7</v>
      </c>
      <c r="CZ5" t="s">
        <v>133</v>
      </c>
      <c r="DA5">
        <v>125</v>
      </c>
      <c r="DB5">
        <v>1</v>
      </c>
      <c r="DC5" t="s">
        <v>134</v>
      </c>
      <c r="DD5" t="s">
        <v>135</v>
      </c>
      <c r="DG5">
        <v>2438443</v>
      </c>
      <c r="DI5">
        <v>0</v>
      </c>
      <c r="DJ5">
        <v>0</v>
      </c>
      <c r="DK5">
        <v>1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</row>
    <row r="6" spans="1:124" x14ac:dyDescent="0.25">
      <c r="A6" t="str">
        <f>"04/17/2026 15:37:29.012"</f>
        <v>04/17/2026 15:37:29.012</v>
      </c>
      <c r="C6" t="str">
        <f t="shared" si="0"/>
        <v>FFDFD3C0</v>
      </c>
      <c r="D6" t="s">
        <v>139</v>
      </c>
      <c r="E6" t="str">
        <f>"28"</f>
        <v>28</v>
      </c>
      <c r="H6">
        <v>140</v>
      </c>
      <c r="I6" t="s">
        <v>140</v>
      </c>
      <c r="J6" t="s">
        <v>141</v>
      </c>
      <c r="K6">
        <v>0</v>
      </c>
      <c r="L6">
        <v>3</v>
      </c>
      <c r="M6">
        <v>0</v>
      </c>
      <c r="N6">
        <v>2</v>
      </c>
      <c r="O6">
        <v>1</v>
      </c>
      <c r="P6">
        <v>0</v>
      </c>
      <c r="Q6">
        <v>0</v>
      </c>
      <c r="R6" t="s">
        <v>127</v>
      </c>
      <c r="S6" t="str">
        <f>"15:37:28.781"</f>
        <v>15:37:28.781</v>
      </c>
      <c r="T6" t="str">
        <f>"15:37:28.681"</f>
        <v>15:37:28.681</v>
      </c>
      <c r="U6" t="str">
        <f t="shared" si="2"/>
        <v>A55E09</v>
      </c>
      <c r="V6">
        <v>0</v>
      </c>
      <c r="W6">
        <v>0</v>
      </c>
      <c r="X6">
        <v>2</v>
      </c>
      <c r="Y6">
        <v>0</v>
      </c>
      <c r="AA6">
        <v>0</v>
      </c>
      <c r="AB6">
        <v>9</v>
      </c>
      <c r="AC6">
        <v>3</v>
      </c>
      <c r="AD6">
        <v>0</v>
      </c>
      <c r="AE6">
        <v>9</v>
      </c>
      <c r="AF6" t="s">
        <v>128</v>
      </c>
      <c r="AG6">
        <v>0</v>
      </c>
      <c r="AH6">
        <v>0</v>
      </c>
      <c r="AI6">
        <v>1</v>
      </c>
      <c r="AJ6">
        <v>0</v>
      </c>
      <c r="AK6" t="s">
        <v>142</v>
      </c>
      <c r="AL6">
        <v>33.663418</v>
      </c>
      <c r="AM6" t="s">
        <v>143</v>
      </c>
      <c r="AN6">
        <v>-101.19942399999999</v>
      </c>
      <c r="AO6">
        <v>100</v>
      </c>
      <c r="AP6">
        <v>3100</v>
      </c>
      <c r="AQ6" t="s">
        <v>131</v>
      </c>
      <c r="AR6">
        <v>2</v>
      </c>
      <c r="AS6">
        <v>-3</v>
      </c>
      <c r="AT6">
        <v>320</v>
      </c>
      <c r="BB6" t="str">
        <f t="shared" si="3"/>
        <v>1200</v>
      </c>
      <c r="BC6">
        <v>1</v>
      </c>
      <c r="BD6" t="str">
        <f t="shared" si="4"/>
        <v xml:space="preserve">N445JS  </v>
      </c>
      <c r="BE6">
        <v>7</v>
      </c>
      <c r="BG6">
        <v>0</v>
      </c>
      <c r="BH6">
        <v>0</v>
      </c>
      <c r="BI6">
        <v>0</v>
      </c>
      <c r="BJ6">
        <v>2925</v>
      </c>
      <c r="BK6">
        <v>-175</v>
      </c>
      <c r="BL6" t="s">
        <v>132</v>
      </c>
      <c r="BM6">
        <v>1</v>
      </c>
      <c r="BN6">
        <v>1</v>
      </c>
      <c r="BO6">
        <v>1</v>
      </c>
      <c r="BP6">
        <v>0</v>
      </c>
      <c r="BT6">
        <v>0</v>
      </c>
      <c r="BU6">
        <v>0</v>
      </c>
      <c r="CE6" t="str">
        <f>"15:37:28.783"</f>
        <v>15:37:28.783</v>
      </c>
      <c r="CF6">
        <v>783418789</v>
      </c>
      <c r="CS6">
        <v>0</v>
      </c>
      <c r="CT6">
        <v>2</v>
      </c>
      <c r="CU6">
        <v>0</v>
      </c>
      <c r="CV6">
        <v>2</v>
      </c>
      <c r="CW6">
        <v>0</v>
      </c>
      <c r="CX6">
        <v>6</v>
      </c>
      <c r="CY6">
        <v>7</v>
      </c>
      <c r="CZ6" t="s">
        <v>133</v>
      </c>
      <c r="DA6">
        <v>125</v>
      </c>
      <c r="DB6">
        <v>1</v>
      </c>
      <c r="DC6" t="s">
        <v>134</v>
      </c>
      <c r="DD6" t="s">
        <v>135</v>
      </c>
      <c r="DG6">
        <v>2439415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</row>
    <row r="7" spans="1:124" x14ac:dyDescent="0.25">
      <c r="A7" t="str">
        <f>"04/17/2026 15:37:29.040"</f>
        <v>04/17/2026 15:37:29.040</v>
      </c>
      <c r="C7" t="str">
        <f t="shared" si="0"/>
        <v>FFDFD3C0</v>
      </c>
      <c r="D7" t="s">
        <v>124</v>
      </c>
      <c r="E7" t="str">
        <f>"03"</f>
        <v>03</v>
      </c>
      <c r="H7">
        <v>160</v>
      </c>
      <c r="I7" t="s">
        <v>125</v>
      </c>
      <c r="J7" t="s">
        <v>126</v>
      </c>
      <c r="K7">
        <v>0</v>
      </c>
      <c r="L7">
        <v>3</v>
      </c>
      <c r="M7">
        <v>0</v>
      </c>
      <c r="N7">
        <v>2</v>
      </c>
      <c r="O7">
        <v>1</v>
      </c>
      <c r="P7">
        <v>0</v>
      </c>
      <c r="Q7">
        <v>0</v>
      </c>
      <c r="R7" t="s">
        <v>127</v>
      </c>
      <c r="S7" t="str">
        <f>"15:37:28.781"</f>
        <v>15:37:28.781</v>
      </c>
      <c r="T7" t="str">
        <f>"15:37:28.681"</f>
        <v>15:37:28.681</v>
      </c>
      <c r="U7" t="str">
        <f t="shared" si="2"/>
        <v>A55E09</v>
      </c>
      <c r="V7">
        <v>0</v>
      </c>
      <c r="W7">
        <v>0</v>
      </c>
      <c r="X7">
        <v>2</v>
      </c>
      <c r="Y7">
        <v>0</v>
      </c>
      <c r="AA7">
        <v>0</v>
      </c>
      <c r="AB7">
        <v>9</v>
      </c>
      <c r="AC7">
        <v>3</v>
      </c>
      <c r="AD7">
        <v>0</v>
      </c>
      <c r="AE7">
        <v>9</v>
      </c>
      <c r="AF7" t="s">
        <v>128</v>
      </c>
      <c r="AG7">
        <v>0</v>
      </c>
      <c r="AH7">
        <v>0</v>
      </c>
      <c r="AI7">
        <v>1</v>
      </c>
      <c r="AJ7">
        <v>0</v>
      </c>
      <c r="AK7" t="s">
        <v>142</v>
      </c>
      <c r="AL7">
        <v>33.663418</v>
      </c>
      <c r="AM7" t="s">
        <v>143</v>
      </c>
      <c r="AN7">
        <v>-101.19942399999999</v>
      </c>
      <c r="AO7">
        <v>100</v>
      </c>
      <c r="AP7">
        <v>3100</v>
      </c>
      <c r="AQ7" t="s">
        <v>131</v>
      </c>
      <c r="AR7">
        <v>2</v>
      </c>
      <c r="AS7">
        <v>-3</v>
      </c>
      <c r="AT7">
        <v>320</v>
      </c>
      <c r="BB7" t="str">
        <f t="shared" si="3"/>
        <v>1200</v>
      </c>
      <c r="BC7">
        <v>1</v>
      </c>
      <c r="BD7" t="str">
        <f t="shared" si="4"/>
        <v xml:space="preserve">N445JS  </v>
      </c>
      <c r="BE7">
        <v>7</v>
      </c>
      <c r="BG7">
        <v>0</v>
      </c>
      <c r="BH7">
        <v>0</v>
      </c>
      <c r="BI7">
        <v>0</v>
      </c>
      <c r="BJ7">
        <v>2925</v>
      </c>
      <c r="BK7">
        <v>-175</v>
      </c>
      <c r="BL7" t="s">
        <v>132</v>
      </c>
      <c r="BM7">
        <v>1</v>
      </c>
      <c r="BN7">
        <v>1</v>
      </c>
      <c r="BO7">
        <v>1</v>
      </c>
      <c r="BP7">
        <v>0</v>
      </c>
      <c r="BT7">
        <v>0</v>
      </c>
      <c r="BU7">
        <v>0</v>
      </c>
      <c r="CE7" t="str">
        <f>"15:37:28.783"</f>
        <v>15:37:28.783</v>
      </c>
      <c r="CF7">
        <v>783418789</v>
      </c>
      <c r="CS7">
        <v>0</v>
      </c>
      <c r="CT7">
        <v>2</v>
      </c>
      <c r="CU7">
        <v>0</v>
      </c>
      <c r="CV7">
        <v>2</v>
      </c>
      <c r="CW7">
        <v>0</v>
      </c>
      <c r="CX7">
        <v>6</v>
      </c>
      <c r="CY7">
        <v>7</v>
      </c>
      <c r="CZ7" t="s">
        <v>133</v>
      </c>
      <c r="DA7">
        <v>125</v>
      </c>
      <c r="DB7">
        <v>1</v>
      </c>
      <c r="DC7" t="s">
        <v>134</v>
      </c>
      <c r="DD7" t="s">
        <v>135</v>
      </c>
      <c r="DG7">
        <v>2439415</v>
      </c>
      <c r="DI7">
        <v>0</v>
      </c>
      <c r="DJ7">
        <v>0</v>
      </c>
      <c r="DK7">
        <v>1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</row>
    <row r="8" spans="1:124" x14ac:dyDescent="0.25">
      <c r="A8" t="str">
        <f>"04/17/2026 15:37:29.045"</f>
        <v>04/17/2026 15:37:29.045</v>
      </c>
      <c r="C8" t="str">
        <f t="shared" si="0"/>
        <v>FFDFD3C0</v>
      </c>
      <c r="D8" t="s">
        <v>136</v>
      </c>
      <c r="E8" t="str">
        <f>"0F"</f>
        <v>0F</v>
      </c>
      <c r="F8">
        <v>1015</v>
      </c>
      <c r="G8" t="s">
        <v>138</v>
      </c>
      <c r="J8" t="s">
        <v>137</v>
      </c>
      <c r="K8">
        <v>0</v>
      </c>
      <c r="L8">
        <v>3</v>
      </c>
      <c r="M8">
        <v>0</v>
      </c>
      <c r="N8">
        <v>2</v>
      </c>
      <c r="O8">
        <v>1</v>
      </c>
      <c r="P8">
        <v>0</v>
      </c>
      <c r="Q8">
        <v>0</v>
      </c>
      <c r="R8" t="s">
        <v>127</v>
      </c>
      <c r="S8" t="str">
        <f>"15:37:28.781"</f>
        <v>15:37:28.781</v>
      </c>
      <c r="T8" t="str">
        <f>"15:37:28.681"</f>
        <v>15:37:28.681</v>
      </c>
      <c r="U8" t="str">
        <f t="shared" si="2"/>
        <v>A55E09</v>
      </c>
      <c r="V8">
        <v>0</v>
      </c>
      <c r="W8">
        <v>0</v>
      </c>
      <c r="X8">
        <v>2</v>
      </c>
      <c r="Y8">
        <v>0</v>
      </c>
      <c r="AA8">
        <v>0</v>
      </c>
      <c r="AB8">
        <v>9</v>
      </c>
      <c r="AC8">
        <v>3</v>
      </c>
      <c r="AD8">
        <v>0</v>
      </c>
      <c r="AE8">
        <v>9</v>
      </c>
      <c r="AF8" t="s">
        <v>128</v>
      </c>
      <c r="AG8">
        <v>0</v>
      </c>
      <c r="AH8">
        <v>0</v>
      </c>
      <c r="AI8">
        <v>1</v>
      </c>
      <c r="AJ8">
        <v>0</v>
      </c>
      <c r="AK8" t="s">
        <v>142</v>
      </c>
      <c r="AL8">
        <v>33.663418</v>
      </c>
      <c r="AM8" t="s">
        <v>143</v>
      </c>
      <c r="AN8">
        <v>-101.19942399999999</v>
      </c>
      <c r="AO8">
        <v>100</v>
      </c>
      <c r="AP8">
        <v>3100</v>
      </c>
      <c r="AQ8" t="s">
        <v>131</v>
      </c>
      <c r="AR8">
        <v>2</v>
      </c>
      <c r="AS8">
        <v>-3</v>
      </c>
      <c r="AT8">
        <v>320</v>
      </c>
      <c r="BB8" t="str">
        <f t="shared" si="3"/>
        <v>1200</v>
      </c>
      <c r="BC8">
        <v>1</v>
      </c>
      <c r="BD8" t="str">
        <f t="shared" si="4"/>
        <v xml:space="preserve">N445JS  </v>
      </c>
      <c r="BE8">
        <v>7</v>
      </c>
      <c r="BG8">
        <v>0</v>
      </c>
      <c r="BH8">
        <v>0</v>
      </c>
      <c r="BI8">
        <v>0</v>
      </c>
      <c r="BJ8">
        <v>2925</v>
      </c>
      <c r="BK8">
        <v>-175</v>
      </c>
      <c r="BL8" t="s">
        <v>132</v>
      </c>
      <c r="BM8">
        <v>1</v>
      </c>
      <c r="BN8">
        <v>1</v>
      </c>
      <c r="BO8">
        <v>1</v>
      </c>
      <c r="BP8">
        <v>0</v>
      </c>
      <c r="BT8">
        <v>0</v>
      </c>
      <c r="BU8">
        <v>0</v>
      </c>
      <c r="CE8" t="str">
        <f>"15:37:28.783"</f>
        <v>15:37:28.783</v>
      </c>
      <c r="CF8">
        <v>783418789</v>
      </c>
      <c r="CS8">
        <v>0</v>
      </c>
      <c r="CT8">
        <v>2</v>
      </c>
      <c r="CU8">
        <v>0</v>
      </c>
      <c r="CV8">
        <v>2</v>
      </c>
      <c r="CW8">
        <v>0</v>
      </c>
      <c r="CX8">
        <v>6</v>
      </c>
      <c r="CY8">
        <v>7</v>
      </c>
      <c r="CZ8" t="s">
        <v>133</v>
      </c>
      <c r="DA8">
        <v>125</v>
      </c>
      <c r="DB8">
        <v>1</v>
      </c>
      <c r="DC8" t="s">
        <v>134</v>
      </c>
      <c r="DD8" t="s">
        <v>135</v>
      </c>
      <c r="DG8">
        <v>2439415</v>
      </c>
      <c r="DI8">
        <v>0</v>
      </c>
      <c r="DJ8">
        <v>0</v>
      </c>
      <c r="DK8">
        <v>1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</row>
    <row r="9" spans="1:124" x14ac:dyDescent="0.25">
      <c r="A9" t="str">
        <f>"04/17/2026 15:37:29.044"</f>
        <v>04/17/2026 15:37:29.044</v>
      </c>
      <c r="C9" t="str">
        <f t="shared" si="0"/>
        <v>FFDFD3C0</v>
      </c>
      <c r="D9" t="s">
        <v>136</v>
      </c>
      <c r="E9" t="str">
        <f>"0E"</f>
        <v>0E</v>
      </c>
      <c r="F9">
        <v>1014</v>
      </c>
      <c r="G9" t="s">
        <v>125</v>
      </c>
      <c r="J9" t="s">
        <v>137</v>
      </c>
      <c r="K9">
        <v>0</v>
      </c>
      <c r="L9">
        <v>3</v>
      </c>
      <c r="M9">
        <v>0</v>
      </c>
      <c r="N9">
        <v>2</v>
      </c>
      <c r="O9">
        <v>1</v>
      </c>
      <c r="P9">
        <v>0</v>
      </c>
      <c r="Q9">
        <v>0</v>
      </c>
      <c r="R9" t="s">
        <v>127</v>
      </c>
      <c r="S9" t="str">
        <f>"15:37:28.781"</f>
        <v>15:37:28.781</v>
      </c>
      <c r="T9" t="str">
        <f>"15:37:28.681"</f>
        <v>15:37:28.681</v>
      </c>
      <c r="U9" t="str">
        <f t="shared" si="2"/>
        <v>A55E09</v>
      </c>
      <c r="V9">
        <v>0</v>
      </c>
      <c r="W9">
        <v>0</v>
      </c>
      <c r="X9">
        <v>2</v>
      </c>
      <c r="Y9">
        <v>0</v>
      </c>
      <c r="AA9">
        <v>0</v>
      </c>
      <c r="AB9">
        <v>9</v>
      </c>
      <c r="AC9">
        <v>3</v>
      </c>
      <c r="AD9">
        <v>0</v>
      </c>
      <c r="AE9">
        <v>9</v>
      </c>
      <c r="AF9" t="s">
        <v>128</v>
      </c>
      <c r="AG9">
        <v>0</v>
      </c>
      <c r="AH9">
        <v>0</v>
      </c>
      <c r="AI9">
        <v>1</v>
      </c>
      <c r="AJ9">
        <v>0</v>
      </c>
      <c r="AK9" t="s">
        <v>142</v>
      </c>
      <c r="AL9">
        <v>33.663418</v>
      </c>
      <c r="AM9" t="s">
        <v>143</v>
      </c>
      <c r="AN9">
        <v>-101.19942399999999</v>
      </c>
      <c r="AO9">
        <v>100</v>
      </c>
      <c r="AP9">
        <v>3100</v>
      </c>
      <c r="AQ9" t="s">
        <v>131</v>
      </c>
      <c r="AR9">
        <v>2</v>
      </c>
      <c r="AS9">
        <v>-3</v>
      </c>
      <c r="AT9">
        <v>320</v>
      </c>
      <c r="BB9" t="str">
        <f t="shared" si="3"/>
        <v>1200</v>
      </c>
      <c r="BC9">
        <v>1</v>
      </c>
      <c r="BD9" t="str">
        <f t="shared" si="4"/>
        <v xml:space="preserve">N445JS  </v>
      </c>
      <c r="BE9">
        <v>7</v>
      </c>
      <c r="BG9">
        <v>0</v>
      </c>
      <c r="BH9">
        <v>0</v>
      </c>
      <c r="BI9">
        <v>0</v>
      </c>
      <c r="BJ9">
        <v>2925</v>
      </c>
      <c r="BK9">
        <v>-175</v>
      </c>
      <c r="BL9" t="s">
        <v>132</v>
      </c>
      <c r="BM9">
        <v>1</v>
      </c>
      <c r="BN9">
        <v>1</v>
      </c>
      <c r="BO9">
        <v>1</v>
      </c>
      <c r="BP9">
        <v>0</v>
      </c>
      <c r="BT9">
        <v>0</v>
      </c>
      <c r="BU9">
        <v>0</v>
      </c>
      <c r="CE9" t="str">
        <f>"15:37:28.783"</f>
        <v>15:37:28.783</v>
      </c>
      <c r="CF9">
        <v>783418789</v>
      </c>
      <c r="CS9">
        <v>0</v>
      </c>
      <c r="CT9">
        <v>2</v>
      </c>
      <c r="CU9">
        <v>0</v>
      </c>
      <c r="CV9">
        <v>2</v>
      </c>
      <c r="CW9">
        <v>0</v>
      </c>
      <c r="CX9">
        <v>6</v>
      </c>
      <c r="CY9">
        <v>7</v>
      </c>
      <c r="CZ9" t="s">
        <v>133</v>
      </c>
      <c r="DA9">
        <v>125</v>
      </c>
      <c r="DB9">
        <v>1</v>
      </c>
      <c r="DC9" t="s">
        <v>134</v>
      </c>
      <c r="DD9" t="s">
        <v>135</v>
      </c>
      <c r="DG9">
        <v>2439415</v>
      </c>
      <c r="DI9">
        <v>0</v>
      </c>
      <c r="DJ9">
        <v>0</v>
      </c>
      <c r="DK9">
        <v>1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</row>
    <row r="10" spans="1:124" x14ac:dyDescent="0.25">
      <c r="A10" t="str">
        <f>"04/17/2026 15:37:30.014"</f>
        <v>04/17/2026 15:37:30.014</v>
      </c>
      <c r="C10" t="str">
        <f t="shared" si="0"/>
        <v>FFDFD3C0</v>
      </c>
      <c r="D10" t="s">
        <v>139</v>
      </c>
      <c r="E10" t="str">
        <f>"28"</f>
        <v>28</v>
      </c>
      <c r="H10">
        <v>140</v>
      </c>
      <c r="I10" t="s">
        <v>140</v>
      </c>
      <c r="J10" t="s">
        <v>141</v>
      </c>
      <c r="K10">
        <v>0</v>
      </c>
      <c r="L10">
        <v>3</v>
      </c>
      <c r="M10">
        <v>0</v>
      </c>
      <c r="N10">
        <v>2</v>
      </c>
      <c r="O10">
        <v>1</v>
      </c>
      <c r="P10">
        <v>0</v>
      </c>
      <c r="Q10">
        <v>0</v>
      </c>
      <c r="R10" t="s">
        <v>127</v>
      </c>
      <c r="S10" t="str">
        <f>"15:37:29.758"</f>
        <v>15:37:29.758</v>
      </c>
      <c r="T10" t="str">
        <f>"15:37:29.558"</f>
        <v>15:37:29.558</v>
      </c>
      <c r="U10" t="str">
        <f t="shared" si="2"/>
        <v>A55E09</v>
      </c>
      <c r="V10">
        <v>0</v>
      </c>
      <c r="W10">
        <v>0</v>
      </c>
      <c r="X10">
        <v>2</v>
      </c>
      <c r="Y10">
        <v>0</v>
      </c>
      <c r="AA10">
        <v>0</v>
      </c>
      <c r="AB10">
        <v>9</v>
      </c>
      <c r="AC10">
        <v>3</v>
      </c>
      <c r="AD10">
        <v>0</v>
      </c>
      <c r="AE10">
        <v>9</v>
      </c>
      <c r="AF10" t="s">
        <v>128</v>
      </c>
      <c r="AG10">
        <v>0</v>
      </c>
      <c r="AH10">
        <v>0</v>
      </c>
      <c r="AI10">
        <v>1</v>
      </c>
      <c r="AJ10">
        <v>0</v>
      </c>
      <c r="AK10" t="s">
        <v>144</v>
      </c>
      <c r="AL10">
        <v>33.663397000000003</v>
      </c>
      <c r="AM10" t="s">
        <v>130</v>
      </c>
      <c r="AN10">
        <v>-101.199381</v>
      </c>
      <c r="AO10">
        <v>100</v>
      </c>
      <c r="AP10">
        <v>3100</v>
      </c>
      <c r="AQ10" t="s">
        <v>131</v>
      </c>
      <c r="AR10">
        <v>3</v>
      </c>
      <c r="AS10">
        <v>-5</v>
      </c>
      <c r="AT10">
        <v>256</v>
      </c>
      <c r="BB10" t="str">
        <f t="shared" si="3"/>
        <v>1200</v>
      </c>
      <c r="BC10">
        <v>1</v>
      </c>
      <c r="BD10" t="str">
        <f t="shared" si="4"/>
        <v xml:space="preserve">N445JS  </v>
      </c>
      <c r="BE10">
        <v>7</v>
      </c>
      <c r="BG10">
        <v>0</v>
      </c>
      <c r="BH10">
        <v>0</v>
      </c>
      <c r="BI10">
        <v>0</v>
      </c>
      <c r="BJ10">
        <v>2925</v>
      </c>
      <c r="BK10">
        <v>-175</v>
      </c>
      <c r="BL10" t="s">
        <v>132</v>
      </c>
      <c r="BM10">
        <v>1</v>
      </c>
      <c r="BN10">
        <v>1</v>
      </c>
      <c r="BO10">
        <v>1</v>
      </c>
      <c r="BP10">
        <v>0</v>
      </c>
      <c r="BT10">
        <v>0</v>
      </c>
      <c r="BU10">
        <v>0</v>
      </c>
      <c r="CE10" t="str">
        <f>"15:37:29.758"</f>
        <v>15:37:29.758</v>
      </c>
      <c r="CF10">
        <v>758323289</v>
      </c>
      <c r="CS10">
        <v>0</v>
      </c>
      <c r="CT10">
        <v>2</v>
      </c>
      <c r="CU10">
        <v>0</v>
      </c>
      <c r="CV10">
        <v>2</v>
      </c>
      <c r="CW10">
        <v>0</v>
      </c>
      <c r="CX10">
        <v>6</v>
      </c>
      <c r="CY10">
        <v>7</v>
      </c>
      <c r="CZ10" t="s">
        <v>133</v>
      </c>
      <c r="DA10">
        <v>125</v>
      </c>
      <c r="DB10">
        <v>1</v>
      </c>
      <c r="DC10" t="s">
        <v>134</v>
      </c>
      <c r="DD10" t="s">
        <v>135</v>
      </c>
      <c r="DG10">
        <v>2440334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</row>
    <row r="11" spans="1:124" x14ac:dyDescent="0.25">
      <c r="A11" t="str">
        <f>"04/17/2026 15:37:30.041"</f>
        <v>04/17/2026 15:37:30.041</v>
      </c>
      <c r="C11" t="str">
        <f t="shared" si="0"/>
        <v>FFDFD3C0</v>
      </c>
      <c r="D11" t="s">
        <v>124</v>
      </c>
      <c r="E11" t="str">
        <f>"03"</f>
        <v>03</v>
      </c>
      <c r="H11">
        <v>160</v>
      </c>
      <c r="I11" t="s">
        <v>125</v>
      </c>
      <c r="J11" t="s">
        <v>126</v>
      </c>
      <c r="K11">
        <v>0</v>
      </c>
      <c r="L11">
        <v>3</v>
      </c>
      <c r="M11">
        <v>0</v>
      </c>
      <c r="N11">
        <v>2</v>
      </c>
      <c r="O11">
        <v>1</v>
      </c>
      <c r="P11">
        <v>0</v>
      </c>
      <c r="Q11">
        <v>0</v>
      </c>
      <c r="R11" t="s">
        <v>127</v>
      </c>
      <c r="S11" t="str">
        <f>"15:37:29.758"</f>
        <v>15:37:29.758</v>
      </c>
      <c r="T11" t="str">
        <f>"15:37:29.558"</f>
        <v>15:37:29.558</v>
      </c>
      <c r="U11" t="str">
        <f t="shared" si="2"/>
        <v>A55E09</v>
      </c>
      <c r="V11">
        <v>0</v>
      </c>
      <c r="W11">
        <v>0</v>
      </c>
      <c r="X11">
        <v>2</v>
      </c>
      <c r="Y11">
        <v>0</v>
      </c>
      <c r="AA11">
        <v>0</v>
      </c>
      <c r="AB11">
        <v>9</v>
      </c>
      <c r="AC11">
        <v>3</v>
      </c>
      <c r="AD11">
        <v>0</v>
      </c>
      <c r="AE11">
        <v>9</v>
      </c>
      <c r="AF11" t="s">
        <v>128</v>
      </c>
      <c r="AG11">
        <v>0</v>
      </c>
      <c r="AH11">
        <v>0</v>
      </c>
      <c r="AI11">
        <v>1</v>
      </c>
      <c r="AJ11">
        <v>0</v>
      </c>
      <c r="AK11" t="s">
        <v>144</v>
      </c>
      <c r="AL11">
        <v>33.663397000000003</v>
      </c>
      <c r="AM11" t="s">
        <v>130</v>
      </c>
      <c r="AN11">
        <v>-101.199381</v>
      </c>
      <c r="AO11">
        <v>100</v>
      </c>
      <c r="AP11">
        <v>3100</v>
      </c>
      <c r="AQ11" t="s">
        <v>131</v>
      </c>
      <c r="AR11">
        <v>3</v>
      </c>
      <c r="AS11">
        <v>-5</v>
      </c>
      <c r="AT11">
        <v>256</v>
      </c>
      <c r="BB11" t="str">
        <f t="shared" si="3"/>
        <v>1200</v>
      </c>
      <c r="BC11">
        <v>1</v>
      </c>
      <c r="BD11" t="str">
        <f t="shared" si="4"/>
        <v xml:space="preserve">N445JS  </v>
      </c>
      <c r="BE11">
        <v>7</v>
      </c>
      <c r="BG11">
        <v>0</v>
      </c>
      <c r="BH11">
        <v>0</v>
      </c>
      <c r="BI11">
        <v>0</v>
      </c>
      <c r="BJ11">
        <v>2925</v>
      </c>
      <c r="BK11">
        <v>-175</v>
      </c>
      <c r="BL11" t="s">
        <v>132</v>
      </c>
      <c r="BM11">
        <v>1</v>
      </c>
      <c r="BN11">
        <v>1</v>
      </c>
      <c r="BO11">
        <v>1</v>
      </c>
      <c r="BP11">
        <v>0</v>
      </c>
      <c r="BT11">
        <v>0</v>
      </c>
      <c r="BU11">
        <v>0</v>
      </c>
      <c r="CE11" t="str">
        <f>"15:37:29.758"</f>
        <v>15:37:29.758</v>
      </c>
      <c r="CF11">
        <v>758323289</v>
      </c>
      <c r="CS11">
        <v>0</v>
      </c>
      <c r="CT11">
        <v>2</v>
      </c>
      <c r="CU11">
        <v>0</v>
      </c>
      <c r="CV11">
        <v>2</v>
      </c>
      <c r="CW11">
        <v>0</v>
      </c>
      <c r="CX11">
        <v>6</v>
      </c>
      <c r="CY11">
        <v>7</v>
      </c>
      <c r="CZ11" t="s">
        <v>133</v>
      </c>
      <c r="DA11">
        <v>125</v>
      </c>
      <c r="DB11">
        <v>1</v>
      </c>
      <c r="DC11" t="s">
        <v>134</v>
      </c>
      <c r="DD11" t="s">
        <v>135</v>
      </c>
      <c r="DG11">
        <v>2440334</v>
      </c>
      <c r="DI11">
        <v>0</v>
      </c>
      <c r="DJ11">
        <v>0</v>
      </c>
      <c r="DK11">
        <v>1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</row>
    <row r="12" spans="1:124" x14ac:dyDescent="0.25">
      <c r="A12" t="str">
        <f>"04/17/2026 15:37:30.046"</f>
        <v>04/17/2026 15:37:30.046</v>
      </c>
      <c r="C12" t="str">
        <f t="shared" si="0"/>
        <v>FFDFD3C0</v>
      </c>
      <c r="D12" t="s">
        <v>136</v>
      </c>
      <c r="E12" t="str">
        <f>"0E"</f>
        <v>0E</v>
      </c>
      <c r="F12">
        <v>1014</v>
      </c>
      <c r="G12" t="s">
        <v>125</v>
      </c>
      <c r="J12" t="s">
        <v>137</v>
      </c>
      <c r="K12">
        <v>0</v>
      </c>
      <c r="L12">
        <v>3</v>
      </c>
      <c r="M12">
        <v>0</v>
      </c>
      <c r="N12">
        <v>2</v>
      </c>
      <c r="O12">
        <v>1</v>
      </c>
      <c r="P12">
        <v>0</v>
      </c>
      <c r="Q12">
        <v>0</v>
      </c>
      <c r="R12" t="s">
        <v>127</v>
      </c>
      <c r="S12" t="str">
        <f>"15:37:29.758"</f>
        <v>15:37:29.758</v>
      </c>
      <c r="T12" t="str">
        <f>"15:37:29.558"</f>
        <v>15:37:29.558</v>
      </c>
      <c r="U12" t="str">
        <f t="shared" si="2"/>
        <v>A55E09</v>
      </c>
      <c r="V12">
        <v>0</v>
      </c>
      <c r="W12">
        <v>0</v>
      </c>
      <c r="X12">
        <v>2</v>
      </c>
      <c r="Y12">
        <v>0</v>
      </c>
      <c r="AA12">
        <v>0</v>
      </c>
      <c r="AB12">
        <v>9</v>
      </c>
      <c r="AC12">
        <v>3</v>
      </c>
      <c r="AD12">
        <v>0</v>
      </c>
      <c r="AE12">
        <v>9</v>
      </c>
      <c r="AF12" t="s">
        <v>128</v>
      </c>
      <c r="AG12">
        <v>0</v>
      </c>
      <c r="AH12">
        <v>0</v>
      </c>
      <c r="AI12">
        <v>1</v>
      </c>
      <c r="AJ12">
        <v>0</v>
      </c>
      <c r="AK12" t="s">
        <v>144</v>
      </c>
      <c r="AL12">
        <v>33.663397000000003</v>
      </c>
      <c r="AM12" t="s">
        <v>130</v>
      </c>
      <c r="AN12">
        <v>-101.199381</v>
      </c>
      <c r="AO12">
        <v>100</v>
      </c>
      <c r="AP12">
        <v>3100</v>
      </c>
      <c r="AQ12" t="s">
        <v>131</v>
      </c>
      <c r="AR12">
        <v>3</v>
      </c>
      <c r="AS12">
        <v>-5</v>
      </c>
      <c r="AT12">
        <v>256</v>
      </c>
      <c r="BB12" t="str">
        <f t="shared" si="3"/>
        <v>1200</v>
      </c>
      <c r="BC12">
        <v>1</v>
      </c>
      <c r="BD12" t="str">
        <f t="shared" si="4"/>
        <v xml:space="preserve">N445JS  </v>
      </c>
      <c r="BE12">
        <v>7</v>
      </c>
      <c r="BG12">
        <v>0</v>
      </c>
      <c r="BH12">
        <v>0</v>
      </c>
      <c r="BI12">
        <v>0</v>
      </c>
      <c r="BJ12">
        <v>2925</v>
      </c>
      <c r="BK12">
        <v>-175</v>
      </c>
      <c r="BL12" t="s">
        <v>132</v>
      </c>
      <c r="BM12">
        <v>1</v>
      </c>
      <c r="BN12">
        <v>1</v>
      </c>
      <c r="BO12">
        <v>1</v>
      </c>
      <c r="BP12">
        <v>0</v>
      </c>
      <c r="BT12">
        <v>0</v>
      </c>
      <c r="BU12">
        <v>0</v>
      </c>
      <c r="CE12" t="str">
        <f>"15:37:29.758"</f>
        <v>15:37:29.758</v>
      </c>
      <c r="CF12">
        <v>758323289</v>
      </c>
      <c r="CS12">
        <v>0</v>
      </c>
      <c r="CT12">
        <v>2</v>
      </c>
      <c r="CU12">
        <v>0</v>
      </c>
      <c r="CV12">
        <v>2</v>
      </c>
      <c r="CW12">
        <v>0</v>
      </c>
      <c r="CX12">
        <v>6</v>
      </c>
      <c r="CY12">
        <v>7</v>
      </c>
      <c r="CZ12" t="s">
        <v>133</v>
      </c>
      <c r="DA12">
        <v>125</v>
      </c>
      <c r="DB12">
        <v>1</v>
      </c>
      <c r="DC12" t="s">
        <v>134</v>
      </c>
      <c r="DD12" t="s">
        <v>135</v>
      </c>
      <c r="DG12">
        <v>2440334</v>
      </c>
      <c r="DI12">
        <v>0</v>
      </c>
      <c r="DJ12">
        <v>0</v>
      </c>
      <c r="DK12">
        <v>1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</row>
    <row r="13" spans="1:124" x14ac:dyDescent="0.25">
      <c r="A13" t="str">
        <f>"04/17/2026 15:37:30.046"</f>
        <v>04/17/2026 15:37:30.046</v>
      </c>
      <c r="C13" t="str">
        <f t="shared" si="0"/>
        <v>FFDFD3C0</v>
      </c>
      <c r="D13" t="s">
        <v>136</v>
      </c>
      <c r="E13" t="str">
        <f>"0F"</f>
        <v>0F</v>
      </c>
      <c r="F13">
        <v>1015</v>
      </c>
      <c r="G13" t="s">
        <v>138</v>
      </c>
      <c r="J13" t="s">
        <v>137</v>
      </c>
      <c r="K13">
        <v>0</v>
      </c>
      <c r="L13">
        <v>3</v>
      </c>
      <c r="M13">
        <v>0</v>
      </c>
      <c r="N13">
        <v>2</v>
      </c>
      <c r="O13">
        <v>1</v>
      </c>
      <c r="P13">
        <v>0</v>
      </c>
      <c r="Q13">
        <v>0</v>
      </c>
      <c r="R13" t="s">
        <v>127</v>
      </c>
      <c r="S13" t="str">
        <f>"15:37:29.758"</f>
        <v>15:37:29.758</v>
      </c>
      <c r="T13" t="str">
        <f>"15:37:29.558"</f>
        <v>15:37:29.558</v>
      </c>
      <c r="U13" t="str">
        <f t="shared" si="2"/>
        <v>A55E09</v>
      </c>
      <c r="V13">
        <v>0</v>
      </c>
      <c r="W13">
        <v>0</v>
      </c>
      <c r="X13">
        <v>2</v>
      </c>
      <c r="Y13">
        <v>0</v>
      </c>
      <c r="AA13">
        <v>0</v>
      </c>
      <c r="AB13">
        <v>9</v>
      </c>
      <c r="AC13">
        <v>3</v>
      </c>
      <c r="AD13">
        <v>0</v>
      </c>
      <c r="AE13">
        <v>9</v>
      </c>
      <c r="AF13" t="s">
        <v>128</v>
      </c>
      <c r="AG13">
        <v>0</v>
      </c>
      <c r="AH13">
        <v>0</v>
      </c>
      <c r="AI13">
        <v>1</v>
      </c>
      <c r="AJ13">
        <v>0</v>
      </c>
      <c r="AK13" t="s">
        <v>144</v>
      </c>
      <c r="AL13">
        <v>33.663397000000003</v>
      </c>
      <c r="AM13" t="s">
        <v>130</v>
      </c>
      <c r="AN13">
        <v>-101.199381</v>
      </c>
      <c r="AO13">
        <v>100</v>
      </c>
      <c r="AP13">
        <v>3100</v>
      </c>
      <c r="AQ13" t="s">
        <v>131</v>
      </c>
      <c r="AR13">
        <v>3</v>
      </c>
      <c r="AS13">
        <v>-5</v>
      </c>
      <c r="AT13">
        <v>256</v>
      </c>
      <c r="BB13" t="str">
        <f t="shared" si="3"/>
        <v>1200</v>
      </c>
      <c r="BC13">
        <v>1</v>
      </c>
      <c r="BD13" t="str">
        <f t="shared" si="4"/>
        <v xml:space="preserve">N445JS  </v>
      </c>
      <c r="BE13">
        <v>7</v>
      </c>
      <c r="BG13">
        <v>0</v>
      </c>
      <c r="BH13">
        <v>0</v>
      </c>
      <c r="BI13">
        <v>0</v>
      </c>
      <c r="BJ13">
        <v>2925</v>
      </c>
      <c r="BK13">
        <v>-175</v>
      </c>
      <c r="BL13" t="s">
        <v>132</v>
      </c>
      <c r="BM13">
        <v>1</v>
      </c>
      <c r="BN13">
        <v>1</v>
      </c>
      <c r="BO13">
        <v>1</v>
      </c>
      <c r="BP13">
        <v>0</v>
      </c>
      <c r="BT13">
        <v>0</v>
      </c>
      <c r="BU13">
        <v>0</v>
      </c>
      <c r="CE13" t="str">
        <f>"15:37:29.758"</f>
        <v>15:37:29.758</v>
      </c>
      <c r="CF13">
        <v>758323289</v>
      </c>
      <c r="CS13">
        <v>0</v>
      </c>
      <c r="CT13">
        <v>2</v>
      </c>
      <c r="CU13">
        <v>0</v>
      </c>
      <c r="CV13">
        <v>2</v>
      </c>
      <c r="CW13">
        <v>0</v>
      </c>
      <c r="CX13">
        <v>6</v>
      </c>
      <c r="CY13">
        <v>7</v>
      </c>
      <c r="CZ13" t="s">
        <v>133</v>
      </c>
      <c r="DA13">
        <v>125</v>
      </c>
      <c r="DB13">
        <v>1</v>
      </c>
      <c r="DC13" t="s">
        <v>134</v>
      </c>
      <c r="DD13" t="s">
        <v>135</v>
      </c>
      <c r="DG13">
        <v>2440334</v>
      </c>
      <c r="DI13">
        <v>0</v>
      </c>
      <c r="DJ13">
        <v>0</v>
      </c>
      <c r="DK13">
        <v>1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</row>
    <row r="14" spans="1:124" x14ac:dyDescent="0.25">
      <c r="A14" t="str">
        <f>"04/17/2026 15:37:30.993"</f>
        <v>04/17/2026 15:37:30.993</v>
      </c>
      <c r="C14" t="str">
        <f t="shared" si="0"/>
        <v>FFDFD3C0</v>
      </c>
      <c r="D14" t="s">
        <v>124</v>
      </c>
      <c r="E14" t="str">
        <f>"03"</f>
        <v>03</v>
      </c>
      <c r="H14">
        <v>160</v>
      </c>
      <c r="I14" t="s">
        <v>125</v>
      </c>
      <c r="J14" t="s">
        <v>126</v>
      </c>
      <c r="K14">
        <v>0</v>
      </c>
      <c r="L14">
        <v>3</v>
      </c>
      <c r="M14">
        <v>0</v>
      </c>
      <c r="N14">
        <v>2</v>
      </c>
      <c r="O14">
        <v>1</v>
      </c>
      <c r="P14">
        <v>0</v>
      </c>
      <c r="Q14">
        <v>0</v>
      </c>
      <c r="R14" t="s">
        <v>127</v>
      </c>
      <c r="S14" t="str">
        <f>"15:37:30.727"</f>
        <v>15:37:30.727</v>
      </c>
      <c r="T14" t="str">
        <f>"15:37:30.627"</f>
        <v>15:37:30.627</v>
      </c>
      <c r="U14" t="str">
        <f t="shared" si="2"/>
        <v>A55E09</v>
      </c>
      <c r="V14">
        <v>0</v>
      </c>
      <c r="W14">
        <v>0</v>
      </c>
      <c r="X14">
        <v>2</v>
      </c>
      <c r="Y14">
        <v>0</v>
      </c>
      <c r="AA14">
        <v>0</v>
      </c>
      <c r="AB14">
        <v>9</v>
      </c>
      <c r="AC14">
        <v>3</v>
      </c>
      <c r="AD14">
        <v>0</v>
      </c>
      <c r="AE14">
        <v>9</v>
      </c>
      <c r="AF14" t="s">
        <v>128</v>
      </c>
      <c r="AG14">
        <v>0</v>
      </c>
      <c r="AH14">
        <v>0</v>
      </c>
      <c r="AI14">
        <v>1</v>
      </c>
      <c r="AJ14">
        <v>0</v>
      </c>
      <c r="AK14" t="s">
        <v>145</v>
      </c>
      <c r="AL14">
        <v>33.663353999999998</v>
      </c>
      <c r="AM14" t="s">
        <v>130</v>
      </c>
      <c r="AN14">
        <v>-101.199381</v>
      </c>
      <c r="AO14">
        <v>100</v>
      </c>
      <c r="AP14">
        <v>3200</v>
      </c>
      <c r="AQ14" t="s">
        <v>131</v>
      </c>
      <c r="AR14">
        <v>4</v>
      </c>
      <c r="AS14">
        <v>-12</v>
      </c>
      <c r="AT14">
        <v>0</v>
      </c>
      <c r="BB14" t="str">
        <f t="shared" si="3"/>
        <v>1200</v>
      </c>
      <c r="BC14">
        <v>1</v>
      </c>
      <c r="BD14" t="str">
        <f t="shared" si="4"/>
        <v xml:space="preserve">N445JS  </v>
      </c>
      <c r="BE14">
        <v>7</v>
      </c>
      <c r="BG14">
        <v>0</v>
      </c>
      <c r="BH14">
        <v>0</v>
      </c>
      <c r="BI14">
        <v>0</v>
      </c>
      <c r="BJ14">
        <v>2950</v>
      </c>
      <c r="BK14">
        <v>-250</v>
      </c>
      <c r="BL14" t="s">
        <v>132</v>
      </c>
      <c r="BM14">
        <v>1</v>
      </c>
      <c r="BN14">
        <v>1</v>
      </c>
      <c r="BO14">
        <v>1</v>
      </c>
      <c r="BP14">
        <v>0</v>
      </c>
      <c r="BT14">
        <v>0</v>
      </c>
      <c r="BU14">
        <v>0</v>
      </c>
      <c r="CE14" t="str">
        <f>"15:37:30.733"</f>
        <v>15:37:30.733</v>
      </c>
      <c r="CF14">
        <v>733227782</v>
      </c>
      <c r="CS14">
        <v>0</v>
      </c>
      <c r="CT14">
        <v>2</v>
      </c>
      <c r="CU14">
        <v>0</v>
      </c>
      <c r="CV14">
        <v>2</v>
      </c>
      <c r="CW14">
        <v>0</v>
      </c>
      <c r="CX14">
        <v>6</v>
      </c>
      <c r="CY14">
        <v>7</v>
      </c>
      <c r="CZ14" t="s">
        <v>133</v>
      </c>
      <c r="DA14">
        <v>125</v>
      </c>
      <c r="DB14">
        <v>1</v>
      </c>
      <c r="DC14" t="s">
        <v>134</v>
      </c>
      <c r="DD14" t="s">
        <v>135</v>
      </c>
      <c r="DG14">
        <v>2441310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</row>
    <row r="15" spans="1:124" x14ac:dyDescent="0.25">
      <c r="A15" t="str">
        <f>"04/17/2026 15:37:30.997"</f>
        <v>04/17/2026 15:37:30.997</v>
      </c>
      <c r="C15" t="str">
        <f t="shared" si="0"/>
        <v>FFDFD3C0</v>
      </c>
      <c r="D15" t="s">
        <v>136</v>
      </c>
      <c r="E15" t="str">
        <f>"0F"</f>
        <v>0F</v>
      </c>
      <c r="F15">
        <v>1015</v>
      </c>
      <c r="G15" t="s">
        <v>138</v>
      </c>
      <c r="J15" t="s">
        <v>137</v>
      </c>
      <c r="K15">
        <v>0</v>
      </c>
      <c r="L15">
        <v>3</v>
      </c>
      <c r="M15">
        <v>0</v>
      </c>
      <c r="N15">
        <v>2</v>
      </c>
      <c r="O15">
        <v>1</v>
      </c>
      <c r="P15">
        <v>0</v>
      </c>
      <c r="Q15">
        <v>0</v>
      </c>
      <c r="R15" t="s">
        <v>127</v>
      </c>
      <c r="S15" t="str">
        <f>"15:37:30.727"</f>
        <v>15:37:30.727</v>
      </c>
      <c r="T15" t="str">
        <f>"15:37:30.627"</f>
        <v>15:37:30.627</v>
      </c>
      <c r="U15" t="str">
        <f t="shared" si="2"/>
        <v>A55E09</v>
      </c>
      <c r="V15">
        <v>0</v>
      </c>
      <c r="W15">
        <v>0</v>
      </c>
      <c r="X15">
        <v>2</v>
      </c>
      <c r="Y15">
        <v>0</v>
      </c>
      <c r="AA15">
        <v>0</v>
      </c>
      <c r="AB15">
        <v>9</v>
      </c>
      <c r="AC15">
        <v>3</v>
      </c>
      <c r="AD15">
        <v>0</v>
      </c>
      <c r="AE15">
        <v>9</v>
      </c>
      <c r="AF15" t="s">
        <v>128</v>
      </c>
      <c r="AG15">
        <v>0</v>
      </c>
      <c r="AH15">
        <v>0</v>
      </c>
      <c r="AI15">
        <v>1</v>
      </c>
      <c r="AJ15">
        <v>0</v>
      </c>
      <c r="AK15" t="s">
        <v>145</v>
      </c>
      <c r="AL15">
        <v>33.663353999999998</v>
      </c>
      <c r="AM15" t="s">
        <v>130</v>
      </c>
      <c r="AN15">
        <v>-101.199381</v>
      </c>
      <c r="AO15">
        <v>100</v>
      </c>
      <c r="AP15">
        <v>3200</v>
      </c>
      <c r="AQ15" t="s">
        <v>131</v>
      </c>
      <c r="AR15">
        <v>4</v>
      </c>
      <c r="AS15">
        <v>-12</v>
      </c>
      <c r="AT15">
        <v>0</v>
      </c>
      <c r="BB15" t="str">
        <f t="shared" si="3"/>
        <v>1200</v>
      </c>
      <c r="BC15">
        <v>1</v>
      </c>
      <c r="BD15" t="str">
        <f t="shared" si="4"/>
        <v xml:space="preserve">N445JS  </v>
      </c>
      <c r="BE15">
        <v>7</v>
      </c>
      <c r="BG15">
        <v>0</v>
      </c>
      <c r="BH15">
        <v>0</v>
      </c>
      <c r="BI15">
        <v>0</v>
      </c>
      <c r="BJ15">
        <v>2950</v>
      </c>
      <c r="BK15">
        <v>-250</v>
      </c>
      <c r="BL15" t="s">
        <v>132</v>
      </c>
      <c r="BM15">
        <v>1</v>
      </c>
      <c r="BN15">
        <v>1</v>
      </c>
      <c r="BO15">
        <v>1</v>
      </c>
      <c r="BP15">
        <v>0</v>
      </c>
      <c r="BT15">
        <v>0</v>
      </c>
      <c r="BU15">
        <v>0</v>
      </c>
      <c r="CE15" t="str">
        <f>"15:37:30.733"</f>
        <v>15:37:30.733</v>
      </c>
      <c r="CF15">
        <v>733227782</v>
      </c>
      <c r="CS15">
        <v>0</v>
      </c>
      <c r="CT15">
        <v>2</v>
      </c>
      <c r="CU15">
        <v>0</v>
      </c>
      <c r="CV15">
        <v>2</v>
      </c>
      <c r="CW15">
        <v>0</v>
      </c>
      <c r="CX15">
        <v>6</v>
      </c>
      <c r="CY15">
        <v>7</v>
      </c>
      <c r="CZ15" t="s">
        <v>133</v>
      </c>
      <c r="DA15">
        <v>125</v>
      </c>
      <c r="DB15">
        <v>1</v>
      </c>
      <c r="DC15" t="s">
        <v>134</v>
      </c>
      <c r="DD15" t="s">
        <v>135</v>
      </c>
      <c r="DG15">
        <v>2441310</v>
      </c>
      <c r="DI15">
        <v>0</v>
      </c>
      <c r="DJ15">
        <v>0</v>
      </c>
      <c r="DK15">
        <v>1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</row>
    <row r="16" spans="1:124" x14ac:dyDescent="0.25">
      <c r="A16" t="str">
        <f>"04/17/2026 15:37:30.997"</f>
        <v>04/17/2026 15:37:30.997</v>
      </c>
      <c r="C16" t="str">
        <f t="shared" si="0"/>
        <v>FFDFD3C0</v>
      </c>
      <c r="D16" t="s">
        <v>136</v>
      </c>
      <c r="E16" t="str">
        <f>"0E"</f>
        <v>0E</v>
      </c>
      <c r="F16">
        <v>1014</v>
      </c>
      <c r="G16" t="s">
        <v>125</v>
      </c>
      <c r="J16" t="s">
        <v>137</v>
      </c>
      <c r="K16">
        <v>0</v>
      </c>
      <c r="L16">
        <v>3</v>
      </c>
      <c r="M16">
        <v>0</v>
      </c>
      <c r="N16">
        <v>2</v>
      </c>
      <c r="O16">
        <v>1</v>
      </c>
      <c r="P16">
        <v>0</v>
      </c>
      <c r="Q16">
        <v>0</v>
      </c>
      <c r="R16" t="s">
        <v>127</v>
      </c>
      <c r="S16" t="str">
        <f>"15:37:30.727"</f>
        <v>15:37:30.727</v>
      </c>
      <c r="T16" t="str">
        <f>"15:37:30.627"</f>
        <v>15:37:30.627</v>
      </c>
      <c r="U16" t="str">
        <f t="shared" si="2"/>
        <v>A55E09</v>
      </c>
      <c r="V16">
        <v>0</v>
      </c>
      <c r="W16">
        <v>0</v>
      </c>
      <c r="X16">
        <v>2</v>
      </c>
      <c r="Y16">
        <v>0</v>
      </c>
      <c r="AA16">
        <v>0</v>
      </c>
      <c r="AB16">
        <v>9</v>
      </c>
      <c r="AC16">
        <v>3</v>
      </c>
      <c r="AD16">
        <v>0</v>
      </c>
      <c r="AE16">
        <v>9</v>
      </c>
      <c r="AF16" t="s">
        <v>128</v>
      </c>
      <c r="AG16">
        <v>0</v>
      </c>
      <c r="AH16">
        <v>0</v>
      </c>
      <c r="AI16">
        <v>1</v>
      </c>
      <c r="AJ16">
        <v>0</v>
      </c>
      <c r="AK16" t="s">
        <v>145</v>
      </c>
      <c r="AL16">
        <v>33.663353999999998</v>
      </c>
      <c r="AM16" t="s">
        <v>130</v>
      </c>
      <c r="AN16">
        <v>-101.199381</v>
      </c>
      <c r="AO16">
        <v>100</v>
      </c>
      <c r="AP16">
        <v>3200</v>
      </c>
      <c r="AQ16" t="s">
        <v>131</v>
      </c>
      <c r="AR16">
        <v>4</v>
      </c>
      <c r="AS16">
        <v>-12</v>
      </c>
      <c r="AT16">
        <v>0</v>
      </c>
      <c r="BB16" t="str">
        <f t="shared" si="3"/>
        <v>1200</v>
      </c>
      <c r="BC16">
        <v>1</v>
      </c>
      <c r="BD16" t="str">
        <f t="shared" si="4"/>
        <v xml:space="preserve">N445JS  </v>
      </c>
      <c r="BE16">
        <v>7</v>
      </c>
      <c r="BG16">
        <v>0</v>
      </c>
      <c r="BH16">
        <v>0</v>
      </c>
      <c r="BI16">
        <v>0</v>
      </c>
      <c r="BJ16">
        <v>2950</v>
      </c>
      <c r="BK16">
        <v>-250</v>
      </c>
      <c r="BL16" t="s">
        <v>132</v>
      </c>
      <c r="BM16">
        <v>1</v>
      </c>
      <c r="BN16">
        <v>1</v>
      </c>
      <c r="BO16">
        <v>1</v>
      </c>
      <c r="BP16">
        <v>0</v>
      </c>
      <c r="BT16">
        <v>0</v>
      </c>
      <c r="BU16">
        <v>0</v>
      </c>
      <c r="CE16" t="str">
        <f>"15:37:30.733"</f>
        <v>15:37:30.733</v>
      </c>
      <c r="CF16">
        <v>733227782</v>
      </c>
      <c r="CS16">
        <v>0</v>
      </c>
      <c r="CT16">
        <v>2</v>
      </c>
      <c r="CU16">
        <v>0</v>
      </c>
      <c r="CV16">
        <v>2</v>
      </c>
      <c r="CW16">
        <v>0</v>
      </c>
      <c r="CX16">
        <v>6</v>
      </c>
      <c r="CY16">
        <v>7</v>
      </c>
      <c r="CZ16" t="s">
        <v>133</v>
      </c>
      <c r="DA16">
        <v>125</v>
      </c>
      <c r="DB16">
        <v>1</v>
      </c>
      <c r="DC16" t="s">
        <v>134</v>
      </c>
      <c r="DD16" t="s">
        <v>135</v>
      </c>
      <c r="DG16">
        <v>2441310</v>
      </c>
      <c r="DI16">
        <v>0</v>
      </c>
      <c r="DJ16">
        <v>0</v>
      </c>
      <c r="DK16">
        <v>1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</row>
    <row r="17" spans="1:123" x14ac:dyDescent="0.25">
      <c r="A17" t="str">
        <f>"04/17/2026 15:37:31.016"</f>
        <v>04/17/2026 15:37:31.016</v>
      </c>
      <c r="C17" t="str">
        <f t="shared" si="0"/>
        <v>FFDFD3C0</v>
      </c>
      <c r="D17" t="s">
        <v>139</v>
      </c>
      <c r="E17" t="str">
        <f>"28"</f>
        <v>28</v>
      </c>
      <c r="H17">
        <v>140</v>
      </c>
      <c r="I17" t="s">
        <v>140</v>
      </c>
      <c r="J17" t="s">
        <v>141</v>
      </c>
      <c r="K17">
        <v>0</v>
      </c>
      <c r="L17">
        <v>3</v>
      </c>
      <c r="M17">
        <v>0</v>
      </c>
      <c r="N17">
        <v>2</v>
      </c>
      <c r="O17">
        <v>1</v>
      </c>
      <c r="P17">
        <v>0</v>
      </c>
      <c r="Q17">
        <v>0</v>
      </c>
      <c r="R17" t="s">
        <v>127</v>
      </c>
      <c r="S17" t="str">
        <f>"15:37:30.727"</f>
        <v>15:37:30.727</v>
      </c>
      <c r="T17" t="str">
        <f>"15:37:30.627"</f>
        <v>15:37:30.627</v>
      </c>
      <c r="U17" t="str">
        <f t="shared" si="2"/>
        <v>A55E09</v>
      </c>
      <c r="V17">
        <v>0</v>
      </c>
      <c r="W17">
        <v>0</v>
      </c>
      <c r="X17">
        <v>2</v>
      </c>
      <c r="Y17">
        <v>0</v>
      </c>
      <c r="AA17">
        <v>0</v>
      </c>
      <c r="AB17">
        <v>9</v>
      </c>
      <c r="AC17">
        <v>3</v>
      </c>
      <c r="AD17">
        <v>0</v>
      </c>
      <c r="AE17">
        <v>9</v>
      </c>
      <c r="AF17" t="s">
        <v>128</v>
      </c>
      <c r="AG17">
        <v>0</v>
      </c>
      <c r="AH17">
        <v>0</v>
      </c>
      <c r="AI17">
        <v>1</v>
      </c>
      <c r="AJ17">
        <v>0</v>
      </c>
      <c r="AK17" t="s">
        <v>145</v>
      </c>
      <c r="AL17">
        <v>33.663353999999998</v>
      </c>
      <c r="AM17" t="s">
        <v>130</v>
      </c>
      <c r="AN17">
        <v>-101.199381</v>
      </c>
      <c r="AO17">
        <v>100</v>
      </c>
      <c r="AP17">
        <v>3200</v>
      </c>
      <c r="AQ17" t="s">
        <v>131</v>
      </c>
      <c r="AR17">
        <v>4</v>
      </c>
      <c r="AS17">
        <v>-12</v>
      </c>
      <c r="AT17">
        <v>0</v>
      </c>
      <c r="BB17" t="str">
        <f t="shared" si="3"/>
        <v>1200</v>
      </c>
      <c r="BC17">
        <v>1</v>
      </c>
      <c r="BD17" t="str">
        <f t="shared" si="4"/>
        <v xml:space="preserve">N445JS  </v>
      </c>
      <c r="BE17">
        <v>7</v>
      </c>
      <c r="BG17">
        <v>0</v>
      </c>
      <c r="BH17">
        <v>0</v>
      </c>
      <c r="BI17">
        <v>0</v>
      </c>
      <c r="BJ17">
        <v>2950</v>
      </c>
      <c r="BK17">
        <v>-250</v>
      </c>
      <c r="BL17" t="s">
        <v>132</v>
      </c>
      <c r="BM17">
        <v>1</v>
      </c>
      <c r="BN17">
        <v>1</v>
      </c>
      <c r="BO17">
        <v>1</v>
      </c>
      <c r="BP17">
        <v>0</v>
      </c>
      <c r="BT17">
        <v>0</v>
      </c>
      <c r="BU17">
        <v>0</v>
      </c>
      <c r="CE17" t="str">
        <f>"15:37:30.733"</f>
        <v>15:37:30.733</v>
      </c>
      <c r="CF17">
        <v>733227782</v>
      </c>
      <c r="CS17">
        <v>0</v>
      </c>
      <c r="CT17">
        <v>2</v>
      </c>
      <c r="CU17">
        <v>0</v>
      </c>
      <c r="CV17">
        <v>2</v>
      </c>
      <c r="CW17">
        <v>0</v>
      </c>
      <c r="CX17">
        <v>6</v>
      </c>
      <c r="CY17">
        <v>7</v>
      </c>
      <c r="CZ17" t="s">
        <v>133</v>
      </c>
      <c r="DA17">
        <v>125</v>
      </c>
      <c r="DB17">
        <v>1</v>
      </c>
      <c r="DC17" t="s">
        <v>134</v>
      </c>
      <c r="DD17" t="s">
        <v>135</v>
      </c>
      <c r="DG17">
        <v>2441310</v>
      </c>
      <c r="DI17">
        <v>0</v>
      </c>
      <c r="DJ17">
        <v>0</v>
      </c>
      <c r="DK17">
        <v>1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</row>
    <row r="18" spans="1:123" x14ac:dyDescent="0.25">
      <c r="A18" t="str">
        <f>"04/17/2026 15:37:32.145"</f>
        <v>04/17/2026 15:37:32.145</v>
      </c>
      <c r="C18" t="str">
        <f t="shared" si="0"/>
        <v>FFDFD3C0</v>
      </c>
      <c r="D18" t="s">
        <v>124</v>
      </c>
      <c r="E18" t="str">
        <f>"03"</f>
        <v>03</v>
      </c>
      <c r="H18">
        <v>160</v>
      </c>
      <c r="I18" t="s">
        <v>125</v>
      </c>
      <c r="J18" t="s">
        <v>126</v>
      </c>
      <c r="K18">
        <v>0</v>
      </c>
      <c r="L18">
        <v>3</v>
      </c>
      <c r="M18">
        <v>0</v>
      </c>
      <c r="N18">
        <v>2</v>
      </c>
      <c r="O18">
        <v>1</v>
      </c>
      <c r="P18">
        <v>0</v>
      </c>
      <c r="Q18">
        <v>0</v>
      </c>
      <c r="R18" t="s">
        <v>127</v>
      </c>
      <c r="S18" t="str">
        <f>"15:37:31.914"</f>
        <v>15:37:31.914</v>
      </c>
      <c r="T18" t="str">
        <f>"15:37:31.614"</f>
        <v>15:37:31.614</v>
      </c>
      <c r="U18" t="str">
        <f t="shared" si="2"/>
        <v>A55E09</v>
      </c>
      <c r="V18">
        <v>0</v>
      </c>
      <c r="W18">
        <v>0</v>
      </c>
      <c r="X18">
        <v>2</v>
      </c>
      <c r="Y18">
        <v>0</v>
      </c>
      <c r="AA18">
        <v>0</v>
      </c>
      <c r="AB18">
        <v>9</v>
      </c>
      <c r="AC18">
        <v>3</v>
      </c>
      <c r="AD18">
        <v>0</v>
      </c>
      <c r="AE18">
        <v>9</v>
      </c>
      <c r="AF18" t="s">
        <v>128</v>
      </c>
      <c r="AG18">
        <v>0</v>
      </c>
      <c r="AH18">
        <v>0</v>
      </c>
      <c r="AI18">
        <v>1</v>
      </c>
      <c r="AJ18">
        <v>0</v>
      </c>
      <c r="AK18" t="s">
        <v>146</v>
      </c>
      <c r="AL18">
        <v>33.663246999999998</v>
      </c>
      <c r="AM18" t="s">
        <v>147</v>
      </c>
      <c r="AN18">
        <v>-101.199338</v>
      </c>
      <c r="AO18">
        <v>100</v>
      </c>
      <c r="AP18">
        <v>3200</v>
      </c>
      <c r="AQ18" t="s">
        <v>131</v>
      </c>
      <c r="AR18">
        <v>5</v>
      </c>
      <c r="AS18">
        <v>-18</v>
      </c>
      <c r="AT18">
        <v>-64</v>
      </c>
      <c r="BB18" t="str">
        <f t="shared" si="3"/>
        <v>1200</v>
      </c>
      <c r="BC18">
        <v>1</v>
      </c>
      <c r="BD18" t="str">
        <f t="shared" si="4"/>
        <v xml:space="preserve">N445JS  </v>
      </c>
      <c r="BE18">
        <v>7</v>
      </c>
      <c r="BG18">
        <v>0</v>
      </c>
      <c r="BH18">
        <v>0</v>
      </c>
      <c r="BI18">
        <v>0</v>
      </c>
      <c r="BJ18">
        <v>2950</v>
      </c>
      <c r="BK18">
        <v>-250</v>
      </c>
      <c r="BL18" t="s">
        <v>132</v>
      </c>
      <c r="BM18">
        <v>1</v>
      </c>
      <c r="BN18">
        <v>1</v>
      </c>
      <c r="BO18">
        <v>1</v>
      </c>
      <c r="BP18">
        <v>0</v>
      </c>
      <c r="BT18">
        <v>0</v>
      </c>
      <c r="BU18">
        <v>0</v>
      </c>
      <c r="CE18" t="str">
        <f>"15:37:31.918"</f>
        <v>15:37:31.918</v>
      </c>
      <c r="CF18">
        <v>918111721</v>
      </c>
      <c r="CS18">
        <v>0</v>
      </c>
      <c r="CT18">
        <v>2</v>
      </c>
      <c r="CU18">
        <v>0</v>
      </c>
      <c r="CV18">
        <v>2</v>
      </c>
      <c r="CW18">
        <v>0</v>
      </c>
      <c r="CX18">
        <v>6</v>
      </c>
      <c r="CY18">
        <v>7</v>
      </c>
      <c r="CZ18" t="s">
        <v>133</v>
      </c>
      <c r="DA18">
        <v>125</v>
      </c>
      <c r="DB18">
        <v>1</v>
      </c>
      <c r="DC18" t="s">
        <v>134</v>
      </c>
      <c r="DD18" t="s">
        <v>135</v>
      </c>
      <c r="DG18">
        <v>2442554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</row>
    <row r="19" spans="1:123" x14ac:dyDescent="0.25">
      <c r="A19" t="str">
        <f>"04/17/2026 15:37:32.149"</f>
        <v>04/17/2026 15:37:32.149</v>
      </c>
      <c r="C19" t="str">
        <f t="shared" si="0"/>
        <v>FFDFD3C0</v>
      </c>
      <c r="D19" t="s">
        <v>136</v>
      </c>
      <c r="E19" t="str">
        <f>"0F"</f>
        <v>0F</v>
      </c>
      <c r="F19">
        <v>1015</v>
      </c>
      <c r="G19" t="s">
        <v>138</v>
      </c>
      <c r="J19" t="s">
        <v>137</v>
      </c>
      <c r="K19">
        <v>0</v>
      </c>
      <c r="L19">
        <v>3</v>
      </c>
      <c r="M19">
        <v>0</v>
      </c>
      <c r="N19">
        <v>2</v>
      </c>
      <c r="O19">
        <v>1</v>
      </c>
      <c r="P19">
        <v>0</v>
      </c>
      <c r="Q19">
        <v>0</v>
      </c>
      <c r="R19" t="s">
        <v>127</v>
      </c>
      <c r="S19" t="str">
        <f>"15:37:31.914"</f>
        <v>15:37:31.914</v>
      </c>
      <c r="T19" t="str">
        <f>"15:37:31.614"</f>
        <v>15:37:31.614</v>
      </c>
      <c r="U19" t="str">
        <f t="shared" si="2"/>
        <v>A55E09</v>
      </c>
      <c r="V19">
        <v>0</v>
      </c>
      <c r="W19">
        <v>0</v>
      </c>
      <c r="X19">
        <v>2</v>
      </c>
      <c r="Y19">
        <v>0</v>
      </c>
      <c r="AA19">
        <v>0</v>
      </c>
      <c r="AB19">
        <v>9</v>
      </c>
      <c r="AC19">
        <v>3</v>
      </c>
      <c r="AD19">
        <v>0</v>
      </c>
      <c r="AE19">
        <v>9</v>
      </c>
      <c r="AF19" t="s">
        <v>128</v>
      </c>
      <c r="AG19">
        <v>0</v>
      </c>
      <c r="AH19">
        <v>0</v>
      </c>
      <c r="AI19">
        <v>1</v>
      </c>
      <c r="AJ19">
        <v>0</v>
      </c>
      <c r="AK19" t="s">
        <v>146</v>
      </c>
      <c r="AL19">
        <v>33.663246999999998</v>
      </c>
      <c r="AM19" t="s">
        <v>147</v>
      </c>
      <c r="AN19">
        <v>-101.199338</v>
      </c>
      <c r="AO19">
        <v>100</v>
      </c>
      <c r="AP19">
        <v>3200</v>
      </c>
      <c r="AQ19" t="s">
        <v>131</v>
      </c>
      <c r="AR19">
        <v>5</v>
      </c>
      <c r="AS19">
        <v>-18</v>
      </c>
      <c r="AT19">
        <v>-64</v>
      </c>
      <c r="BB19" t="str">
        <f t="shared" si="3"/>
        <v>1200</v>
      </c>
      <c r="BC19">
        <v>1</v>
      </c>
      <c r="BD19" t="str">
        <f t="shared" si="4"/>
        <v xml:space="preserve">N445JS  </v>
      </c>
      <c r="BE19">
        <v>7</v>
      </c>
      <c r="BG19">
        <v>0</v>
      </c>
      <c r="BH19">
        <v>0</v>
      </c>
      <c r="BI19">
        <v>0</v>
      </c>
      <c r="BJ19">
        <v>2950</v>
      </c>
      <c r="BK19">
        <v>-250</v>
      </c>
      <c r="BL19" t="s">
        <v>132</v>
      </c>
      <c r="BM19">
        <v>1</v>
      </c>
      <c r="BN19">
        <v>1</v>
      </c>
      <c r="BO19">
        <v>1</v>
      </c>
      <c r="BP19">
        <v>0</v>
      </c>
      <c r="BT19">
        <v>0</v>
      </c>
      <c r="BU19">
        <v>0</v>
      </c>
      <c r="CE19" t="str">
        <f>"15:37:31.918"</f>
        <v>15:37:31.918</v>
      </c>
      <c r="CF19">
        <v>918111721</v>
      </c>
      <c r="CS19">
        <v>0</v>
      </c>
      <c r="CT19">
        <v>2</v>
      </c>
      <c r="CU19">
        <v>0</v>
      </c>
      <c r="CV19">
        <v>2</v>
      </c>
      <c r="CW19">
        <v>0</v>
      </c>
      <c r="CX19">
        <v>6</v>
      </c>
      <c r="CY19">
        <v>7</v>
      </c>
      <c r="CZ19" t="s">
        <v>133</v>
      </c>
      <c r="DA19">
        <v>125</v>
      </c>
      <c r="DB19">
        <v>1</v>
      </c>
      <c r="DC19" t="s">
        <v>134</v>
      </c>
      <c r="DD19" t="s">
        <v>135</v>
      </c>
      <c r="DG19">
        <v>2442554</v>
      </c>
      <c r="DI19">
        <v>0</v>
      </c>
      <c r="DJ19">
        <v>0</v>
      </c>
      <c r="DK19">
        <v>1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</row>
    <row r="20" spans="1:123" x14ac:dyDescent="0.25">
      <c r="A20" t="str">
        <f>"04/17/2026 15:37:32.149"</f>
        <v>04/17/2026 15:37:32.149</v>
      </c>
      <c r="C20" t="str">
        <f t="shared" si="0"/>
        <v>FFDFD3C0</v>
      </c>
      <c r="D20" t="s">
        <v>136</v>
      </c>
      <c r="E20" t="str">
        <f>"0E"</f>
        <v>0E</v>
      </c>
      <c r="F20">
        <v>1014</v>
      </c>
      <c r="G20" t="s">
        <v>125</v>
      </c>
      <c r="J20" t="s">
        <v>137</v>
      </c>
      <c r="K20">
        <v>0</v>
      </c>
      <c r="L20">
        <v>3</v>
      </c>
      <c r="M20">
        <v>0</v>
      </c>
      <c r="N20">
        <v>2</v>
      </c>
      <c r="O20">
        <v>1</v>
      </c>
      <c r="P20">
        <v>0</v>
      </c>
      <c r="Q20">
        <v>0</v>
      </c>
      <c r="R20" t="s">
        <v>127</v>
      </c>
      <c r="S20" t="str">
        <f>"15:37:31.914"</f>
        <v>15:37:31.914</v>
      </c>
      <c r="T20" t="str">
        <f>"15:37:31.614"</f>
        <v>15:37:31.614</v>
      </c>
      <c r="U20" t="str">
        <f t="shared" si="2"/>
        <v>A55E09</v>
      </c>
      <c r="V20">
        <v>0</v>
      </c>
      <c r="W20">
        <v>0</v>
      </c>
      <c r="X20">
        <v>2</v>
      </c>
      <c r="Y20">
        <v>0</v>
      </c>
      <c r="AA20">
        <v>0</v>
      </c>
      <c r="AB20">
        <v>9</v>
      </c>
      <c r="AC20">
        <v>3</v>
      </c>
      <c r="AD20">
        <v>0</v>
      </c>
      <c r="AE20">
        <v>9</v>
      </c>
      <c r="AF20" t="s">
        <v>128</v>
      </c>
      <c r="AG20">
        <v>0</v>
      </c>
      <c r="AH20">
        <v>0</v>
      </c>
      <c r="AI20">
        <v>1</v>
      </c>
      <c r="AJ20">
        <v>0</v>
      </c>
      <c r="AK20" t="s">
        <v>146</v>
      </c>
      <c r="AL20">
        <v>33.663246999999998</v>
      </c>
      <c r="AM20" t="s">
        <v>147</v>
      </c>
      <c r="AN20">
        <v>-101.199338</v>
      </c>
      <c r="AO20">
        <v>100</v>
      </c>
      <c r="AP20">
        <v>3200</v>
      </c>
      <c r="AQ20" t="s">
        <v>131</v>
      </c>
      <c r="AR20">
        <v>5</v>
      </c>
      <c r="AS20">
        <v>-18</v>
      </c>
      <c r="AT20">
        <v>-64</v>
      </c>
      <c r="BB20" t="str">
        <f t="shared" si="3"/>
        <v>1200</v>
      </c>
      <c r="BC20">
        <v>1</v>
      </c>
      <c r="BD20" t="str">
        <f t="shared" si="4"/>
        <v xml:space="preserve">N445JS  </v>
      </c>
      <c r="BE20">
        <v>7</v>
      </c>
      <c r="BG20">
        <v>0</v>
      </c>
      <c r="BH20">
        <v>0</v>
      </c>
      <c r="BI20">
        <v>0</v>
      </c>
      <c r="BJ20">
        <v>2950</v>
      </c>
      <c r="BK20">
        <v>-250</v>
      </c>
      <c r="BL20" t="s">
        <v>132</v>
      </c>
      <c r="BM20">
        <v>1</v>
      </c>
      <c r="BN20">
        <v>1</v>
      </c>
      <c r="BO20">
        <v>1</v>
      </c>
      <c r="BP20">
        <v>0</v>
      </c>
      <c r="BT20">
        <v>0</v>
      </c>
      <c r="BU20">
        <v>0</v>
      </c>
      <c r="CE20" t="str">
        <f>"15:37:31.918"</f>
        <v>15:37:31.918</v>
      </c>
      <c r="CF20">
        <v>918111721</v>
      </c>
      <c r="CS20">
        <v>0</v>
      </c>
      <c r="CT20">
        <v>2</v>
      </c>
      <c r="CU20">
        <v>0</v>
      </c>
      <c r="CV20">
        <v>2</v>
      </c>
      <c r="CW20">
        <v>0</v>
      </c>
      <c r="CX20">
        <v>6</v>
      </c>
      <c r="CY20">
        <v>7</v>
      </c>
      <c r="CZ20" t="s">
        <v>133</v>
      </c>
      <c r="DA20">
        <v>125</v>
      </c>
      <c r="DB20">
        <v>1</v>
      </c>
      <c r="DC20" t="s">
        <v>134</v>
      </c>
      <c r="DD20" t="s">
        <v>135</v>
      </c>
      <c r="DG20">
        <v>2442554</v>
      </c>
      <c r="DI20">
        <v>0</v>
      </c>
      <c r="DJ20">
        <v>0</v>
      </c>
      <c r="DK20">
        <v>1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</row>
    <row r="21" spans="1:123" x14ac:dyDescent="0.25">
      <c r="A21" t="str">
        <f>"04/17/2026 15:37:32.168"</f>
        <v>04/17/2026 15:37:32.168</v>
      </c>
      <c r="C21" t="str">
        <f t="shared" si="0"/>
        <v>FFDFD3C0</v>
      </c>
      <c r="D21" t="s">
        <v>139</v>
      </c>
      <c r="E21" t="str">
        <f>"28"</f>
        <v>28</v>
      </c>
      <c r="H21">
        <v>140</v>
      </c>
      <c r="I21" t="s">
        <v>140</v>
      </c>
      <c r="J21" t="s">
        <v>141</v>
      </c>
      <c r="K21">
        <v>0</v>
      </c>
      <c r="L21">
        <v>3</v>
      </c>
      <c r="M21">
        <v>0</v>
      </c>
      <c r="N21">
        <v>2</v>
      </c>
      <c r="O21">
        <v>1</v>
      </c>
      <c r="P21">
        <v>0</v>
      </c>
      <c r="Q21">
        <v>0</v>
      </c>
      <c r="R21" t="s">
        <v>127</v>
      </c>
      <c r="S21" t="str">
        <f>"15:37:31.914"</f>
        <v>15:37:31.914</v>
      </c>
      <c r="T21" t="str">
        <f>"15:37:31.614"</f>
        <v>15:37:31.614</v>
      </c>
      <c r="U21" t="str">
        <f t="shared" si="2"/>
        <v>A55E09</v>
      </c>
      <c r="V21">
        <v>0</v>
      </c>
      <c r="W21">
        <v>0</v>
      </c>
      <c r="X21">
        <v>2</v>
      </c>
      <c r="Y21">
        <v>0</v>
      </c>
      <c r="AA21">
        <v>0</v>
      </c>
      <c r="AB21">
        <v>9</v>
      </c>
      <c r="AC21">
        <v>3</v>
      </c>
      <c r="AD21">
        <v>0</v>
      </c>
      <c r="AE21">
        <v>9</v>
      </c>
      <c r="AF21" t="s">
        <v>128</v>
      </c>
      <c r="AG21">
        <v>0</v>
      </c>
      <c r="AH21">
        <v>0</v>
      </c>
      <c r="AI21">
        <v>1</v>
      </c>
      <c r="AJ21">
        <v>0</v>
      </c>
      <c r="AK21" t="s">
        <v>146</v>
      </c>
      <c r="AL21">
        <v>33.663246999999998</v>
      </c>
      <c r="AM21" t="s">
        <v>147</v>
      </c>
      <c r="AN21">
        <v>-101.199338</v>
      </c>
      <c r="AO21">
        <v>100</v>
      </c>
      <c r="AP21">
        <v>3200</v>
      </c>
      <c r="AQ21" t="s">
        <v>131</v>
      </c>
      <c r="AR21">
        <v>5</v>
      </c>
      <c r="AS21">
        <v>-18</v>
      </c>
      <c r="AT21">
        <v>-64</v>
      </c>
      <c r="BB21" t="str">
        <f t="shared" si="3"/>
        <v>1200</v>
      </c>
      <c r="BC21">
        <v>1</v>
      </c>
      <c r="BD21" t="str">
        <f t="shared" si="4"/>
        <v xml:space="preserve">N445JS  </v>
      </c>
      <c r="BE21">
        <v>7</v>
      </c>
      <c r="BG21">
        <v>0</v>
      </c>
      <c r="BH21">
        <v>0</v>
      </c>
      <c r="BI21">
        <v>0</v>
      </c>
      <c r="BJ21">
        <v>2950</v>
      </c>
      <c r="BK21">
        <v>-250</v>
      </c>
      <c r="BL21" t="s">
        <v>132</v>
      </c>
      <c r="BM21">
        <v>1</v>
      </c>
      <c r="BN21">
        <v>1</v>
      </c>
      <c r="BO21">
        <v>1</v>
      </c>
      <c r="BP21">
        <v>0</v>
      </c>
      <c r="BT21">
        <v>0</v>
      </c>
      <c r="BU21">
        <v>0</v>
      </c>
      <c r="CE21" t="str">
        <f>"15:37:31.918"</f>
        <v>15:37:31.918</v>
      </c>
      <c r="CF21">
        <v>918111721</v>
      </c>
      <c r="CS21">
        <v>0</v>
      </c>
      <c r="CT21">
        <v>2</v>
      </c>
      <c r="CU21">
        <v>0</v>
      </c>
      <c r="CV21">
        <v>2</v>
      </c>
      <c r="CW21">
        <v>0</v>
      </c>
      <c r="CX21">
        <v>6</v>
      </c>
      <c r="CY21">
        <v>7</v>
      </c>
      <c r="CZ21" t="s">
        <v>133</v>
      </c>
      <c r="DA21">
        <v>125</v>
      </c>
      <c r="DB21">
        <v>1</v>
      </c>
      <c r="DC21" t="s">
        <v>134</v>
      </c>
      <c r="DD21" t="s">
        <v>135</v>
      </c>
      <c r="DG21">
        <v>2442554</v>
      </c>
      <c r="DI21">
        <v>0</v>
      </c>
      <c r="DJ21">
        <v>0</v>
      </c>
      <c r="DK21">
        <v>1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</row>
    <row r="22" spans="1:123" x14ac:dyDescent="0.25">
      <c r="A22" t="str">
        <f>"04/17/2026 15:37:33.146"</f>
        <v>04/17/2026 15:37:33.146</v>
      </c>
      <c r="C22" t="str">
        <f t="shared" si="0"/>
        <v>FFDFD3C0</v>
      </c>
      <c r="D22" t="s">
        <v>124</v>
      </c>
      <c r="E22" t="str">
        <f>"03"</f>
        <v>03</v>
      </c>
      <c r="H22">
        <v>160</v>
      </c>
      <c r="I22" t="s">
        <v>125</v>
      </c>
      <c r="J22" t="s">
        <v>126</v>
      </c>
      <c r="K22">
        <v>0</v>
      </c>
      <c r="L22">
        <v>3</v>
      </c>
      <c r="M22">
        <v>0</v>
      </c>
      <c r="N22">
        <v>2</v>
      </c>
      <c r="O22">
        <v>1</v>
      </c>
      <c r="P22">
        <v>0</v>
      </c>
      <c r="Q22">
        <v>0</v>
      </c>
      <c r="R22" t="s">
        <v>127</v>
      </c>
      <c r="S22" t="str">
        <f>"15:37:32.891"</f>
        <v>15:37:32.891</v>
      </c>
      <c r="T22" t="str">
        <f>"15:37:32.591"</f>
        <v>15:37:32.591</v>
      </c>
      <c r="U22" t="str">
        <f t="shared" si="2"/>
        <v>A55E09</v>
      </c>
      <c r="V22">
        <v>0</v>
      </c>
      <c r="W22">
        <v>0</v>
      </c>
      <c r="X22">
        <v>2</v>
      </c>
      <c r="Y22">
        <v>0</v>
      </c>
      <c r="AA22">
        <v>0</v>
      </c>
      <c r="AB22">
        <v>9</v>
      </c>
      <c r="AC22">
        <v>3</v>
      </c>
      <c r="AD22">
        <v>0</v>
      </c>
      <c r="AE22">
        <v>9</v>
      </c>
      <c r="AF22" t="s">
        <v>128</v>
      </c>
      <c r="AG22">
        <v>0</v>
      </c>
      <c r="AH22">
        <v>0</v>
      </c>
      <c r="AI22">
        <v>1</v>
      </c>
      <c r="AJ22">
        <v>0</v>
      </c>
      <c r="AK22" t="s">
        <v>148</v>
      </c>
      <c r="AL22">
        <v>33.663181999999999</v>
      </c>
      <c r="AM22" t="s">
        <v>149</v>
      </c>
      <c r="AN22">
        <v>-101.199296</v>
      </c>
      <c r="AO22">
        <v>100</v>
      </c>
      <c r="AP22">
        <v>3200</v>
      </c>
      <c r="AQ22" t="s">
        <v>131</v>
      </c>
      <c r="AR22">
        <v>7</v>
      </c>
      <c r="AS22">
        <v>-24</v>
      </c>
      <c r="AT22">
        <v>-128</v>
      </c>
      <c r="BB22" t="str">
        <f t="shared" si="3"/>
        <v>1200</v>
      </c>
      <c r="BC22">
        <v>1</v>
      </c>
      <c r="BD22" t="str">
        <f t="shared" si="4"/>
        <v xml:space="preserve">N445JS  </v>
      </c>
      <c r="BE22">
        <v>7</v>
      </c>
      <c r="BG22">
        <v>0</v>
      </c>
      <c r="BH22">
        <v>0</v>
      </c>
      <c r="BI22">
        <v>0</v>
      </c>
      <c r="BJ22">
        <v>2925</v>
      </c>
      <c r="BK22">
        <v>-275</v>
      </c>
      <c r="BL22" t="s">
        <v>132</v>
      </c>
      <c r="BM22">
        <v>1</v>
      </c>
      <c r="BN22">
        <v>1</v>
      </c>
      <c r="BO22">
        <v>1</v>
      </c>
      <c r="BP22">
        <v>0</v>
      </c>
      <c r="BT22">
        <v>0</v>
      </c>
      <c r="BU22">
        <v>0</v>
      </c>
      <c r="CE22" t="str">
        <f>"15:37:32.893"</f>
        <v>15:37:32.893</v>
      </c>
      <c r="CF22">
        <v>893016235</v>
      </c>
      <c r="CS22">
        <v>0</v>
      </c>
      <c r="CT22">
        <v>2</v>
      </c>
      <c r="CU22">
        <v>0</v>
      </c>
      <c r="CV22">
        <v>2</v>
      </c>
      <c r="CW22">
        <v>0</v>
      </c>
      <c r="CX22">
        <v>6</v>
      </c>
      <c r="CY22">
        <v>7</v>
      </c>
      <c r="CZ22" t="s">
        <v>133</v>
      </c>
      <c r="DA22">
        <v>125</v>
      </c>
      <c r="DB22">
        <v>1</v>
      </c>
      <c r="DC22" t="s">
        <v>134</v>
      </c>
      <c r="DD22" t="s">
        <v>135</v>
      </c>
      <c r="DG22">
        <v>2443539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</row>
    <row r="23" spans="1:123" x14ac:dyDescent="0.25">
      <c r="A23" t="str">
        <f>"04/17/2026 15:37:33.150"</f>
        <v>04/17/2026 15:37:33.150</v>
      </c>
      <c r="C23" t="str">
        <f t="shared" si="0"/>
        <v>FFDFD3C0</v>
      </c>
      <c r="D23" t="s">
        <v>136</v>
      </c>
      <c r="E23" t="str">
        <f>"0E"</f>
        <v>0E</v>
      </c>
      <c r="F23">
        <v>1014</v>
      </c>
      <c r="G23" t="s">
        <v>125</v>
      </c>
      <c r="J23" t="s">
        <v>137</v>
      </c>
      <c r="K23">
        <v>0</v>
      </c>
      <c r="L23">
        <v>3</v>
      </c>
      <c r="M23">
        <v>0</v>
      </c>
      <c r="N23">
        <v>2</v>
      </c>
      <c r="O23">
        <v>1</v>
      </c>
      <c r="P23">
        <v>0</v>
      </c>
      <c r="Q23">
        <v>0</v>
      </c>
      <c r="R23" t="s">
        <v>127</v>
      </c>
      <c r="S23" t="str">
        <f>"15:37:32.891"</f>
        <v>15:37:32.891</v>
      </c>
      <c r="T23" t="str">
        <f>"15:37:32.591"</f>
        <v>15:37:32.591</v>
      </c>
      <c r="U23" t="str">
        <f t="shared" si="2"/>
        <v>A55E09</v>
      </c>
      <c r="V23">
        <v>0</v>
      </c>
      <c r="W23">
        <v>0</v>
      </c>
      <c r="X23">
        <v>2</v>
      </c>
      <c r="Y23">
        <v>0</v>
      </c>
      <c r="AA23">
        <v>0</v>
      </c>
      <c r="AB23">
        <v>9</v>
      </c>
      <c r="AC23">
        <v>3</v>
      </c>
      <c r="AD23">
        <v>0</v>
      </c>
      <c r="AE23">
        <v>9</v>
      </c>
      <c r="AF23" t="s">
        <v>128</v>
      </c>
      <c r="AG23">
        <v>0</v>
      </c>
      <c r="AH23">
        <v>0</v>
      </c>
      <c r="AI23">
        <v>1</v>
      </c>
      <c r="AJ23">
        <v>0</v>
      </c>
      <c r="AK23" t="s">
        <v>148</v>
      </c>
      <c r="AL23">
        <v>33.663181999999999</v>
      </c>
      <c r="AM23" t="s">
        <v>149</v>
      </c>
      <c r="AN23">
        <v>-101.199296</v>
      </c>
      <c r="AO23">
        <v>100</v>
      </c>
      <c r="AP23">
        <v>3200</v>
      </c>
      <c r="AQ23" t="s">
        <v>131</v>
      </c>
      <c r="AR23">
        <v>7</v>
      </c>
      <c r="AS23">
        <v>-24</v>
      </c>
      <c r="AT23">
        <v>-128</v>
      </c>
      <c r="BB23" t="str">
        <f t="shared" si="3"/>
        <v>1200</v>
      </c>
      <c r="BC23">
        <v>1</v>
      </c>
      <c r="BD23" t="str">
        <f t="shared" si="4"/>
        <v xml:space="preserve">N445JS  </v>
      </c>
      <c r="BE23">
        <v>7</v>
      </c>
      <c r="BG23">
        <v>0</v>
      </c>
      <c r="BH23">
        <v>0</v>
      </c>
      <c r="BI23">
        <v>0</v>
      </c>
      <c r="BJ23">
        <v>2925</v>
      </c>
      <c r="BK23">
        <v>-275</v>
      </c>
      <c r="BL23" t="s">
        <v>132</v>
      </c>
      <c r="BM23">
        <v>1</v>
      </c>
      <c r="BN23">
        <v>1</v>
      </c>
      <c r="BO23">
        <v>1</v>
      </c>
      <c r="BP23">
        <v>0</v>
      </c>
      <c r="BT23">
        <v>0</v>
      </c>
      <c r="BU23">
        <v>0</v>
      </c>
      <c r="CE23" t="str">
        <f>"15:37:32.893"</f>
        <v>15:37:32.893</v>
      </c>
      <c r="CF23">
        <v>893016235</v>
      </c>
      <c r="CS23">
        <v>0</v>
      </c>
      <c r="CT23">
        <v>2</v>
      </c>
      <c r="CU23">
        <v>0</v>
      </c>
      <c r="CV23">
        <v>2</v>
      </c>
      <c r="CW23">
        <v>0</v>
      </c>
      <c r="CX23">
        <v>6</v>
      </c>
      <c r="CY23">
        <v>7</v>
      </c>
      <c r="CZ23" t="s">
        <v>133</v>
      </c>
      <c r="DA23">
        <v>125</v>
      </c>
      <c r="DB23">
        <v>1</v>
      </c>
      <c r="DC23" t="s">
        <v>134</v>
      </c>
      <c r="DD23" t="s">
        <v>135</v>
      </c>
      <c r="DG23">
        <v>2443539</v>
      </c>
      <c r="DI23">
        <v>0</v>
      </c>
      <c r="DJ23">
        <v>0</v>
      </c>
      <c r="DK23">
        <v>1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</row>
    <row r="24" spans="1:123" x14ac:dyDescent="0.25">
      <c r="A24" t="str">
        <f>"04/17/2026 15:37:33.151"</f>
        <v>04/17/2026 15:37:33.151</v>
      </c>
      <c r="C24" t="str">
        <f t="shared" si="0"/>
        <v>FFDFD3C0</v>
      </c>
      <c r="D24" t="s">
        <v>136</v>
      </c>
      <c r="E24" t="str">
        <f>"0F"</f>
        <v>0F</v>
      </c>
      <c r="F24">
        <v>1015</v>
      </c>
      <c r="G24" t="s">
        <v>138</v>
      </c>
      <c r="J24" t="s">
        <v>137</v>
      </c>
      <c r="K24">
        <v>0</v>
      </c>
      <c r="L24">
        <v>3</v>
      </c>
      <c r="M24">
        <v>0</v>
      </c>
      <c r="N24">
        <v>2</v>
      </c>
      <c r="O24">
        <v>1</v>
      </c>
      <c r="P24">
        <v>0</v>
      </c>
      <c r="Q24">
        <v>0</v>
      </c>
      <c r="R24" t="s">
        <v>127</v>
      </c>
      <c r="S24" t="str">
        <f>"15:37:32.891"</f>
        <v>15:37:32.891</v>
      </c>
      <c r="T24" t="str">
        <f>"15:37:32.591"</f>
        <v>15:37:32.591</v>
      </c>
      <c r="U24" t="str">
        <f t="shared" si="2"/>
        <v>A55E09</v>
      </c>
      <c r="V24">
        <v>0</v>
      </c>
      <c r="W24">
        <v>0</v>
      </c>
      <c r="X24">
        <v>2</v>
      </c>
      <c r="Y24">
        <v>0</v>
      </c>
      <c r="AA24">
        <v>0</v>
      </c>
      <c r="AB24">
        <v>9</v>
      </c>
      <c r="AC24">
        <v>3</v>
      </c>
      <c r="AD24">
        <v>0</v>
      </c>
      <c r="AE24">
        <v>9</v>
      </c>
      <c r="AF24" t="s">
        <v>128</v>
      </c>
      <c r="AG24">
        <v>0</v>
      </c>
      <c r="AH24">
        <v>0</v>
      </c>
      <c r="AI24">
        <v>1</v>
      </c>
      <c r="AJ24">
        <v>0</v>
      </c>
      <c r="AK24" t="s">
        <v>148</v>
      </c>
      <c r="AL24">
        <v>33.663181999999999</v>
      </c>
      <c r="AM24" t="s">
        <v>149</v>
      </c>
      <c r="AN24">
        <v>-101.199296</v>
      </c>
      <c r="AO24">
        <v>100</v>
      </c>
      <c r="AP24">
        <v>3200</v>
      </c>
      <c r="AQ24" t="s">
        <v>131</v>
      </c>
      <c r="AR24">
        <v>7</v>
      </c>
      <c r="AS24">
        <v>-24</v>
      </c>
      <c r="AT24">
        <v>-128</v>
      </c>
      <c r="BB24" t="str">
        <f t="shared" si="3"/>
        <v>1200</v>
      </c>
      <c r="BC24">
        <v>1</v>
      </c>
      <c r="BD24" t="str">
        <f t="shared" si="4"/>
        <v xml:space="preserve">N445JS  </v>
      </c>
      <c r="BE24">
        <v>7</v>
      </c>
      <c r="BG24">
        <v>0</v>
      </c>
      <c r="BH24">
        <v>0</v>
      </c>
      <c r="BI24">
        <v>0</v>
      </c>
      <c r="BJ24">
        <v>2925</v>
      </c>
      <c r="BK24">
        <v>-275</v>
      </c>
      <c r="BL24" t="s">
        <v>132</v>
      </c>
      <c r="BM24">
        <v>1</v>
      </c>
      <c r="BN24">
        <v>1</v>
      </c>
      <c r="BO24">
        <v>1</v>
      </c>
      <c r="BP24">
        <v>0</v>
      </c>
      <c r="BT24">
        <v>0</v>
      </c>
      <c r="BU24">
        <v>0</v>
      </c>
      <c r="CE24" t="str">
        <f>"15:37:32.893"</f>
        <v>15:37:32.893</v>
      </c>
      <c r="CF24">
        <v>893016235</v>
      </c>
      <c r="CS24">
        <v>0</v>
      </c>
      <c r="CT24">
        <v>2</v>
      </c>
      <c r="CU24">
        <v>0</v>
      </c>
      <c r="CV24">
        <v>2</v>
      </c>
      <c r="CW24">
        <v>0</v>
      </c>
      <c r="CX24">
        <v>6</v>
      </c>
      <c r="CY24">
        <v>7</v>
      </c>
      <c r="CZ24" t="s">
        <v>133</v>
      </c>
      <c r="DA24">
        <v>125</v>
      </c>
      <c r="DB24">
        <v>1</v>
      </c>
      <c r="DC24" t="s">
        <v>134</v>
      </c>
      <c r="DD24" t="s">
        <v>135</v>
      </c>
      <c r="DG24">
        <v>2443539</v>
      </c>
      <c r="DI24">
        <v>0</v>
      </c>
      <c r="DJ24">
        <v>0</v>
      </c>
      <c r="DK24">
        <v>1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</row>
    <row r="25" spans="1:123" x14ac:dyDescent="0.25">
      <c r="A25" t="str">
        <f>"04/17/2026 15:37:33.170"</f>
        <v>04/17/2026 15:37:33.170</v>
      </c>
      <c r="C25" t="str">
        <f t="shared" si="0"/>
        <v>FFDFD3C0</v>
      </c>
      <c r="D25" t="s">
        <v>139</v>
      </c>
      <c r="E25" t="str">
        <f>"28"</f>
        <v>28</v>
      </c>
      <c r="H25">
        <v>140</v>
      </c>
      <c r="I25" t="s">
        <v>140</v>
      </c>
      <c r="J25" t="s">
        <v>141</v>
      </c>
      <c r="K25">
        <v>0</v>
      </c>
      <c r="L25">
        <v>3</v>
      </c>
      <c r="M25">
        <v>0</v>
      </c>
      <c r="N25">
        <v>2</v>
      </c>
      <c r="O25">
        <v>1</v>
      </c>
      <c r="P25">
        <v>0</v>
      </c>
      <c r="Q25">
        <v>0</v>
      </c>
      <c r="R25" t="s">
        <v>127</v>
      </c>
      <c r="S25" t="str">
        <f>"15:37:32.891"</f>
        <v>15:37:32.891</v>
      </c>
      <c r="T25" t="str">
        <f>"15:37:32.591"</f>
        <v>15:37:32.591</v>
      </c>
      <c r="U25" t="str">
        <f t="shared" si="2"/>
        <v>A55E09</v>
      </c>
      <c r="V25">
        <v>0</v>
      </c>
      <c r="W25">
        <v>0</v>
      </c>
      <c r="X25">
        <v>2</v>
      </c>
      <c r="Y25">
        <v>0</v>
      </c>
      <c r="AA25">
        <v>0</v>
      </c>
      <c r="AB25">
        <v>9</v>
      </c>
      <c r="AC25">
        <v>3</v>
      </c>
      <c r="AD25">
        <v>0</v>
      </c>
      <c r="AE25">
        <v>9</v>
      </c>
      <c r="AF25" t="s">
        <v>128</v>
      </c>
      <c r="AG25">
        <v>0</v>
      </c>
      <c r="AH25">
        <v>0</v>
      </c>
      <c r="AI25">
        <v>1</v>
      </c>
      <c r="AJ25">
        <v>0</v>
      </c>
      <c r="AK25" t="s">
        <v>148</v>
      </c>
      <c r="AL25">
        <v>33.663181999999999</v>
      </c>
      <c r="AM25" t="s">
        <v>149</v>
      </c>
      <c r="AN25">
        <v>-101.199296</v>
      </c>
      <c r="AO25">
        <v>100</v>
      </c>
      <c r="AP25">
        <v>3200</v>
      </c>
      <c r="AQ25" t="s">
        <v>131</v>
      </c>
      <c r="AR25">
        <v>7</v>
      </c>
      <c r="AS25">
        <v>-24</v>
      </c>
      <c r="AT25">
        <v>-128</v>
      </c>
      <c r="BB25" t="str">
        <f t="shared" si="3"/>
        <v>1200</v>
      </c>
      <c r="BC25">
        <v>1</v>
      </c>
      <c r="BD25" t="str">
        <f t="shared" si="4"/>
        <v xml:space="preserve">N445JS  </v>
      </c>
      <c r="BE25">
        <v>7</v>
      </c>
      <c r="BG25">
        <v>0</v>
      </c>
      <c r="BH25">
        <v>0</v>
      </c>
      <c r="BI25">
        <v>0</v>
      </c>
      <c r="BJ25">
        <v>2925</v>
      </c>
      <c r="BK25">
        <v>-275</v>
      </c>
      <c r="BL25" t="s">
        <v>132</v>
      </c>
      <c r="BM25">
        <v>1</v>
      </c>
      <c r="BN25">
        <v>1</v>
      </c>
      <c r="BO25">
        <v>1</v>
      </c>
      <c r="BP25">
        <v>0</v>
      </c>
      <c r="BT25">
        <v>0</v>
      </c>
      <c r="BU25">
        <v>0</v>
      </c>
      <c r="CE25" t="str">
        <f>"15:37:32.893"</f>
        <v>15:37:32.893</v>
      </c>
      <c r="CF25">
        <v>893016235</v>
      </c>
      <c r="CS25">
        <v>0</v>
      </c>
      <c r="CT25">
        <v>2</v>
      </c>
      <c r="CU25">
        <v>0</v>
      </c>
      <c r="CV25">
        <v>2</v>
      </c>
      <c r="CW25">
        <v>0</v>
      </c>
      <c r="CX25">
        <v>6</v>
      </c>
      <c r="CY25">
        <v>7</v>
      </c>
      <c r="CZ25" t="s">
        <v>133</v>
      </c>
      <c r="DA25">
        <v>125</v>
      </c>
      <c r="DB25">
        <v>1</v>
      </c>
      <c r="DC25" t="s">
        <v>134</v>
      </c>
      <c r="DD25" t="s">
        <v>135</v>
      </c>
      <c r="DG25">
        <v>2443539</v>
      </c>
      <c r="DI25">
        <v>0</v>
      </c>
      <c r="DJ25">
        <v>0</v>
      </c>
      <c r="DK25">
        <v>1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</row>
    <row r="26" spans="1:123" x14ac:dyDescent="0.25">
      <c r="A26" t="str">
        <f>"04/17/2026 15:37:34.152"</f>
        <v>04/17/2026 15:37:34.152</v>
      </c>
      <c r="C26" t="str">
        <f t="shared" si="0"/>
        <v>FFDFD3C0</v>
      </c>
      <c r="D26" t="s">
        <v>136</v>
      </c>
      <c r="E26" t="str">
        <f>"0E"</f>
        <v>0E</v>
      </c>
      <c r="F26">
        <v>1014</v>
      </c>
      <c r="G26" t="s">
        <v>125</v>
      </c>
      <c r="J26" t="s">
        <v>137</v>
      </c>
      <c r="K26">
        <v>0</v>
      </c>
      <c r="L26">
        <v>3</v>
      </c>
      <c r="M26">
        <v>0</v>
      </c>
      <c r="N26">
        <v>2</v>
      </c>
      <c r="O26">
        <v>1</v>
      </c>
      <c r="P26">
        <v>0</v>
      </c>
      <c r="Q26">
        <v>0</v>
      </c>
      <c r="R26" t="s">
        <v>127</v>
      </c>
      <c r="S26" t="str">
        <f>"15:37:33.906"</f>
        <v>15:37:33.906</v>
      </c>
      <c r="T26" t="str">
        <f>"15:37:33.506"</f>
        <v>15:37:33.506</v>
      </c>
      <c r="U26" t="str">
        <f t="shared" si="2"/>
        <v>A55E09</v>
      </c>
      <c r="V26">
        <v>0</v>
      </c>
      <c r="W26">
        <v>0</v>
      </c>
      <c r="X26">
        <v>2</v>
      </c>
      <c r="Y26">
        <v>0</v>
      </c>
      <c r="AA26">
        <v>0</v>
      </c>
      <c r="AB26">
        <v>9</v>
      </c>
      <c r="AC26">
        <v>3</v>
      </c>
      <c r="AD26">
        <v>0</v>
      </c>
      <c r="AE26">
        <v>9</v>
      </c>
      <c r="AF26" t="s">
        <v>128</v>
      </c>
      <c r="AG26">
        <v>0</v>
      </c>
      <c r="AH26">
        <v>0</v>
      </c>
      <c r="AI26">
        <v>1</v>
      </c>
      <c r="AJ26">
        <v>0</v>
      </c>
      <c r="AK26" t="s">
        <v>150</v>
      </c>
      <c r="AL26">
        <v>33.663032000000001</v>
      </c>
      <c r="AM26" t="s">
        <v>151</v>
      </c>
      <c r="AN26">
        <v>-101.19920999999999</v>
      </c>
      <c r="AO26">
        <v>100</v>
      </c>
      <c r="AP26">
        <v>3200</v>
      </c>
      <c r="AQ26" t="s">
        <v>131</v>
      </c>
      <c r="AR26">
        <v>9</v>
      </c>
      <c r="AS26">
        <v>-29</v>
      </c>
      <c r="AT26">
        <v>-192</v>
      </c>
      <c r="BB26" t="str">
        <f t="shared" si="3"/>
        <v>1200</v>
      </c>
      <c r="BC26">
        <v>1</v>
      </c>
      <c r="BD26" t="str">
        <f t="shared" si="4"/>
        <v xml:space="preserve">N445JS  </v>
      </c>
      <c r="BE26">
        <v>7</v>
      </c>
      <c r="BG26">
        <v>0</v>
      </c>
      <c r="BH26">
        <v>0</v>
      </c>
      <c r="BI26">
        <v>0</v>
      </c>
      <c r="BJ26">
        <v>2925</v>
      </c>
      <c r="BK26">
        <v>-275</v>
      </c>
      <c r="BL26" t="s">
        <v>132</v>
      </c>
      <c r="BM26">
        <v>1</v>
      </c>
      <c r="BN26">
        <v>1</v>
      </c>
      <c r="BO26">
        <v>1</v>
      </c>
      <c r="BP26">
        <v>0</v>
      </c>
      <c r="BT26">
        <v>0</v>
      </c>
      <c r="BU26">
        <v>0</v>
      </c>
      <c r="CE26" t="str">
        <f>"15:37:33.913"</f>
        <v>15:37:33.913</v>
      </c>
      <c r="CF26">
        <v>912916309</v>
      </c>
      <c r="CS26">
        <v>0</v>
      </c>
      <c r="CT26">
        <v>2</v>
      </c>
      <c r="CU26">
        <v>0</v>
      </c>
      <c r="CV26">
        <v>2</v>
      </c>
      <c r="CW26">
        <v>0</v>
      </c>
      <c r="CX26">
        <v>6</v>
      </c>
      <c r="CY26">
        <v>7</v>
      </c>
      <c r="CZ26" t="s">
        <v>133</v>
      </c>
      <c r="DA26">
        <v>125</v>
      </c>
      <c r="DB26">
        <v>1</v>
      </c>
      <c r="DC26" t="s">
        <v>134</v>
      </c>
      <c r="DD26" t="s">
        <v>135</v>
      </c>
      <c r="DG26">
        <v>2444572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</row>
    <row r="27" spans="1:123" x14ac:dyDescent="0.25">
      <c r="A27" t="str">
        <f>"04/17/2026 15:37:34.153"</f>
        <v>04/17/2026 15:37:34.153</v>
      </c>
      <c r="C27" t="str">
        <f t="shared" si="0"/>
        <v>FFDFD3C0</v>
      </c>
      <c r="D27" t="s">
        <v>136</v>
      </c>
      <c r="E27" t="str">
        <f>"0F"</f>
        <v>0F</v>
      </c>
      <c r="F27">
        <v>1015</v>
      </c>
      <c r="G27" t="s">
        <v>138</v>
      </c>
      <c r="J27" t="s">
        <v>137</v>
      </c>
      <c r="K27">
        <v>0</v>
      </c>
      <c r="L27">
        <v>3</v>
      </c>
      <c r="M27">
        <v>0</v>
      </c>
      <c r="N27">
        <v>2</v>
      </c>
      <c r="O27">
        <v>1</v>
      </c>
      <c r="P27">
        <v>0</v>
      </c>
      <c r="Q27">
        <v>0</v>
      </c>
      <c r="R27" t="s">
        <v>127</v>
      </c>
      <c r="S27" t="str">
        <f>"15:37:33.906"</f>
        <v>15:37:33.906</v>
      </c>
      <c r="T27" t="str">
        <f>"15:37:33.506"</f>
        <v>15:37:33.506</v>
      </c>
      <c r="U27" t="str">
        <f t="shared" si="2"/>
        <v>A55E09</v>
      </c>
      <c r="V27">
        <v>0</v>
      </c>
      <c r="W27">
        <v>0</v>
      </c>
      <c r="X27">
        <v>2</v>
      </c>
      <c r="Y27">
        <v>0</v>
      </c>
      <c r="AA27">
        <v>0</v>
      </c>
      <c r="AB27">
        <v>9</v>
      </c>
      <c r="AC27">
        <v>3</v>
      </c>
      <c r="AD27">
        <v>0</v>
      </c>
      <c r="AE27">
        <v>9</v>
      </c>
      <c r="AF27" t="s">
        <v>128</v>
      </c>
      <c r="AG27">
        <v>0</v>
      </c>
      <c r="AH27">
        <v>0</v>
      </c>
      <c r="AI27">
        <v>1</v>
      </c>
      <c r="AJ27">
        <v>0</v>
      </c>
      <c r="AK27" t="s">
        <v>150</v>
      </c>
      <c r="AL27">
        <v>33.663032000000001</v>
      </c>
      <c r="AM27" t="s">
        <v>151</v>
      </c>
      <c r="AN27">
        <v>-101.19920999999999</v>
      </c>
      <c r="AO27">
        <v>100</v>
      </c>
      <c r="AP27">
        <v>3200</v>
      </c>
      <c r="AQ27" t="s">
        <v>131</v>
      </c>
      <c r="AR27">
        <v>9</v>
      </c>
      <c r="AS27">
        <v>-29</v>
      </c>
      <c r="AT27">
        <v>-192</v>
      </c>
      <c r="BB27" t="str">
        <f t="shared" si="3"/>
        <v>1200</v>
      </c>
      <c r="BC27">
        <v>1</v>
      </c>
      <c r="BD27" t="str">
        <f t="shared" si="4"/>
        <v xml:space="preserve">N445JS  </v>
      </c>
      <c r="BE27">
        <v>7</v>
      </c>
      <c r="BG27">
        <v>0</v>
      </c>
      <c r="BH27">
        <v>0</v>
      </c>
      <c r="BI27">
        <v>0</v>
      </c>
      <c r="BJ27">
        <v>2925</v>
      </c>
      <c r="BK27">
        <v>-275</v>
      </c>
      <c r="BL27" t="s">
        <v>132</v>
      </c>
      <c r="BM27">
        <v>1</v>
      </c>
      <c r="BN27">
        <v>1</v>
      </c>
      <c r="BO27">
        <v>1</v>
      </c>
      <c r="BP27">
        <v>0</v>
      </c>
      <c r="BT27">
        <v>0</v>
      </c>
      <c r="BU27">
        <v>0</v>
      </c>
      <c r="CE27" t="str">
        <f>"15:37:33.913"</f>
        <v>15:37:33.913</v>
      </c>
      <c r="CF27">
        <v>912916309</v>
      </c>
      <c r="CS27">
        <v>0</v>
      </c>
      <c r="CT27">
        <v>2</v>
      </c>
      <c r="CU27">
        <v>0</v>
      </c>
      <c r="CV27">
        <v>2</v>
      </c>
      <c r="CW27">
        <v>0</v>
      </c>
      <c r="CX27">
        <v>6</v>
      </c>
      <c r="CY27">
        <v>7</v>
      </c>
      <c r="CZ27" t="s">
        <v>133</v>
      </c>
      <c r="DA27">
        <v>125</v>
      </c>
      <c r="DB27">
        <v>1</v>
      </c>
      <c r="DC27" t="s">
        <v>134</v>
      </c>
      <c r="DD27" t="s">
        <v>135</v>
      </c>
      <c r="DG27">
        <v>2444572</v>
      </c>
      <c r="DI27">
        <v>0</v>
      </c>
      <c r="DJ27">
        <v>0</v>
      </c>
      <c r="DK27">
        <v>1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</row>
    <row r="28" spans="1:123" x14ac:dyDescent="0.25">
      <c r="A28" t="str">
        <f>"04/17/2026 15:37:34.171"</f>
        <v>04/17/2026 15:37:34.171</v>
      </c>
      <c r="C28" t="str">
        <f t="shared" si="0"/>
        <v>FFDFD3C0</v>
      </c>
      <c r="D28" t="s">
        <v>139</v>
      </c>
      <c r="E28" t="str">
        <f>"28"</f>
        <v>28</v>
      </c>
      <c r="H28">
        <v>140</v>
      </c>
      <c r="I28" t="s">
        <v>140</v>
      </c>
      <c r="J28" t="s">
        <v>141</v>
      </c>
      <c r="K28">
        <v>0</v>
      </c>
      <c r="L28">
        <v>3</v>
      </c>
      <c r="M28">
        <v>0</v>
      </c>
      <c r="N28">
        <v>2</v>
      </c>
      <c r="O28">
        <v>1</v>
      </c>
      <c r="P28">
        <v>0</v>
      </c>
      <c r="Q28">
        <v>0</v>
      </c>
      <c r="R28" t="s">
        <v>127</v>
      </c>
      <c r="S28" t="str">
        <f>"15:37:33.906"</f>
        <v>15:37:33.906</v>
      </c>
      <c r="T28" t="str">
        <f>"15:37:33.506"</f>
        <v>15:37:33.506</v>
      </c>
      <c r="U28" t="str">
        <f t="shared" si="2"/>
        <v>A55E09</v>
      </c>
      <c r="V28">
        <v>0</v>
      </c>
      <c r="W28">
        <v>0</v>
      </c>
      <c r="X28">
        <v>2</v>
      </c>
      <c r="Y28">
        <v>0</v>
      </c>
      <c r="AA28">
        <v>0</v>
      </c>
      <c r="AB28">
        <v>9</v>
      </c>
      <c r="AC28">
        <v>3</v>
      </c>
      <c r="AD28">
        <v>0</v>
      </c>
      <c r="AE28">
        <v>9</v>
      </c>
      <c r="AF28" t="s">
        <v>128</v>
      </c>
      <c r="AG28">
        <v>0</v>
      </c>
      <c r="AH28">
        <v>0</v>
      </c>
      <c r="AI28">
        <v>1</v>
      </c>
      <c r="AJ28">
        <v>0</v>
      </c>
      <c r="AK28" t="s">
        <v>150</v>
      </c>
      <c r="AL28">
        <v>33.663032000000001</v>
      </c>
      <c r="AM28" t="s">
        <v>151</v>
      </c>
      <c r="AN28">
        <v>-101.19920999999999</v>
      </c>
      <c r="AO28">
        <v>100</v>
      </c>
      <c r="AP28">
        <v>3200</v>
      </c>
      <c r="AQ28" t="s">
        <v>131</v>
      </c>
      <c r="AR28">
        <v>9</v>
      </c>
      <c r="AS28">
        <v>-29</v>
      </c>
      <c r="AT28">
        <v>-192</v>
      </c>
      <c r="BB28" t="str">
        <f t="shared" si="3"/>
        <v>1200</v>
      </c>
      <c r="BC28">
        <v>1</v>
      </c>
      <c r="BD28" t="str">
        <f t="shared" si="4"/>
        <v xml:space="preserve">N445JS  </v>
      </c>
      <c r="BE28">
        <v>7</v>
      </c>
      <c r="BG28">
        <v>0</v>
      </c>
      <c r="BH28">
        <v>0</v>
      </c>
      <c r="BI28">
        <v>0</v>
      </c>
      <c r="BJ28">
        <v>2925</v>
      </c>
      <c r="BK28">
        <v>-275</v>
      </c>
      <c r="BL28" t="s">
        <v>132</v>
      </c>
      <c r="BM28">
        <v>1</v>
      </c>
      <c r="BN28">
        <v>1</v>
      </c>
      <c r="BO28">
        <v>1</v>
      </c>
      <c r="BP28">
        <v>0</v>
      </c>
      <c r="BT28">
        <v>0</v>
      </c>
      <c r="BU28">
        <v>0</v>
      </c>
      <c r="CE28" t="str">
        <f>"15:37:33.913"</f>
        <v>15:37:33.913</v>
      </c>
      <c r="CF28">
        <v>912916309</v>
      </c>
      <c r="CS28">
        <v>0</v>
      </c>
      <c r="CT28">
        <v>2</v>
      </c>
      <c r="CU28">
        <v>0</v>
      </c>
      <c r="CV28">
        <v>2</v>
      </c>
      <c r="CW28">
        <v>0</v>
      </c>
      <c r="CX28">
        <v>6</v>
      </c>
      <c r="CY28">
        <v>7</v>
      </c>
      <c r="CZ28" t="s">
        <v>133</v>
      </c>
      <c r="DA28">
        <v>125</v>
      </c>
      <c r="DB28">
        <v>1</v>
      </c>
      <c r="DC28" t="s">
        <v>134</v>
      </c>
      <c r="DD28" t="s">
        <v>135</v>
      </c>
      <c r="DG28">
        <v>2444572</v>
      </c>
      <c r="DI28">
        <v>0</v>
      </c>
      <c r="DJ28">
        <v>0</v>
      </c>
      <c r="DK28">
        <v>1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</row>
    <row r="29" spans="1:123" x14ac:dyDescent="0.25">
      <c r="A29" t="str">
        <f>"04/17/2026 15:37:34.199"</f>
        <v>04/17/2026 15:37:34.199</v>
      </c>
      <c r="C29" t="str">
        <f t="shared" si="0"/>
        <v>FFDFD3C0</v>
      </c>
      <c r="D29" t="s">
        <v>124</v>
      </c>
      <c r="E29" t="str">
        <f>"03"</f>
        <v>03</v>
      </c>
      <c r="H29">
        <v>160</v>
      </c>
      <c r="I29" t="s">
        <v>125</v>
      </c>
      <c r="J29" t="s">
        <v>126</v>
      </c>
      <c r="K29">
        <v>0</v>
      </c>
      <c r="L29">
        <v>3</v>
      </c>
      <c r="M29">
        <v>0</v>
      </c>
      <c r="N29">
        <v>2</v>
      </c>
      <c r="O29">
        <v>1</v>
      </c>
      <c r="P29">
        <v>0</v>
      </c>
      <c r="Q29">
        <v>0</v>
      </c>
      <c r="R29" t="s">
        <v>127</v>
      </c>
      <c r="S29" t="str">
        <f>"15:37:33.906"</f>
        <v>15:37:33.906</v>
      </c>
      <c r="T29" t="str">
        <f>"15:37:33.506"</f>
        <v>15:37:33.506</v>
      </c>
      <c r="U29" t="str">
        <f t="shared" si="2"/>
        <v>A55E09</v>
      </c>
      <c r="V29">
        <v>0</v>
      </c>
      <c r="W29">
        <v>0</v>
      </c>
      <c r="X29">
        <v>2</v>
      </c>
      <c r="Y29">
        <v>0</v>
      </c>
      <c r="AA29">
        <v>0</v>
      </c>
      <c r="AB29">
        <v>9</v>
      </c>
      <c r="AC29">
        <v>3</v>
      </c>
      <c r="AD29">
        <v>0</v>
      </c>
      <c r="AE29">
        <v>9</v>
      </c>
      <c r="AF29" t="s">
        <v>128</v>
      </c>
      <c r="AG29">
        <v>0</v>
      </c>
      <c r="AH29">
        <v>0</v>
      </c>
      <c r="AI29">
        <v>1</v>
      </c>
      <c r="AJ29">
        <v>0</v>
      </c>
      <c r="AK29" t="s">
        <v>150</v>
      </c>
      <c r="AL29">
        <v>33.663032000000001</v>
      </c>
      <c r="AM29" t="s">
        <v>151</v>
      </c>
      <c r="AN29">
        <v>-101.19920999999999</v>
      </c>
      <c r="AO29">
        <v>100</v>
      </c>
      <c r="AP29">
        <v>3200</v>
      </c>
      <c r="AQ29" t="s">
        <v>131</v>
      </c>
      <c r="AR29">
        <v>9</v>
      </c>
      <c r="AS29">
        <v>-29</v>
      </c>
      <c r="AT29">
        <v>-192</v>
      </c>
      <c r="BB29" t="str">
        <f t="shared" si="3"/>
        <v>1200</v>
      </c>
      <c r="BC29">
        <v>1</v>
      </c>
      <c r="BD29" t="str">
        <f t="shared" si="4"/>
        <v xml:space="preserve">N445JS  </v>
      </c>
      <c r="BE29">
        <v>7</v>
      </c>
      <c r="BG29">
        <v>0</v>
      </c>
      <c r="BH29">
        <v>0</v>
      </c>
      <c r="BI29">
        <v>0</v>
      </c>
      <c r="BJ29">
        <v>2925</v>
      </c>
      <c r="BK29">
        <v>-275</v>
      </c>
      <c r="BL29" t="s">
        <v>132</v>
      </c>
      <c r="BM29">
        <v>1</v>
      </c>
      <c r="BN29">
        <v>1</v>
      </c>
      <c r="BO29">
        <v>1</v>
      </c>
      <c r="BP29">
        <v>0</v>
      </c>
      <c r="BT29">
        <v>0</v>
      </c>
      <c r="BU29">
        <v>0</v>
      </c>
      <c r="CE29" t="str">
        <f>"15:37:33.913"</f>
        <v>15:37:33.913</v>
      </c>
      <c r="CF29">
        <v>912916309</v>
      </c>
      <c r="CS29">
        <v>0</v>
      </c>
      <c r="CT29">
        <v>2</v>
      </c>
      <c r="CU29">
        <v>0</v>
      </c>
      <c r="CV29">
        <v>2</v>
      </c>
      <c r="CW29">
        <v>0</v>
      </c>
      <c r="CX29">
        <v>6</v>
      </c>
      <c r="CY29">
        <v>7</v>
      </c>
      <c r="CZ29" t="s">
        <v>133</v>
      </c>
      <c r="DA29">
        <v>125</v>
      </c>
      <c r="DB29">
        <v>1</v>
      </c>
      <c r="DC29" t="s">
        <v>134</v>
      </c>
      <c r="DD29" t="s">
        <v>135</v>
      </c>
      <c r="DG29">
        <v>2444572</v>
      </c>
      <c r="DI29">
        <v>0</v>
      </c>
      <c r="DJ29">
        <v>0</v>
      </c>
      <c r="DK29">
        <v>1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</row>
    <row r="30" spans="1:123" x14ac:dyDescent="0.25">
      <c r="A30" t="str">
        <f>"04/17/2026 15:37:35.104"</f>
        <v>04/17/2026 15:37:35.104</v>
      </c>
      <c r="C30" t="str">
        <f t="shared" si="0"/>
        <v>FFDFD3C0</v>
      </c>
      <c r="D30" t="s">
        <v>136</v>
      </c>
      <c r="E30" t="str">
        <f>"0F"</f>
        <v>0F</v>
      </c>
      <c r="F30">
        <v>1015</v>
      </c>
      <c r="G30" t="s">
        <v>138</v>
      </c>
      <c r="J30" t="s">
        <v>137</v>
      </c>
      <c r="K30">
        <v>0</v>
      </c>
      <c r="L30">
        <v>3</v>
      </c>
      <c r="M30">
        <v>0</v>
      </c>
      <c r="N30">
        <v>2</v>
      </c>
      <c r="O30">
        <v>1</v>
      </c>
      <c r="P30">
        <v>0</v>
      </c>
      <c r="Q30">
        <v>0</v>
      </c>
      <c r="R30" t="s">
        <v>127</v>
      </c>
      <c r="S30" t="str">
        <f>"15:37:34.836"</f>
        <v>15:37:34.836</v>
      </c>
      <c r="T30" t="str">
        <f>"15:37:34.436"</f>
        <v>15:37:34.436</v>
      </c>
      <c r="U30" t="str">
        <f t="shared" si="2"/>
        <v>A55E09</v>
      </c>
      <c r="V30">
        <v>0</v>
      </c>
      <c r="W30">
        <v>0</v>
      </c>
      <c r="X30">
        <v>2</v>
      </c>
      <c r="Y30">
        <v>0</v>
      </c>
      <c r="AA30">
        <v>0</v>
      </c>
      <c r="AB30">
        <v>9</v>
      </c>
      <c r="AC30">
        <v>3</v>
      </c>
      <c r="AD30">
        <v>0</v>
      </c>
      <c r="AE30">
        <v>9</v>
      </c>
      <c r="AF30" t="s">
        <v>128</v>
      </c>
      <c r="AG30">
        <v>0</v>
      </c>
      <c r="AH30">
        <v>0</v>
      </c>
      <c r="AI30">
        <v>1</v>
      </c>
      <c r="AJ30">
        <v>0</v>
      </c>
      <c r="AK30" t="s">
        <v>152</v>
      </c>
      <c r="AL30">
        <v>33.662860000000002</v>
      </c>
      <c r="AM30" t="s">
        <v>153</v>
      </c>
      <c r="AN30">
        <v>-101.199124</v>
      </c>
      <c r="AO30">
        <v>100</v>
      </c>
      <c r="AP30">
        <v>3100</v>
      </c>
      <c r="AQ30" t="s">
        <v>131</v>
      </c>
      <c r="AR30">
        <v>9</v>
      </c>
      <c r="AS30">
        <v>-34</v>
      </c>
      <c r="AT30">
        <v>-64</v>
      </c>
      <c r="BB30" t="str">
        <f t="shared" si="3"/>
        <v>1200</v>
      </c>
      <c r="BC30">
        <v>1</v>
      </c>
      <c r="BD30" t="str">
        <f t="shared" si="4"/>
        <v xml:space="preserve">N445JS  </v>
      </c>
      <c r="BE30">
        <v>7</v>
      </c>
      <c r="BG30">
        <v>0</v>
      </c>
      <c r="BH30">
        <v>0</v>
      </c>
      <c r="BI30">
        <v>0</v>
      </c>
      <c r="BJ30">
        <v>2925</v>
      </c>
      <c r="BK30">
        <v>-175</v>
      </c>
      <c r="BL30" t="s">
        <v>132</v>
      </c>
      <c r="BM30">
        <v>1</v>
      </c>
      <c r="BN30">
        <v>1</v>
      </c>
      <c r="BO30">
        <v>1</v>
      </c>
      <c r="BP30">
        <v>0</v>
      </c>
      <c r="BT30">
        <v>0</v>
      </c>
      <c r="BU30">
        <v>0</v>
      </c>
      <c r="CE30" t="str">
        <f>"15:37:34.843"</f>
        <v>15:37:34.843</v>
      </c>
      <c r="CF30">
        <v>842825184</v>
      </c>
      <c r="CS30">
        <v>0</v>
      </c>
      <c r="CT30">
        <v>2</v>
      </c>
      <c r="CU30">
        <v>0</v>
      </c>
      <c r="CV30">
        <v>2</v>
      </c>
      <c r="CW30">
        <v>0</v>
      </c>
      <c r="CX30">
        <v>5</v>
      </c>
      <c r="CY30">
        <v>7</v>
      </c>
      <c r="CZ30" t="s">
        <v>133</v>
      </c>
      <c r="DA30">
        <v>125</v>
      </c>
      <c r="DB30">
        <v>1</v>
      </c>
      <c r="DC30" t="s">
        <v>134</v>
      </c>
      <c r="DD30" t="s">
        <v>135</v>
      </c>
      <c r="DG30">
        <v>2445499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</row>
    <row r="31" spans="1:123" x14ac:dyDescent="0.25">
      <c r="A31" t="str">
        <f>"04/17/2026 15:37:35.101"</f>
        <v>04/17/2026 15:37:35.101</v>
      </c>
      <c r="C31" t="str">
        <f t="shared" si="0"/>
        <v>FFDFD3C0</v>
      </c>
      <c r="D31" t="s">
        <v>124</v>
      </c>
      <c r="E31" t="str">
        <f>"03"</f>
        <v>03</v>
      </c>
      <c r="H31">
        <v>160</v>
      </c>
      <c r="I31" t="s">
        <v>125</v>
      </c>
      <c r="J31" t="s">
        <v>126</v>
      </c>
      <c r="K31">
        <v>0</v>
      </c>
      <c r="L31">
        <v>3</v>
      </c>
      <c r="M31">
        <v>0</v>
      </c>
      <c r="N31">
        <v>2</v>
      </c>
      <c r="O31">
        <v>1</v>
      </c>
      <c r="P31">
        <v>0</v>
      </c>
      <c r="Q31">
        <v>0</v>
      </c>
      <c r="R31" t="s">
        <v>127</v>
      </c>
      <c r="S31" t="str">
        <f>"15:37:34.836"</f>
        <v>15:37:34.836</v>
      </c>
      <c r="T31" t="str">
        <f>"15:37:34.436"</f>
        <v>15:37:34.436</v>
      </c>
      <c r="U31" t="str">
        <f t="shared" si="2"/>
        <v>A55E09</v>
      </c>
      <c r="V31">
        <v>0</v>
      </c>
      <c r="W31">
        <v>0</v>
      </c>
      <c r="X31">
        <v>2</v>
      </c>
      <c r="Y31">
        <v>0</v>
      </c>
      <c r="AA31">
        <v>0</v>
      </c>
      <c r="AB31">
        <v>9</v>
      </c>
      <c r="AC31">
        <v>3</v>
      </c>
      <c r="AD31">
        <v>0</v>
      </c>
      <c r="AE31">
        <v>9</v>
      </c>
      <c r="AF31" t="s">
        <v>128</v>
      </c>
      <c r="AG31">
        <v>0</v>
      </c>
      <c r="AH31">
        <v>0</v>
      </c>
      <c r="AI31">
        <v>1</v>
      </c>
      <c r="AJ31">
        <v>0</v>
      </c>
      <c r="AK31" t="s">
        <v>152</v>
      </c>
      <c r="AL31">
        <v>33.662860000000002</v>
      </c>
      <c r="AM31" t="s">
        <v>153</v>
      </c>
      <c r="AN31">
        <v>-101.199124</v>
      </c>
      <c r="AO31">
        <v>100</v>
      </c>
      <c r="AP31">
        <v>3100</v>
      </c>
      <c r="AQ31" t="s">
        <v>131</v>
      </c>
      <c r="AR31">
        <v>9</v>
      </c>
      <c r="AS31">
        <v>-34</v>
      </c>
      <c r="AT31">
        <v>-64</v>
      </c>
      <c r="BB31" t="str">
        <f t="shared" si="3"/>
        <v>1200</v>
      </c>
      <c r="BC31">
        <v>1</v>
      </c>
      <c r="BD31" t="str">
        <f t="shared" si="4"/>
        <v xml:space="preserve">N445JS  </v>
      </c>
      <c r="BE31">
        <v>7</v>
      </c>
      <c r="BG31">
        <v>0</v>
      </c>
      <c r="BH31">
        <v>0</v>
      </c>
      <c r="BI31">
        <v>0</v>
      </c>
      <c r="BJ31">
        <v>2925</v>
      </c>
      <c r="BK31">
        <v>-175</v>
      </c>
      <c r="BL31" t="s">
        <v>132</v>
      </c>
      <c r="BM31">
        <v>1</v>
      </c>
      <c r="BN31">
        <v>1</v>
      </c>
      <c r="BO31">
        <v>1</v>
      </c>
      <c r="BP31">
        <v>0</v>
      </c>
      <c r="BT31">
        <v>0</v>
      </c>
      <c r="BU31">
        <v>0</v>
      </c>
      <c r="CE31" t="str">
        <f>"15:37:34.843"</f>
        <v>15:37:34.843</v>
      </c>
      <c r="CF31">
        <v>842825184</v>
      </c>
      <c r="CS31">
        <v>0</v>
      </c>
      <c r="CT31">
        <v>2</v>
      </c>
      <c r="CU31">
        <v>0</v>
      </c>
      <c r="CV31">
        <v>2</v>
      </c>
      <c r="CW31">
        <v>0</v>
      </c>
      <c r="CX31">
        <v>5</v>
      </c>
      <c r="CY31">
        <v>7</v>
      </c>
      <c r="CZ31" t="s">
        <v>133</v>
      </c>
      <c r="DA31">
        <v>125</v>
      </c>
      <c r="DB31">
        <v>1</v>
      </c>
      <c r="DC31" t="s">
        <v>134</v>
      </c>
      <c r="DD31" t="s">
        <v>135</v>
      </c>
      <c r="DG31">
        <v>2445499</v>
      </c>
      <c r="DI31">
        <v>0</v>
      </c>
      <c r="DJ31">
        <v>0</v>
      </c>
      <c r="DK31">
        <v>1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</row>
    <row r="32" spans="1:123" x14ac:dyDescent="0.25">
      <c r="A32" t="str">
        <f>"04/17/2026 15:37:35.103"</f>
        <v>04/17/2026 15:37:35.103</v>
      </c>
      <c r="C32" t="str">
        <f t="shared" si="0"/>
        <v>FFDFD3C0</v>
      </c>
      <c r="D32" t="s">
        <v>136</v>
      </c>
      <c r="E32" t="str">
        <f>"0E"</f>
        <v>0E</v>
      </c>
      <c r="F32">
        <v>1014</v>
      </c>
      <c r="G32" t="s">
        <v>125</v>
      </c>
      <c r="J32" t="s">
        <v>137</v>
      </c>
      <c r="K32">
        <v>0</v>
      </c>
      <c r="L32">
        <v>3</v>
      </c>
      <c r="M32">
        <v>0</v>
      </c>
      <c r="N32">
        <v>2</v>
      </c>
      <c r="O32">
        <v>1</v>
      </c>
      <c r="P32">
        <v>0</v>
      </c>
      <c r="Q32">
        <v>0</v>
      </c>
      <c r="R32" t="s">
        <v>127</v>
      </c>
      <c r="S32" t="str">
        <f>"15:37:34.836"</f>
        <v>15:37:34.836</v>
      </c>
      <c r="T32" t="str">
        <f>"15:37:34.436"</f>
        <v>15:37:34.436</v>
      </c>
      <c r="U32" t="str">
        <f t="shared" si="2"/>
        <v>A55E09</v>
      </c>
      <c r="V32">
        <v>0</v>
      </c>
      <c r="W32">
        <v>0</v>
      </c>
      <c r="X32">
        <v>2</v>
      </c>
      <c r="Y32">
        <v>0</v>
      </c>
      <c r="AA32">
        <v>0</v>
      </c>
      <c r="AB32">
        <v>9</v>
      </c>
      <c r="AC32">
        <v>3</v>
      </c>
      <c r="AD32">
        <v>0</v>
      </c>
      <c r="AE32">
        <v>9</v>
      </c>
      <c r="AF32" t="s">
        <v>128</v>
      </c>
      <c r="AG32">
        <v>0</v>
      </c>
      <c r="AH32">
        <v>0</v>
      </c>
      <c r="AI32">
        <v>1</v>
      </c>
      <c r="AJ32">
        <v>0</v>
      </c>
      <c r="AK32" t="s">
        <v>152</v>
      </c>
      <c r="AL32">
        <v>33.662860000000002</v>
      </c>
      <c r="AM32" t="s">
        <v>153</v>
      </c>
      <c r="AN32">
        <v>-101.199124</v>
      </c>
      <c r="AO32">
        <v>100</v>
      </c>
      <c r="AP32">
        <v>3100</v>
      </c>
      <c r="AQ32" t="s">
        <v>131</v>
      </c>
      <c r="AR32">
        <v>9</v>
      </c>
      <c r="AS32">
        <v>-34</v>
      </c>
      <c r="AT32">
        <v>-64</v>
      </c>
      <c r="BB32" t="str">
        <f t="shared" si="3"/>
        <v>1200</v>
      </c>
      <c r="BC32">
        <v>1</v>
      </c>
      <c r="BD32" t="str">
        <f t="shared" si="4"/>
        <v xml:space="preserve">N445JS  </v>
      </c>
      <c r="BE32">
        <v>7</v>
      </c>
      <c r="BG32">
        <v>0</v>
      </c>
      <c r="BH32">
        <v>0</v>
      </c>
      <c r="BI32">
        <v>0</v>
      </c>
      <c r="BJ32">
        <v>2925</v>
      </c>
      <c r="BK32">
        <v>-175</v>
      </c>
      <c r="BL32" t="s">
        <v>132</v>
      </c>
      <c r="BM32">
        <v>1</v>
      </c>
      <c r="BN32">
        <v>1</v>
      </c>
      <c r="BO32">
        <v>1</v>
      </c>
      <c r="BP32">
        <v>0</v>
      </c>
      <c r="BT32">
        <v>0</v>
      </c>
      <c r="BU32">
        <v>0</v>
      </c>
      <c r="CE32" t="str">
        <f>"15:37:34.843"</f>
        <v>15:37:34.843</v>
      </c>
      <c r="CF32">
        <v>842825184</v>
      </c>
      <c r="CS32">
        <v>0</v>
      </c>
      <c r="CT32">
        <v>2</v>
      </c>
      <c r="CU32">
        <v>0</v>
      </c>
      <c r="CV32">
        <v>2</v>
      </c>
      <c r="CW32">
        <v>0</v>
      </c>
      <c r="CX32">
        <v>5</v>
      </c>
      <c r="CY32">
        <v>7</v>
      </c>
      <c r="CZ32" t="s">
        <v>133</v>
      </c>
      <c r="DA32">
        <v>125</v>
      </c>
      <c r="DB32">
        <v>1</v>
      </c>
      <c r="DC32" t="s">
        <v>134</v>
      </c>
      <c r="DD32" t="s">
        <v>135</v>
      </c>
      <c r="DG32">
        <v>2445499</v>
      </c>
      <c r="DI32">
        <v>0</v>
      </c>
      <c r="DJ32">
        <v>0</v>
      </c>
      <c r="DK32">
        <v>1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</row>
    <row r="33" spans="1:123" x14ac:dyDescent="0.25">
      <c r="A33" t="str">
        <f>"04/17/2026 15:37:35.123"</f>
        <v>04/17/2026 15:37:35.123</v>
      </c>
      <c r="C33" t="str">
        <f t="shared" si="0"/>
        <v>FFDFD3C0</v>
      </c>
      <c r="D33" t="s">
        <v>139</v>
      </c>
      <c r="E33" t="str">
        <f>"28"</f>
        <v>28</v>
      </c>
      <c r="H33">
        <v>140</v>
      </c>
      <c r="I33" t="s">
        <v>140</v>
      </c>
      <c r="J33" t="s">
        <v>141</v>
      </c>
      <c r="K33">
        <v>0</v>
      </c>
      <c r="L33">
        <v>3</v>
      </c>
      <c r="M33">
        <v>0</v>
      </c>
      <c r="N33">
        <v>2</v>
      </c>
      <c r="O33">
        <v>1</v>
      </c>
      <c r="P33">
        <v>0</v>
      </c>
      <c r="Q33">
        <v>0</v>
      </c>
      <c r="R33" t="s">
        <v>127</v>
      </c>
      <c r="S33" t="str">
        <f>"15:37:34.836"</f>
        <v>15:37:34.836</v>
      </c>
      <c r="T33" t="str">
        <f>"15:37:34.436"</f>
        <v>15:37:34.436</v>
      </c>
      <c r="U33" t="str">
        <f t="shared" si="2"/>
        <v>A55E09</v>
      </c>
      <c r="V33">
        <v>0</v>
      </c>
      <c r="W33">
        <v>0</v>
      </c>
      <c r="X33">
        <v>2</v>
      </c>
      <c r="Y33">
        <v>0</v>
      </c>
      <c r="AA33">
        <v>0</v>
      </c>
      <c r="AB33">
        <v>9</v>
      </c>
      <c r="AC33">
        <v>3</v>
      </c>
      <c r="AD33">
        <v>0</v>
      </c>
      <c r="AE33">
        <v>9</v>
      </c>
      <c r="AF33" t="s">
        <v>128</v>
      </c>
      <c r="AG33">
        <v>0</v>
      </c>
      <c r="AH33">
        <v>0</v>
      </c>
      <c r="AI33">
        <v>1</v>
      </c>
      <c r="AJ33">
        <v>0</v>
      </c>
      <c r="AK33" t="s">
        <v>152</v>
      </c>
      <c r="AL33">
        <v>33.662860000000002</v>
      </c>
      <c r="AM33" t="s">
        <v>153</v>
      </c>
      <c r="AN33">
        <v>-101.199124</v>
      </c>
      <c r="AO33">
        <v>100</v>
      </c>
      <c r="AP33">
        <v>3100</v>
      </c>
      <c r="AQ33" t="s">
        <v>131</v>
      </c>
      <c r="AR33">
        <v>9</v>
      </c>
      <c r="AS33">
        <v>-34</v>
      </c>
      <c r="AT33">
        <v>-64</v>
      </c>
      <c r="BB33" t="str">
        <f t="shared" si="3"/>
        <v>1200</v>
      </c>
      <c r="BC33">
        <v>1</v>
      </c>
      <c r="BD33" t="str">
        <f t="shared" si="4"/>
        <v xml:space="preserve">N445JS  </v>
      </c>
      <c r="BE33">
        <v>7</v>
      </c>
      <c r="BG33">
        <v>0</v>
      </c>
      <c r="BH33">
        <v>0</v>
      </c>
      <c r="BI33">
        <v>0</v>
      </c>
      <c r="BJ33">
        <v>2925</v>
      </c>
      <c r="BK33">
        <v>-175</v>
      </c>
      <c r="BL33" t="s">
        <v>132</v>
      </c>
      <c r="BM33">
        <v>1</v>
      </c>
      <c r="BN33">
        <v>1</v>
      </c>
      <c r="BO33">
        <v>1</v>
      </c>
      <c r="BP33">
        <v>0</v>
      </c>
      <c r="BT33">
        <v>0</v>
      </c>
      <c r="BU33">
        <v>0</v>
      </c>
      <c r="CE33" t="str">
        <f>"15:37:34.843"</f>
        <v>15:37:34.843</v>
      </c>
      <c r="CF33">
        <v>842825184</v>
      </c>
      <c r="CS33">
        <v>0</v>
      </c>
      <c r="CT33">
        <v>2</v>
      </c>
      <c r="CU33">
        <v>0</v>
      </c>
      <c r="CV33">
        <v>2</v>
      </c>
      <c r="CW33">
        <v>0</v>
      </c>
      <c r="CX33">
        <v>5</v>
      </c>
      <c r="CY33">
        <v>7</v>
      </c>
      <c r="CZ33" t="s">
        <v>133</v>
      </c>
      <c r="DA33">
        <v>125</v>
      </c>
      <c r="DB33">
        <v>1</v>
      </c>
      <c r="DC33" t="s">
        <v>134</v>
      </c>
      <c r="DD33" t="s">
        <v>135</v>
      </c>
      <c r="DG33">
        <v>2445499</v>
      </c>
      <c r="DI33">
        <v>0</v>
      </c>
      <c r="DJ33">
        <v>0</v>
      </c>
      <c r="DK33">
        <v>1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</row>
    <row r="34" spans="1:123" x14ac:dyDescent="0.25">
      <c r="A34" t="str">
        <f>"04/17/2026 15:37:36.152"</f>
        <v>04/17/2026 15:37:36.152</v>
      </c>
      <c r="C34" t="str">
        <f t="shared" si="0"/>
        <v>FFDFD3C0</v>
      </c>
      <c r="D34" t="s">
        <v>124</v>
      </c>
      <c r="E34" t="str">
        <f>"03"</f>
        <v>03</v>
      </c>
      <c r="H34">
        <v>160</v>
      </c>
      <c r="I34" t="s">
        <v>125</v>
      </c>
      <c r="J34" t="s">
        <v>126</v>
      </c>
      <c r="K34">
        <v>0</v>
      </c>
      <c r="L34">
        <v>3</v>
      </c>
      <c r="M34">
        <v>0</v>
      </c>
      <c r="N34">
        <v>2</v>
      </c>
      <c r="O34">
        <v>1</v>
      </c>
      <c r="P34">
        <v>0</v>
      </c>
      <c r="Q34">
        <v>0</v>
      </c>
      <c r="R34" t="s">
        <v>127</v>
      </c>
      <c r="S34" t="str">
        <f>"15:37:35.922"</f>
        <v>15:37:35.922</v>
      </c>
      <c r="T34" t="str">
        <f>"15:37:35.022"</f>
        <v>15:37:35.022</v>
      </c>
      <c r="U34" t="str">
        <f t="shared" si="2"/>
        <v>A55E09</v>
      </c>
      <c r="V34">
        <v>0</v>
      </c>
      <c r="W34">
        <v>0</v>
      </c>
      <c r="X34">
        <v>2</v>
      </c>
      <c r="Y34">
        <v>0</v>
      </c>
      <c r="AA34">
        <v>0</v>
      </c>
      <c r="AB34">
        <v>9</v>
      </c>
      <c r="AC34">
        <v>3</v>
      </c>
      <c r="AD34">
        <v>0</v>
      </c>
      <c r="AE34">
        <v>9</v>
      </c>
      <c r="AF34" t="s">
        <v>128</v>
      </c>
      <c r="AG34">
        <v>0</v>
      </c>
      <c r="AH34">
        <v>0</v>
      </c>
      <c r="AI34">
        <v>1</v>
      </c>
      <c r="AJ34">
        <v>0</v>
      </c>
      <c r="AK34" t="s">
        <v>154</v>
      </c>
      <c r="AL34">
        <v>33.662666999999999</v>
      </c>
      <c r="AM34" t="s">
        <v>155</v>
      </c>
      <c r="AN34">
        <v>-101.199167</v>
      </c>
      <c r="AO34">
        <v>100</v>
      </c>
      <c r="AP34">
        <v>3200</v>
      </c>
      <c r="AQ34" t="s">
        <v>131</v>
      </c>
      <c r="AR34">
        <v>8</v>
      </c>
      <c r="AS34">
        <v>-36</v>
      </c>
      <c r="AT34">
        <v>0</v>
      </c>
      <c r="BB34" t="str">
        <f t="shared" si="3"/>
        <v>1200</v>
      </c>
      <c r="BC34">
        <v>1</v>
      </c>
      <c r="BD34" t="str">
        <f t="shared" si="4"/>
        <v xml:space="preserve">N445JS  </v>
      </c>
      <c r="BE34">
        <v>7</v>
      </c>
      <c r="BG34">
        <v>0</v>
      </c>
      <c r="BH34">
        <v>0</v>
      </c>
      <c r="BI34">
        <v>0</v>
      </c>
      <c r="BJ34">
        <v>2925</v>
      </c>
      <c r="BK34">
        <v>-275</v>
      </c>
      <c r="BL34" t="s">
        <v>132</v>
      </c>
      <c r="BM34">
        <v>1</v>
      </c>
      <c r="BN34">
        <v>1</v>
      </c>
      <c r="BO34">
        <v>1</v>
      </c>
      <c r="BP34">
        <v>0</v>
      </c>
      <c r="BT34">
        <v>0</v>
      </c>
      <c r="BU34">
        <v>0</v>
      </c>
      <c r="CE34" t="str">
        <f>"15:37:35.923"</f>
        <v>15:37:35.923</v>
      </c>
      <c r="CF34">
        <v>922719475</v>
      </c>
      <c r="CS34">
        <v>0</v>
      </c>
      <c r="CT34">
        <v>2</v>
      </c>
      <c r="CU34">
        <v>0</v>
      </c>
      <c r="CV34">
        <v>2</v>
      </c>
      <c r="CW34">
        <v>0</v>
      </c>
      <c r="CX34">
        <v>5</v>
      </c>
      <c r="CY34">
        <v>7</v>
      </c>
      <c r="CZ34" t="s">
        <v>133</v>
      </c>
      <c r="DA34">
        <v>125</v>
      </c>
      <c r="DB34">
        <v>1</v>
      </c>
      <c r="DC34" t="s">
        <v>134</v>
      </c>
      <c r="DD34" t="s">
        <v>135</v>
      </c>
      <c r="DG34">
        <v>2446648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</row>
    <row r="35" spans="1:123" x14ac:dyDescent="0.25">
      <c r="A35" t="str">
        <f>"04/17/2026 15:37:36.155"</f>
        <v>04/17/2026 15:37:36.155</v>
      </c>
      <c r="C35" t="str">
        <f t="shared" si="0"/>
        <v>FFDFD3C0</v>
      </c>
      <c r="D35" t="s">
        <v>136</v>
      </c>
      <c r="E35" t="str">
        <f>"0E"</f>
        <v>0E</v>
      </c>
      <c r="F35">
        <v>1014</v>
      </c>
      <c r="G35" t="s">
        <v>125</v>
      </c>
      <c r="J35" t="s">
        <v>137</v>
      </c>
      <c r="K35">
        <v>0</v>
      </c>
      <c r="L35">
        <v>3</v>
      </c>
      <c r="M35">
        <v>0</v>
      </c>
      <c r="N35">
        <v>2</v>
      </c>
      <c r="O35">
        <v>1</v>
      </c>
      <c r="P35">
        <v>0</v>
      </c>
      <c r="Q35">
        <v>0</v>
      </c>
      <c r="R35" t="s">
        <v>127</v>
      </c>
      <c r="S35" t="str">
        <f>"15:37:35.922"</f>
        <v>15:37:35.922</v>
      </c>
      <c r="T35" t="str">
        <f>"15:37:35.022"</f>
        <v>15:37:35.022</v>
      </c>
      <c r="U35" t="str">
        <f t="shared" si="2"/>
        <v>A55E09</v>
      </c>
      <c r="V35">
        <v>0</v>
      </c>
      <c r="W35">
        <v>0</v>
      </c>
      <c r="X35">
        <v>2</v>
      </c>
      <c r="Y35">
        <v>0</v>
      </c>
      <c r="AA35">
        <v>0</v>
      </c>
      <c r="AB35">
        <v>9</v>
      </c>
      <c r="AC35">
        <v>3</v>
      </c>
      <c r="AD35">
        <v>0</v>
      </c>
      <c r="AE35">
        <v>9</v>
      </c>
      <c r="AF35" t="s">
        <v>128</v>
      </c>
      <c r="AG35">
        <v>0</v>
      </c>
      <c r="AH35">
        <v>0</v>
      </c>
      <c r="AI35">
        <v>1</v>
      </c>
      <c r="AJ35">
        <v>0</v>
      </c>
      <c r="AK35" t="s">
        <v>154</v>
      </c>
      <c r="AL35">
        <v>33.662666999999999</v>
      </c>
      <c r="AM35" t="s">
        <v>155</v>
      </c>
      <c r="AN35">
        <v>-101.199167</v>
      </c>
      <c r="AO35">
        <v>100</v>
      </c>
      <c r="AP35">
        <v>3200</v>
      </c>
      <c r="AQ35" t="s">
        <v>131</v>
      </c>
      <c r="AR35">
        <v>8</v>
      </c>
      <c r="AS35">
        <v>-36</v>
      </c>
      <c r="AT35">
        <v>0</v>
      </c>
      <c r="BB35" t="str">
        <f t="shared" si="3"/>
        <v>1200</v>
      </c>
      <c r="BC35">
        <v>1</v>
      </c>
      <c r="BD35" t="str">
        <f t="shared" si="4"/>
        <v xml:space="preserve">N445JS  </v>
      </c>
      <c r="BE35">
        <v>7</v>
      </c>
      <c r="BG35">
        <v>0</v>
      </c>
      <c r="BH35">
        <v>0</v>
      </c>
      <c r="BI35">
        <v>0</v>
      </c>
      <c r="BJ35">
        <v>2925</v>
      </c>
      <c r="BK35">
        <v>-275</v>
      </c>
      <c r="BL35" t="s">
        <v>132</v>
      </c>
      <c r="BM35">
        <v>1</v>
      </c>
      <c r="BN35">
        <v>1</v>
      </c>
      <c r="BO35">
        <v>1</v>
      </c>
      <c r="BP35">
        <v>0</v>
      </c>
      <c r="BT35">
        <v>0</v>
      </c>
      <c r="BU35">
        <v>0</v>
      </c>
      <c r="CE35" t="str">
        <f>"15:37:35.923"</f>
        <v>15:37:35.923</v>
      </c>
      <c r="CF35">
        <v>922719475</v>
      </c>
      <c r="CS35">
        <v>0</v>
      </c>
      <c r="CT35">
        <v>2</v>
      </c>
      <c r="CU35">
        <v>0</v>
      </c>
      <c r="CV35">
        <v>2</v>
      </c>
      <c r="CW35">
        <v>0</v>
      </c>
      <c r="CX35">
        <v>5</v>
      </c>
      <c r="CY35">
        <v>7</v>
      </c>
      <c r="CZ35" t="s">
        <v>133</v>
      </c>
      <c r="DA35">
        <v>125</v>
      </c>
      <c r="DB35">
        <v>1</v>
      </c>
      <c r="DC35" t="s">
        <v>134</v>
      </c>
      <c r="DD35" t="s">
        <v>135</v>
      </c>
      <c r="DG35">
        <v>2446648</v>
      </c>
      <c r="DI35">
        <v>0</v>
      </c>
      <c r="DJ35">
        <v>0</v>
      </c>
      <c r="DK35">
        <v>1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</row>
    <row r="36" spans="1:123" x14ac:dyDescent="0.25">
      <c r="A36" t="str">
        <f>"04/17/2026 15:37:36.156"</f>
        <v>04/17/2026 15:37:36.156</v>
      </c>
      <c r="C36" t="str">
        <f t="shared" si="0"/>
        <v>FFDFD3C0</v>
      </c>
      <c r="D36" t="s">
        <v>136</v>
      </c>
      <c r="E36" t="str">
        <f>"0F"</f>
        <v>0F</v>
      </c>
      <c r="F36">
        <v>1015</v>
      </c>
      <c r="G36" t="s">
        <v>138</v>
      </c>
      <c r="J36" t="s">
        <v>137</v>
      </c>
      <c r="K36">
        <v>0</v>
      </c>
      <c r="L36">
        <v>3</v>
      </c>
      <c r="M36">
        <v>0</v>
      </c>
      <c r="N36">
        <v>2</v>
      </c>
      <c r="O36">
        <v>1</v>
      </c>
      <c r="P36">
        <v>0</v>
      </c>
      <c r="Q36">
        <v>0</v>
      </c>
      <c r="R36" t="s">
        <v>127</v>
      </c>
      <c r="S36" t="str">
        <f>"15:37:35.922"</f>
        <v>15:37:35.922</v>
      </c>
      <c r="T36" t="str">
        <f>"15:37:35.022"</f>
        <v>15:37:35.022</v>
      </c>
      <c r="U36" t="str">
        <f t="shared" si="2"/>
        <v>A55E09</v>
      </c>
      <c r="V36">
        <v>0</v>
      </c>
      <c r="W36">
        <v>0</v>
      </c>
      <c r="X36">
        <v>2</v>
      </c>
      <c r="Y36">
        <v>0</v>
      </c>
      <c r="AA36">
        <v>0</v>
      </c>
      <c r="AB36">
        <v>9</v>
      </c>
      <c r="AC36">
        <v>3</v>
      </c>
      <c r="AD36">
        <v>0</v>
      </c>
      <c r="AE36">
        <v>9</v>
      </c>
      <c r="AF36" t="s">
        <v>128</v>
      </c>
      <c r="AG36">
        <v>0</v>
      </c>
      <c r="AH36">
        <v>0</v>
      </c>
      <c r="AI36">
        <v>1</v>
      </c>
      <c r="AJ36">
        <v>0</v>
      </c>
      <c r="AK36" t="s">
        <v>154</v>
      </c>
      <c r="AL36">
        <v>33.662666999999999</v>
      </c>
      <c r="AM36" t="s">
        <v>155</v>
      </c>
      <c r="AN36">
        <v>-101.199167</v>
      </c>
      <c r="AO36">
        <v>100</v>
      </c>
      <c r="AP36">
        <v>3200</v>
      </c>
      <c r="AQ36" t="s">
        <v>131</v>
      </c>
      <c r="AR36">
        <v>8</v>
      </c>
      <c r="AS36">
        <v>-36</v>
      </c>
      <c r="AT36">
        <v>0</v>
      </c>
      <c r="BB36" t="str">
        <f t="shared" si="3"/>
        <v>1200</v>
      </c>
      <c r="BC36">
        <v>1</v>
      </c>
      <c r="BD36" t="str">
        <f t="shared" si="4"/>
        <v xml:space="preserve">N445JS  </v>
      </c>
      <c r="BE36">
        <v>7</v>
      </c>
      <c r="BG36">
        <v>0</v>
      </c>
      <c r="BH36">
        <v>0</v>
      </c>
      <c r="BI36">
        <v>0</v>
      </c>
      <c r="BJ36">
        <v>2925</v>
      </c>
      <c r="BK36">
        <v>-275</v>
      </c>
      <c r="BL36" t="s">
        <v>132</v>
      </c>
      <c r="BM36">
        <v>1</v>
      </c>
      <c r="BN36">
        <v>1</v>
      </c>
      <c r="BO36">
        <v>1</v>
      </c>
      <c r="BP36">
        <v>0</v>
      </c>
      <c r="BT36">
        <v>0</v>
      </c>
      <c r="BU36">
        <v>0</v>
      </c>
      <c r="CE36" t="str">
        <f>"15:37:35.923"</f>
        <v>15:37:35.923</v>
      </c>
      <c r="CF36">
        <v>922719475</v>
      </c>
      <c r="CS36">
        <v>0</v>
      </c>
      <c r="CT36">
        <v>2</v>
      </c>
      <c r="CU36">
        <v>0</v>
      </c>
      <c r="CV36">
        <v>2</v>
      </c>
      <c r="CW36">
        <v>0</v>
      </c>
      <c r="CX36">
        <v>5</v>
      </c>
      <c r="CY36">
        <v>7</v>
      </c>
      <c r="CZ36" t="s">
        <v>133</v>
      </c>
      <c r="DA36">
        <v>125</v>
      </c>
      <c r="DB36">
        <v>1</v>
      </c>
      <c r="DC36" t="s">
        <v>134</v>
      </c>
      <c r="DD36" t="s">
        <v>135</v>
      </c>
      <c r="DG36">
        <v>2446648</v>
      </c>
      <c r="DI36">
        <v>0</v>
      </c>
      <c r="DJ36">
        <v>0</v>
      </c>
      <c r="DK36">
        <v>1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</row>
    <row r="37" spans="1:123" x14ac:dyDescent="0.25">
      <c r="A37" t="str">
        <f>"04/17/2026 15:37:36.175"</f>
        <v>04/17/2026 15:37:36.175</v>
      </c>
      <c r="C37" t="str">
        <f t="shared" si="0"/>
        <v>FFDFD3C0</v>
      </c>
      <c r="D37" t="s">
        <v>139</v>
      </c>
      <c r="E37" t="str">
        <f>"28"</f>
        <v>28</v>
      </c>
      <c r="H37">
        <v>140</v>
      </c>
      <c r="I37" t="s">
        <v>140</v>
      </c>
      <c r="J37" t="s">
        <v>141</v>
      </c>
      <c r="K37">
        <v>0</v>
      </c>
      <c r="L37">
        <v>3</v>
      </c>
      <c r="M37">
        <v>0</v>
      </c>
      <c r="N37">
        <v>2</v>
      </c>
      <c r="O37">
        <v>1</v>
      </c>
      <c r="P37">
        <v>0</v>
      </c>
      <c r="Q37">
        <v>0</v>
      </c>
      <c r="R37" t="s">
        <v>127</v>
      </c>
      <c r="S37" t="str">
        <f>"15:37:35.922"</f>
        <v>15:37:35.922</v>
      </c>
      <c r="T37" t="str">
        <f>"15:37:35.022"</f>
        <v>15:37:35.022</v>
      </c>
      <c r="U37" t="str">
        <f t="shared" si="2"/>
        <v>A55E09</v>
      </c>
      <c r="V37">
        <v>0</v>
      </c>
      <c r="W37">
        <v>0</v>
      </c>
      <c r="X37">
        <v>2</v>
      </c>
      <c r="Y37">
        <v>0</v>
      </c>
      <c r="AA37">
        <v>0</v>
      </c>
      <c r="AB37">
        <v>9</v>
      </c>
      <c r="AC37">
        <v>3</v>
      </c>
      <c r="AD37">
        <v>0</v>
      </c>
      <c r="AE37">
        <v>9</v>
      </c>
      <c r="AF37" t="s">
        <v>128</v>
      </c>
      <c r="AG37">
        <v>0</v>
      </c>
      <c r="AH37">
        <v>0</v>
      </c>
      <c r="AI37">
        <v>1</v>
      </c>
      <c r="AJ37">
        <v>0</v>
      </c>
      <c r="AK37" t="s">
        <v>154</v>
      </c>
      <c r="AL37">
        <v>33.662666999999999</v>
      </c>
      <c r="AM37" t="s">
        <v>155</v>
      </c>
      <c r="AN37">
        <v>-101.199167</v>
      </c>
      <c r="AO37">
        <v>100</v>
      </c>
      <c r="AP37">
        <v>3200</v>
      </c>
      <c r="AQ37" t="s">
        <v>131</v>
      </c>
      <c r="AR37">
        <v>8</v>
      </c>
      <c r="AS37">
        <v>-36</v>
      </c>
      <c r="AT37">
        <v>0</v>
      </c>
      <c r="BB37" t="str">
        <f t="shared" si="3"/>
        <v>1200</v>
      </c>
      <c r="BC37">
        <v>1</v>
      </c>
      <c r="BD37" t="str">
        <f t="shared" si="4"/>
        <v xml:space="preserve">N445JS  </v>
      </c>
      <c r="BE37">
        <v>7</v>
      </c>
      <c r="BG37">
        <v>0</v>
      </c>
      <c r="BH37">
        <v>0</v>
      </c>
      <c r="BI37">
        <v>0</v>
      </c>
      <c r="BJ37">
        <v>2925</v>
      </c>
      <c r="BK37">
        <v>-275</v>
      </c>
      <c r="BL37" t="s">
        <v>132</v>
      </c>
      <c r="BM37">
        <v>1</v>
      </c>
      <c r="BN37">
        <v>1</v>
      </c>
      <c r="BO37">
        <v>1</v>
      </c>
      <c r="BP37">
        <v>0</v>
      </c>
      <c r="BT37">
        <v>0</v>
      </c>
      <c r="BU37">
        <v>0</v>
      </c>
      <c r="CE37" t="str">
        <f>"15:37:35.923"</f>
        <v>15:37:35.923</v>
      </c>
      <c r="CF37">
        <v>922719475</v>
      </c>
      <c r="CS37">
        <v>0</v>
      </c>
      <c r="CT37">
        <v>2</v>
      </c>
      <c r="CU37">
        <v>0</v>
      </c>
      <c r="CV37">
        <v>2</v>
      </c>
      <c r="CW37">
        <v>0</v>
      </c>
      <c r="CX37">
        <v>5</v>
      </c>
      <c r="CY37">
        <v>7</v>
      </c>
      <c r="CZ37" t="s">
        <v>133</v>
      </c>
      <c r="DA37">
        <v>125</v>
      </c>
      <c r="DB37">
        <v>1</v>
      </c>
      <c r="DC37" t="s">
        <v>134</v>
      </c>
      <c r="DD37" t="s">
        <v>135</v>
      </c>
      <c r="DG37">
        <v>2446648</v>
      </c>
      <c r="DI37">
        <v>0</v>
      </c>
      <c r="DJ37">
        <v>0</v>
      </c>
      <c r="DK37">
        <v>1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</row>
    <row r="38" spans="1:123" x14ac:dyDescent="0.25">
      <c r="A38" t="str">
        <f>"04/17/2026 15:37:37.077"</f>
        <v>04/17/2026 15:37:37.077</v>
      </c>
      <c r="C38" t="str">
        <f t="shared" si="0"/>
        <v>FFDFD3C0</v>
      </c>
      <c r="D38" t="s">
        <v>139</v>
      </c>
      <c r="E38" t="str">
        <f>"28"</f>
        <v>28</v>
      </c>
      <c r="H38">
        <v>140</v>
      </c>
      <c r="I38" t="s">
        <v>140</v>
      </c>
      <c r="J38" t="s">
        <v>141</v>
      </c>
      <c r="K38">
        <v>0</v>
      </c>
      <c r="L38">
        <v>3</v>
      </c>
      <c r="M38">
        <v>0</v>
      </c>
      <c r="N38">
        <v>2</v>
      </c>
      <c r="O38">
        <v>1</v>
      </c>
      <c r="P38">
        <v>0</v>
      </c>
      <c r="Q38">
        <v>0</v>
      </c>
      <c r="R38" t="s">
        <v>127</v>
      </c>
      <c r="S38" t="str">
        <f>"15:37:36.836"</f>
        <v>15:37:36.836</v>
      </c>
      <c r="T38" t="str">
        <f>"15:37:36.436"</f>
        <v>15:37:36.436</v>
      </c>
      <c r="U38" t="str">
        <f t="shared" si="2"/>
        <v>A55E09</v>
      </c>
      <c r="V38">
        <v>0</v>
      </c>
      <c r="W38">
        <v>0</v>
      </c>
      <c r="X38">
        <v>2</v>
      </c>
      <c r="Y38">
        <v>0</v>
      </c>
      <c r="AA38">
        <v>0</v>
      </c>
      <c r="AB38">
        <v>9</v>
      </c>
      <c r="AC38">
        <v>3</v>
      </c>
      <c r="AD38">
        <v>0</v>
      </c>
      <c r="AE38">
        <v>9</v>
      </c>
      <c r="AF38" t="s">
        <v>128</v>
      </c>
      <c r="AG38">
        <v>0</v>
      </c>
      <c r="AH38">
        <v>0</v>
      </c>
      <c r="AI38">
        <v>1</v>
      </c>
      <c r="AJ38">
        <v>0</v>
      </c>
      <c r="AK38" t="s">
        <v>156</v>
      </c>
      <c r="AL38">
        <v>33.662474000000003</v>
      </c>
      <c r="AM38" t="s">
        <v>153</v>
      </c>
      <c r="AN38">
        <v>-101.199124</v>
      </c>
      <c r="AO38">
        <v>100</v>
      </c>
      <c r="AP38">
        <v>3200</v>
      </c>
      <c r="AQ38" t="s">
        <v>131</v>
      </c>
      <c r="AR38">
        <v>2</v>
      </c>
      <c r="AS38">
        <v>-39</v>
      </c>
      <c r="AT38">
        <v>64</v>
      </c>
      <c r="BB38" t="str">
        <f t="shared" si="3"/>
        <v>1200</v>
      </c>
      <c r="BC38">
        <v>1</v>
      </c>
      <c r="BD38" t="str">
        <f t="shared" si="4"/>
        <v xml:space="preserve">N445JS  </v>
      </c>
      <c r="BE38">
        <v>7</v>
      </c>
      <c r="BG38">
        <v>0</v>
      </c>
      <c r="BH38">
        <v>0</v>
      </c>
      <c r="BI38">
        <v>0</v>
      </c>
      <c r="BJ38">
        <v>2925</v>
      </c>
      <c r="BK38">
        <v>-275</v>
      </c>
      <c r="BL38" t="s">
        <v>132</v>
      </c>
      <c r="BM38">
        <v>1</v>
      </c>
      <c r="BN38">
        <v>1</v>
      </c>
      <c r="BO38">
        <v>1</v>
      </c>
      <c r="BP38">
        <v>0</v>
      </c>
      <c r="BT38">
        <v>0</v>
      </c>
      <c r="BU38">
        <v>0</v>
      </c>
      <c r="CE38" t="str">
        <f>"15:37:36.838"</f>
        <v>15:37:36.838</v>
      </c>
      <c r="CF38">
        <v>837629849</v>
      </c>
      <c r="CS38">
        <v>0</v>
      </c>
      <c r="CT38">
        <v>2</v>
      </c>
      <c r="CU38">
        <v>0</v>
      </c>
      <c r="CV38">
        <v>2</v>
      </c>
      <c r="CW38">
        <v>0</v>
      </c>
      <c r="CX38">
        <v>6</v>
      </c>
      <c r="CY38">
        <v>7</v>
      </c>
      <c r="CZ38" t="s">
        <v>133</v>
      </c>
      <c r="DA38">
        <v>125</v>
      </c>
      <c r="DB38">
        <v>1</v>
      </c>
      <c r="DC38" t="s">
        <v>134</v>
      </c>
      <c r="DD38" t="s">
        <v>135</v>
      </c>
      <c r="DG38">
        <v>2447559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</row>
    <row r="39" spans="1:123" x14ac:dyDescent="0.25">
      <c r="A39" t="str">
        <f>"04/17/2026 15:37:37.104"</f>
        <v>04/17/2026 15:37:37.104</v>
      </c>
      <c r="C39" t="str">
        <f t="shared" si="0"/>
        <v>FFDFD3C0</v>
      </c>
      <c r="D39" t="s">
        <v>124</v>
      </c>
      <c r="E39" t="str">
        <f>"03"</f>
        <v>03</v>
      </c>
      <c r="H39">
        <v>160</v>
      </c>
      <c r="I39" t="s">
        <v>125</v>
      </c>
      <c r="J39" t="s">
        <v>126</v>
      </c>
      <c r="K39">
        <v>0</v>
      </c>
      <c r="L39">
        <v>3</v>
      </c>
      <c r="M39">
        <v>0</v>
      </c>
      <c r="N39">
        <v>2</v>
      </c>
      <c r="O39">
        <v>1</v>
      </c>
      <c r="P39">
        <v>0</v>
      </c>
      <c r="Q39">
        <v>0</v>
      </c>
      <c r="R39" t="s">
        <v>127</v>
      </c>
      <c r="S39" t="str">
        <f>"15:37:36.836"</f>
        <v>15:37:36.836</v>
      </c>
      <c r="T39" t="str">
        <f>"15:37:36.436"</f>
        <v>15:37:36.436</v>
      </c>
      <c r="U39" t="str">
        <f t="shared" si="2"/>
        <v>A55E09</v>
      </c>
      <c r="V39">
        <v>0</v>
      </c>
      <c r="W39">
        <v>0</v>
      </c>
      <c r="X39">
        <v>2</v>
      </c>
      <c r="Y39">
        <v>0</v>
      </c>
      <c r="AA39">
        <v>0</v>
      </c>
      <c r="AB39">
        <v>9</v>
      </c>
      <c r="AC39">
        <v>3</v>
      </c>
      <c r="AD39">
        <v>0</v>
      </c>
      <c r="AE39">
        <v>9</v>
      </c>
      <c r="AF39" t="s">
        <v>128</v>
      </c>
      <c r="AG39">
        <v>0</v>
      </c>
      <c r="AH39">
        <v>0</v>
      </c>
      <c r="AI39">
        <v>1</v>
      </c>
      <c r="AJ39">
        <v>0</v>
      </c>
      <c r="AK39" t="s">
        <v>156</v>
      </c>
      <c r="AL39">
        <v>33.662474000000003</v>
      </c>
      <c r="AM39" t="s">
        <v>153</v>
      </c>
      <c r="AN39">
        <v>-101.199124</v>
      </c>
      <c r="AO39">
        <v>100</v>
      </c>
      <c r="AP39">
        <v>3200</v>
      </c>
      <c r="AQ39" t="s">
        <v>131</v>
      </c>
      <c r="AR39">
        <v>2</v>
      </c>
      <c r="AS39">
        <v>-39</v>
      </c>
      <c r="AT39">
        <v>64</v>
      </c>
      <c r="BB39" t="str">
        <f t="shared" si="3"/>
        <v>1200</v>
      </c>
      <c r="BC39">
        <v>1</v>
      </c>
      <c r="BD39" t="str">
        <f t="shared" si="4"/>
        <v xml:space="preserve">N445JS  </v>
      </c>
      <c r="BE39">
        <v>7</v>
      </c>
      <c r="BG39">
        <v>0</v>
      </c>
      <c r="BH39">
        <v>0</v>
      </c>
      <c r="BI39">
        <v>0</v>
      </c>
      <c r="BJ39">
        <v>2925</v>
      </c>
      <c r="BK39">
        <v>-275</v>
      </c>
      <c r="BL39" t="s">
        <v>132</v>
      </c>
      <c r="BM39">
        <v>1</v>
      </c>
      <c r="BN39">
        <v>1</v>
      </c>
      <c r="BO39">
        <v>1</v>
      </c>
      <c r="BP39">
        <v>0</v>
      </c>
      <c r="BT39">
        <v>0</v>
      </c>
      <c r="BU39">
        <v>0</v>
      </c>
      <c r="CE39" t="str">
        <f>"15:37:36.838"</f>
        <v>15:37:36.838</v>
      </c>
      <c r="CF39">
        <v>837629849</v>
      </c>
      <c r="CS39">
        <v>0</v>
      </c>
      <c r="CT39">
        <v>2</v>
      </c>
      <c r="CU39">
        <v>0</v>
      </c>
      <c r="CV39">
        <v>2</v>
      </c>
      <c r="CW39">
        <v>0</v>
      </c>
      <c r="CX39">
        <v>6</v>
      </c>
      <c r="CY39">
        <v>7</v>
      </c>
      <c r="CZ39" t="s">
        <v>133</v>
      </c>
      <c r="DA39">
        <v>125</v>
      </c>
      <c r="DB39">
        <v>1</v>
      </c>
      <c r="DC39" t="s">
        <v>134</v>
      </c>
      <c r="DD39" t="s">
        <v>135</v>
      </c>
      <c r="DG39">
        <v>2447559</v>
      </c>
      <c r="DI39">
        <v>0</v>
      </c>
      <c r="DJ39">
        <v>0</v>
      </c>
      <c r="DK39">
        <v>1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</row>
    <row r="40" spans="1:123" x14ac:dyDescent="0.25">
      <c r="A40" t="str">
        <f>"04/17/2026 15:37:37.106"</f>
        <v>04/17/2026 15:37:37.106</v>
      </c>
      <c r="C40" t="str">
        <f t="shared" si="0"/>
        <v>FFDFD3C0</v>
      </c>
      <c r="D40" t="s">
        <v>136</v>
      </c>
      <c r="E40" t="str">
        <f>"0E"</f>
        <v>0E</v>
      </c>
      <c r="F40">
        <v>1014</v>
      </c>
      <c r="G40" t="s">
        <v>125</v>
      </c>
      <c r="J40" t="s">
        <v>137</v>
      </c>
      <c r="K40">
        <v>0</v>
      </c>
      <c r="L40">
        <v>3</v>
      </c>
      <c r="M40">
        <v>0</v>
      </c>
      <c r="N40">
        <v>2</v>
      </c>
      <c r="O40">
        <v>1</v>
      </c>
      <c r="P40">
        <v>0</v>
      </c>
      <c r="Q40">
        <v>0</v>
      </c>
      <c r="R40" t="s">
        <v>127</v>
      </c>
      <c r="S40" t="str">
        <f>"15:37:36.836"</f>
        <v>15:37:36.836</v>
      </c>
      <c r="T40" t="str">
        <f>"15:37:36.436"</f>
        <v>15:37:36.436</v>
      </c>
      <c r="U40" t="str">
        <f t="shared" si="2"/>
        <v>A55E09</v>
      </c>
      <c r="V40">
        <v>0</v>
      </c>
      <c r="W40">
        <v>0</v>
      </c>
      <c r="X40">
        <v>2</v>
      </c>
      <c r="Y40">
        <v>0</v>
      </c>
      <c r="AA40">
        <v>0</v>
      </c>
      <c r="AB40">
        <v>9</v>
      </c>
      <c r="AC40">
        <v>3</v>
      </c>
      <c r="AD40">
        <v>0</v>
      </c>
      <c r="AE40">
        <v>9</v>
      </c>
      <c r="AF40" t="s">
        <v>128</v>
      </c>
      <c r="AG40">
        <v>0</v>
      </c>
      <c r="AH40">
        <v>0</v>
      </c>
      <c r="AI40">
        <v>1</v>
      </c>
      <c r="AJ40">
        <v>0</v>
      </c>
      <c r="AK40" t="s">
        <v>156</v>
      </c>
      <c r="AL40">
        <v>33.662474000000003</v>
      </c>
      <c r="AM40" t="s">
        <v>153</v>
      </c>
      <c r="AN40">
        <v>-101.199124</v>
      </c>
      <c r="AO40">
        <v>100</v>
      </c>
      <c r="AP40">
        <v>3200</v>
      </c>
      <c r="AQ40" t="s">
        <v>131</v>
      </c>
      <c r="AR40">
        <v>2</v>
      </c>
      <c r="AS40">
        <v>-39</v>
      </c>
      <c r="AT40">
        <v>64</v>
      </c>
      <c r="BB40" t="str">
        <f t="shared" si="3"/>
        <v>1200</v>
      </c>
      <c r="BC40">
        <v>1</v>
      </c>
      <c r="BD40" t="str">
        <f t="shared" si="4"/>
        <v xml:space="preserve">N445JS  </v>
      </c>
      <c r="BE40">
        <v>7</v>
      </c>
      <c r="BG40">
        <v>0</v>
      </c>
      <c r="BH40">
        <v>0</v>
      </c>
      <c r="BI40">
        <v>0</v>
      </c>
      <c r="BJ40">
        <v>2925</v>
      </c>
      <c r="BK40">
        <v>-275</v>
      </c>
      <c r="BL40" t="s">
        <v>132</v>
      </c>
      <c r="BM40">
        <v>1</v>
      </c>
      <c r="BN40">
        <v>1</v>
      </c>
      <c r="BO40">
        <v>1</v>
      </c>
      <c r="BP40">
        <v>0</v>
      </c>
      <c r="BT40">
        <v>0</v>
      </c>
      <c r="BU40">
        <v>0</v>
      </c>
      <c r="CE40" t="str">
        <f>"15:37:36.838"</f>
        <v>15:37:36.838</v>
      </c>
      <c r="CF40">
        <v>837629849</v>
      </c>
      <c r="CS40">
        <v>0</v>
      </c>
      <c r="CT40">
        <v>2</v>
      </c>
      <c r="CU40">
        <v>0</v>
      </c>
      <c r="CV40">
        <v>2</v>
      </c>
      <c r="CW40">
        <v>0</v>
      </c>
      <c r="CX40">
        <v>6</v>
      </c>
      <c r="CY40">
        <v>7</v>
      </c>
      <c r="CZ40" t="s">
        <v>133</v>
      </c>
      <c r="DA40">
        <v>125</v>
      </c>
      <c r="DB40">
        <v>1</v>
      </c>
      <c r="DC40" t="s">
        <v>134</v>
      </c>
      <c r="DD40" t="s">
        <v>135</v>
      </c>
      <c r="DG40">
        <v>2447559</v>
      </c>
      <c r="DI40">
        <v>0</v>
      </c>
      <c r="DJ40">
        <v>0</v>
      </c>
      <c r="DK40">
        <v>1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</row>
    <row r="41" spans="1:123" x14ac:dyDescent="0.25">
      <c r="A41" t="str">
        <f>"04/17/2026 15:37:37.107"</f>
        <v>04/17/2026 15:37:37.107</v>
      </c>
      <c r="C41" t="str">
        <f t="shared" si="0"/>
        <v>FFDFD3C0</v>
      </c>
      <c r="D41" t="s">
        <v>136</v>
      </c>
      <c r="E41" t="str">
        <f>"0F"</f>
        <v>0F</v>
      </c>
      <c r="F41">
        <v>1015</v>
      </c>
      <c r="G41" t="s">
        <v>138</v>
      </c>
      <c r="J41" t="s">
        <v>137</v>
      </c>
      <c r="K41">
        <v>0</v>
      </c>
      <c r="L41">
        <v>3</v>
      </c>
      <c r="M41">
        <v>0</v>
      </c>
      <c r="N41">
        <v>2</v>
      </c>
      <c r="O41">
        <v>1</v>
      </c>
      <c r="P41">
        <v>0</v>
      </c>
      <c r="Q41">
        <v>0</v>
      </c>
      <c r="R41" t="s">
        <v>127</v>
      </c>
      <c r="S41" t="str">
        <f>"15:37:36.836"</f>
        <v>15:37:36.836</v>
      </c>
      <c r="T41" t="str">
        <f>"15:37:36.436"</f>
        <v>15:37:36.436</v>
      </c>
      <c r="U41" t="str">
        <f t="shared" si="2"/>
        <v>A55E09</v>
      </c>
      <c r="V41">
        <v>0</v>
      </c>
      <c r="W41">
        <v>0</v>
      </c>
      <c r="X41">
        <v>2</v>
      </c>
      <c r="Y41">
        <v>0</v>
      </c>
      <c r="AA41">
        <v>0</v>
      </c>
      <c r="AB41">
        <v>9</v>
      </c>
      <c r="AC41">
        <v>3</v>
      </c>
      <c r="AD41">
        <v>0</v>
      </c>
      <c r="AE41">
        <v>9</v>
      </c>
      <c r="AF41" t="s">
        <v>128</v>
      </c>
      <c r="AG41">
        <v>0</v>
      </c>
      <c r="AH41">
        <v>0</v>
      </c>
      <c r="AI41">
        <v>1</v>
      </c>
      <c r="AJ41">
        <v>0</v>
      </c>
      <c r="AK41" t="s">
        <v>156</v>
      </c>
      <c r="AL41">
        <v>33.662474000000003</v>
      </c>
      <c r="AM41" t="s">
        <v>153</v>
      </c>
      <c r="AN41">
        <v>-101.199124</v>
      </c>
      <c r="AO41">
        <v>100</v>
      </c>
      <c r="AP41">
        <v>3200</v>
      </c>
      <c r="AQ41" t="s">
        <v>131</v>
      </c>
      <c r="AR41">
        <v>2</v>
      </c>
      <c r="AS41">
        <v>-39</v>
      </c>
      <c r="AT41">
        <v>64</v>
      </c>
      <c r="BB41" t="str">
        <f t="shared" si="3"/>
        <v>1200</v>
      </c>
      <c r="BC41">
        <v>1</v>
      </c>
      <c r="BD41" t="str">
        <f t="shared" si="4"/>
        <v xml:space="preserve">N445JS  </v>
      </c>
      <c r="BE41">
        <v>7</v>
      </c>
      <c r="BG41">
        <v>0</v>
      </c>
      <c r="BH41">
        <v>0</v>
      </c>
      <c r="BI41">
        <v>0</v>
      </c>
      <c r="BJ41">
        <v>2925</v>
      </c>
      <c r="BK41">
        <v>-275</v>
      </c>
      <c r="BL41" t="s">
        <v>132</v>
      </c>
      <c r="BM41">
        <v>1</v>
      </c>
      <c r="BN41">
        <v>1</v>
      </c>
      <c r="BO41">
        <v>1</v>
      </c>
      <c r="BP41">
        <v>0</v>
      </c>
      <c r="BT41">
        <v>0</v>
      </c>
      <c r="BU41">
        <v>0</v>
      </c>
      <c r="CE41" t="str">
        <f>"15:37:36.838"</f>
        <v>15:37:36.838</v>
      </c>
      <c r="CF41">
        <v>837629849</v>
      </c>
      <c r="CS41">
        <v>0</v>
      </c>
      <c r="CT41">
        <v>2</v>
      </c>
      <c r="CU41">
        <v>0</v>
      </c>
      <c r="CV41">
        <v>2</v>
      </c>
      <c r="CW41">
        <v>0</v>
      </c>
      <c r="CX41">
        <v>6</v>
      </c>
      <c r="CY41">
        <v>7</v>
      </c>
      <c r="CZ41" t="s">
        <v>133</v>
      </c>
      <c r="DA41">
        <v>125</v>
      </c>
      <c r="DB41">
        <v>1</v>
      </c>
      <c r="DC41" t="s">
        <v>134</v>
      </c>
      <c r="DD41" t="s">
        <v>135</v>
      </c>
      <c r="DG41">
        <v>2447559</v>
      </c>
      <c r="DI41">
        <v>0</v>
      </c>
      <c r="DJ41">
        <v>0</v>
      </c>
      <c r="DK41">
        <v>1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0</v>
      </c>
    </row>
    <row r="42" spans="1:123" x14ac:dyDescent="0.25">
      <c r="A42" t="str">
        <f>"04/17/2026 15:37:38.156"</f>
        <v>04/17/2026 15:37:38.156</v>
      </c>
      <c r="C42" t="str">
        <f t="shared" si="0"/>
        <v>FFDFD3C0</v>
      </c>
      <c r="D42" t="s">
        <v>124</v>
      </c>
      <c r="E42" t="str">
        <f>"03"</f>
        <v>03</v>
      </c>
      <c r="H42">
        <v>160</v>
      </c>
      <c r="I42" t="s">
        <v>125</v>
      </c>
      <c r="J42" t="s">
        <v>126</v>
      </c>
      <c r="K42">
        <v>0</v>
      </c>
      <c r="L42">
        <v>3</v>
      </c>
      <c r="M42">
        <v>0</v>
      </c>
      <c r="N42">
        <v>2</v>
      </c>
      <c r="O42">
        <v>1</v>
      </c>
      <c r="P42">
        <v>0</v>
      </c>
      <c r="Q42">
        <v>0</v>
      </c>
      <c r="R42" t="s">
        <v>127</v>
      </c>
      <c r="S42" t="str">
        <f>"15:37:37.914"</f>
        <v>15:37:37.914</v>
      </c>
      <c r="T42" t="str">
        <f>"15:37:37.014"</f>
        <v>15:37:37.014</v>
      </c>
      <c r="U42" t="str">
        <f t="shared" si="2"/>
        <v>A55E09</v>
      </c>
      <c r="V42">
        <v>0</v>
      </c>
      <c r="W42">
        <v>0</v>
      </c>
      <c r="X42">
        <v>2</v>
      </c>
      <c r="Y42">
        <v>0</v>
      </c>
      <c r="AA42">
        <v>0</v>
      </c>
      <c r="AB42">
        <v>9</v>
      </c>
      <c r="AC42">
        <v>3</v>
      </c>
      <c r="AD42">
        <v>0</v>
      </c>
      <c r="AE42">
        <v>9</v>
      </c>
      <c r="AF42" t="s">
        <v>128</v>
      </c>
      <c r="AG42">
        <v>0</v>
      </c>
      <c r="AH42">
        <v>0</v>
      </c>
      <c r="AI42">
        <v>1</v>
      </c>
      <c r="AJ42">
        <v>0</v>
      </c>
      <c r="AK42" t="s">
        <v>157</v>
      </c>
      <c r="AL42">
        <v>33.662301999999997</v>
      </c>
      <c r="AM42" t="s">
        <v>155</v>
      </c>
      <c r="AN42">
        <v>-101.199167</v>
      </c>
      <c r="AO42">
        <v>100</v>
      </c>
      <c r="AP42">
        <v>3200</v>
      </c>
      <c r="AQ42" t="s">
        <v>131</v>
      </c>
      <c r="AR42">
        <v>-1</v>
      </c>
      <c r="AS42">
        <v>-40</v>
      </c>
      <c r="AT42">
        <v>64</v>
      </c>
      <c r="BB42" t="str">
        <f t="shared" si="3"/>
        <v>1200</v>
      </c>
      <c r="BC42">
        <v>1</v>
      </c>
      <c r="BD42" t="str">
        <f t="shared" si="4"/>
        <v xml:space="preserve">N445JS  </v>
      </c>
      <c r="BE42">
        <v>7</v>
      </c>
      <c r="BG42">
        <v>0</v>
      </c>
      <c r="BH42">
        <v>0</v>
      </c>
      <c r="BI42">
        <v>0</v>
      </c>
      <c r="BJ42">
        <v>2925</v>
      </c>
      <c r="BK42">
        <v>-275</v>
      </c>
      <c r="BL42" t="s">
        <v>132</v>
      </c>
      <c r="BM42">
        <v>1</v>
      </c>
      <c r="BN42">
        <v>1</v>
      </c>
      <c r="BO42">
        <v>1</v>
      </c>
      <c r="BP42">
        <v>0</v>
      </c>
      <c r="BT42">
        <v>0</v>
      </c>
      <c r="BU42">
        <v>0</v>
      </c>
      <c r="CE42" t="str">
        <f>"15:37:37.918"</f>
        <v>15:37:37.918</v>
      </c>
      <c r="CF42">
        <v>917524035</v>
      </c>
      <c r="CS42">
        <v>0</v>
      </c>
      <c r="CT42">
        <v>2</v>
      </c>
      <c r="CU42">
        <v>0</v>
      </c>
      <c r="CV42">
        <v>2</v>
      </c>
      <c r="CW42">
        <v>0</v>
      </c>
      <c r="CX42">
        <v>6</v>
      </c>
      <c r="CY42">
        <v>7</v>
      </c>
      <c r="CZ42" t="s">
        <v>133</v>
      </c>
      <c r="DA42">
        <v>125</v>
      </c>
      <c r="DB42">
        <v>1</v>
      </c>
      <c r="DC42" t="s">
        <v>134</v>
      </c>
      <c r="DD42" t="s">
        <v>135</v>
      </c>
      <c r="DG42">
        <v>2448594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</row>
    <row r="43" spans="1:123" x14ac:dyDescent="0.25">
      <c r="A43" t="str">
        <f>"04/17/2026 15:37:38.158"</f>
        <v>04/17/2026 15:37:38.158</v>
      </c>
      <c r="C43" t="str">
        <f t="shared" si="0"/>
        <v>FFDFD3C0</v>
      </c>
      <c r="D43" t="s">
        <v>136</v>
      </c>
      <c r="E43" t="str">
        <f>"0E"</f>
        <v>0E</v>
      </c>
      <c r="F43">
        <v>1014</v>
      </c>
      <c r="G43" t="s">
        <v>125</v>
      </c>
      <c r="J43" t="s">
        <v>137</v>
      </c>
      <c r="K43">
        <v>0</v>
      </c>
      <c r="L43">
        <v>3</v>
      </c>
      <c r="M43">
        <v>0</v>
      </c>
      <c r="N43">
        <v>2</v>
      </c>
      <c r="O43">
        <v>1</v>
      </c>
      <c r="P43">
        <v>0</v>
      </c>
      <c r="Q43">
        <v>0</v>
      </c>
      <c r="R43" t="s">
        <v>127</v>
      </c>
      <c r="S43" t="str">
        <f>"15:37:37.914"</f>
        <v>15:37:37.914</v>
      </c>
      <c r="T43" t="str">
        <f>"15:37:37.014"</f>
        <v>15:37:37.014</v>
      </c>
      <c r="U43" t="str">
        <f t="shared" si="2"/>
        <v>A55E09</v>
      </c>
      <c r="V43">
        <v>0</v>
      </c>
      <c r="W43">
        <v>0</v>
      </c>
      <c r="X43">
        <v>2</v>
      </c>
      <c r="Y43">
        <v>0</v>
      </c>
      <c r="AA43">
        <v>0</v>
      </c>
      <c r="AB43">
        <v>9</v>
      </c>
      <c r="AC43">
        <v>3</v>
      </c>
      <c r="AD43">
        <v>0</v>
      </c>
      <c r="AE43">
        <v>9</v>
      </c>
      <c r="AF43" t="s">
        <v>128</v>
      </c>
      <c r="AG43">
        <v>0</v>
      </c>
      <c r="AH43">
        <v>0</v>
      </c>
      <c r="AI43">
        <v>1</v>
      </c>
      <c r="AJ43">
        <v>0</v>
      </c>
      <c r="AK43" t="s">
        <v>157</v>
      </c>
      <c r="AL43">
        <v>33.662301999999997</v>
      </c>
      <c r="AM43" t="s">
        <v>155</v>
      </c>
      <c r="AN43">
        <v>-101.199167</v>
      </c>
      <c r="AO43">
        <v>100</v>
      </c>
      <c r="AP43">
        <v>3200</v>
      </c>
      <c r="AQ43" t="s">
        <v>131</v>
      </c>
      <c r="AR43">
        <v>-1</v>
      </c>
      <c r="AS43">
        <v>-40</v>
      </c>
      <c r="AT43">
        <v>64</v>
      </c>
      <c r="BB43" t="str">
        <f t="shared" si="3"/>
        <v>1200</v>
      </c>
      <c r="BC43">
        <v>1</v>
      </c>
      <c r="BD43" t="str">
        <f t="shared" si="4"/>
        <v xml:space="preserve">N445JS  </v>
      </c>
      <c r="BE43">
        <v>7</v>
      </c>
      <c r="BG43">
        <v>0</v>
      </c>
      <c r="BH43">
        <v>0</v>
      </c>
      <c r="BI43">
        <v>0</v>
      </c>
      <c r="BJ43">
        <v>2925</v>
      </c>
      <c r="BK43">
        <v>-275</v>
      </c>
      <c r="BL43" t="s">
        <v>132</v>
      </c>
      <c r="BM43">
        <v>1</v>
      </c>
      <c r="BN43">
        <v>1</v>
      </c>
      <c r="BO43">
        <v>1</v>
      </c>
      <c r="BP43">
        <v>0</v>
      </c>
      <c r="BT43">
        <v>0</v>
      </c>
      <c r="BU43">
        <v>0</v>
      </c>
      <c r="CE43" t="str">
        <f>"15:37:37.918"</f>
        <v>15:37:37.918</v>
      </c>
      <c r="CF43">
        <v>917524035</v>
      </c>
      <c r="CS43">
        <v>0</v>
      </c>
      <c r="CT43">
        <v>2</v>
      </c>
      <c r="CU43">
        <v>0</v>
      </c>
      <c r="CV43">
        <v>2</v>
      </c>
      <c r="CW43">
        <v>0</v>
      </c>
      <c r="CX43">
        <v>6</v>
      </c>
      <c r="CY43">
        <v>7</v>
      </c>
      <c r="CZ43" t="s">
        <v>133</v>
      </c>
      <c r="DA43">
        <v>125</v>
      </c>
      <c r="DB43">
        <v>1</v>
      </c>
      <c r="DC43" t="s">
        <v>134</v>
      </c>
      <c r="DD43" t="s">
        <v>135</v>
      </c>
      <c r="DG43">
        <v>2448594</v>
      </c>
      <c r="DI43">
        <v>0</v>
      </c>
      <c r="DJ43">
        <v>0</v>
      </c>
      <c r="DK43">
        <v>1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</row>
    <row r="44" spans="1:123" x14ac:dyDescent="0.25">
      <c r="A44" t="str">
        <f>"04/17/2026 15:37:38.159"</f>
        <v>04/17/2026 15:37:38.159</v>
      </c>
      <c r="C44" t="str">
        <f t="shared" si="0"/>
        <v>FFDFD3C0</v>
      </c>
      <c r="D44" t="s">
        <v>136</v>
      </c>
      <c r="E44" t="str">
        <f>"0F"</f>
        <v>0F</v>
      </c>
      <c r="F44">
        <v>1015</v>
      </c>
      <c r="G44" t="s">
        <v>138</v>
      </c>
      <c r="J44" t="s">
        <v>137</v>
      </c>
      <c r="K44">
        <v>0</v>
      </c>
      <c r="L44">
        <v>3</v>
      </c>
      <c r="M44">
        <v>0</v>
      </c>
      <c r="N44">
        <v>2</v>
      </c>
      <c r="O44">
        <v>1</v>
      </c>
      <c r="P44">
        <v>0</v>
      </c>
      <c r="Q44">
        <v>0</v>
      </c>
      <c r="R44" t="s">
        <v>127</v>
      </c>
      <c r="S44" t="str">
        <f>"15:37:37.914"</f>
        <v>15:37:37.914</v>
      </c>
      <c r="T44" t="str">
        <f>"15:37:37.014"</f>
        <v>15:37:37.014</v>
      </c>
      <c r="U44" t="str">
        <f t="shared" si="2"/>
        <v>A55E09</v>
      </c>
      <c r="V44">
        <v>0</v>
      </c>
      <c r="W44">
        <v>0</v>
      </c>
      <c r="X44">
        <v>2</v>
      </c>
      <c r="Y44">
        <v>0</v>
      </c>
      <c r="AA44">
        <v>0</v>
      </c>
      <c r="AB44">
        <v>9</v>
      </c>
      <c r="AC44">
        <v>3</v>
      </c>
      <c r="AD44">
        <v>0</v>
      </c>
      <c r="AE44">
        <v>9</v>
      </c>
      <c r="AF44" t="s">
        <v>128</v>
      </c>
      <c r="AG44">
        <v>0</v>
      </c>
      <c r="AH44">
        <v>0</v>
      </c>
      <c r="AI44">
        <v>1</v>
      </c>
      <c r="AJ44">
        <v>0</v>
      </c>
      <c r="AK44" t="s">
        <v>157</v>
      </c>
      <c r="AL44">
        <v>33.662301999999997</v>
      </c>
      <c r="AM44" t="s">
        <v>155</v>
      </c>
      <c r="AN44">
        <v>-101.199167</v>
      </c>
      <c r="AO44">
        <v>100</v>
      </c>
      <c r="AP44">
        <v>3200</v>
      </c>
      <c r="AQ44" t="s">
        <v>131</v>
      </c>
      <c r="AR44">
        <v>-1</v>
      </c>
      <c r="AS44">
        <v>-40</v>
      </c>
      <c r="AT44">
        <v>64</v>
      </c>
      <c r="BB44" t="str">
        <f t="shared" si="3"/>
        <v>1200</v>
      </c>
      <c r="BC44">
        <v>1</v>
      </c>
      <c r="BD44" t="str">
        <f t="shared" si="4"/>
        <v xml:space="preserve">N445JS  </v>
      </c>
      <c r="BE44">
        <v>7</v>
      </c>
      <c r="BG44">
        <v>0</v>
      </c>
      <c r="BH44">
        <v>0</v>
      </c>
      <c r="BI44">
        <v>0</v>
      </c>
      <c r="BJ44">
        <v>2925</v>
      </c>
      <c r="BK44">
        <v>-275</v>
      </c>
      <c r="BL44" t="s">
        <v>132</v>
      </c>
      <c r="BM44">
        <v>1</v>
      </c>
      <c r="BN44">
        <v>1</v>
      </c>
      <c r="BO44">
        <v>1</v>
      </c>
      <c r="BP44">
        <v>0</v>
      </c>
      <c r="BT44">
        <v>0</v>
      </c>
      <c r="BU44">
        <v>0</v>
      </c>
      <c r="CE44" t="str">
        <f>"15:37:37.918"</f>
        <v>15:37:37.918</v>
      </c>
      <c r="CF44">
        <v>917524035</v>
      </c>
      <c r="CS44">
        <v>0</v>
      </c>
      <c r="CT44">
        <v>2</v>
      </c>
      <c r="CU44">
        <v>0</v>
      </c>
      <c r="CV44">
        <v>2</v>
      </c>
      <c r="CW44">
        <v>0</v>
      </c>
      <c r="CX44">
        <v>6</v>
      </c>
      <c r="CY44">
        <v>7</v>
      </c>
      <c r="CZ44" t="s">
        <v>133</v>
      </c>
      <c r="DA44">
        <v>125</v>
      </c>
      <c r="DB44">
        <v>1</v>
      </c>
      <c r="DC44" t="s">
        <v>134</v>
      </c>
      <c r="DD44" t="s">
        <v>135</v>
      </c>
      <c r="DG44">
        <v>2448594</v>
      </c>
      <c r="DI44">
        <v>0</v>
      </c>
      <c r="DJ44">
        <v>0</v>
      </c>
      <c r="DK44">
        <v>1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</v>
      </c>
    </row>
    <row r="45" spans="1:123" x14ac:dyDescent="0.25">
      <c r="A45" t="str">
        <f>"04/17/2026 15:37:38.179"</f>
        <v>04/17/2026 15:37:38.179</v>
      </c>
      <c r="C45" t="str">
        <f t="shared" si="0"/>
        <v>FFDFD3C0</v>
      </c>
      <c r="D45" t="s">
        <v>139</v>
      </c>
      <c r="E45" t="str">
        <f>"28"</f>
        <v>28</v>
      </c>
      <c r="H45">
        <v>140</v>
      </c>
      <c r="I45" t="s">
        <v>140</v>
      </c>
      <c r="J45" t="s">
        <v>141</v>
      </c>
      <c r="K45">
        <v>0</v>
      </c>
      <c r="L45">
        <v>3</v>
      </c>
      <c r="M45">
        <v>0</v>
      </c>
      <c r="N45">
        <v>2</v>
      </c>
      <c r="O45">
        <v>1</v>
      </c>
      <c r="P45">
        <v>0</v>
      </c>
      <c r="Q45">
        <v>0</v>
      </c>
      <c r="R45" t="s">
        <v>127</v>
      </c>
      <c r="S45" t="str">
        <f>"15:37:37.914"</f>
        <v>15:37:37.914</v>
      </c>
      <c r="T45" t="str">
        <f>"15:37:37.014"</f>
        <v>15:37:37.014</v>
      </c>
      <c r="U45" t="str">
        <f t="shared" si="2"/>
        <v>A55E09</v>
      </c>
      <c r="V45">
        <v>0</v>
      </c>
      <c r="W45">
        <v>0</v>
      </c>
      <c r="X45">
        <v>2</v>
      </c>
      <c r="Y45">
        <v>0</v>
      </c>
      <c r="AA45">
        <v>0</v>
      </c>
      <c r="AB45">
        <v>9</v>
      </c>
      <c r="AC45">
        <v>3</v>
      </c>
      <c r="AD45">
        <v>0</v>
      </c>
      <c r="AE45">
        <v>9</v>
      </c>
      <c r="AF45" t="s">
        <v>128</v>
      </c>
      <c r="AG45">
        <v>0</v>
      </c>
      <c r="AH45">
        <v>0</v>
      </c>
      <c r="AI45">
        <v>1</v>
      </c>
      <c r="AJ45">
        <v>0</v>
      </c>
      <c r="AK45" t="s">
        <v>157</v>
      </c>
      <c r="AL45">
        <v>33.662301999999997</v>
      </c>
      <c r="AM45" t="s">
        <v>155</v>
      </c>
      <c r="AN45">
        <v>-101.199167</v>
      </c>
      <c r="AO45">
        <v>100</v>
      </c>
      <c r="AP45">
        <v>3200</v>
      </c>
      <c r="AQ45" t="s">
        <v>131</v>
      </c>
      <c r="AR45">
        <v>-1</v>
      </c>
      <c r="AS45">
        <v>-40</v>
      </c>
      <c r="AT45">
        <v>64</v>
      </c>
      <c r="BB45" t="str">
        <f t="shared" si="3"/>
        <v>1200</v>
      </c>
      <c r="BC45">
        <v>1</v>
      </c>
      <c r="BD45" t="str">
        <f t="shared" si="4"/>
        <v xml:space="preserve">N445JS  </v>
      </c>
      <c r="BE45">
        <v>7</v>
      </c>
      <c r="BG45">
        <v>0</v>
      </c>
      <c r="BH45">
        <v>0</v>
      </c>
      <c r="BI45">
        <v>0</v>
      </c>
      <c r="BJ45">
        <v>2925</v>
      </c>
      <c r="BK45">
        <v>-275</v>
      </c>
      <c r="BL45" t="s">
        <v>132</v>
      </c>
      <c r="BM45">
        <v>1</v>
      </c>
      <c r="BN45">
        <v>1</v>
      </c>
      <c r="BO45">
        <v>1</v>
      </c>
      <c r="BP45">
        <v>0</v>
      </c>
      <c r="BT45">
        <v>0</v>
      </c>
      <c r="BU45">
        <v>0</v>
      </c>
      <c r="CE45" t="str">
        <f>"15:37:37.918"</f>
        <v>15:37:37.918</v>
      </c>
      <c r="CF45">
        <v>917524035</v>
      </c>
      <c r="CS45">
        <v>0</v>
      </c>
      <c r="CT45">
        <v>2</v>
      </c>
      <c r="CU45">
        <v>0</v>
      </c>
      <c r="CV45">
        <v>2</v>
      </c>
      <c r="CW45">
        <v>0</v>
      </c>
      <c r="CX45">
        <v>6</v>
      </c>
      <c r="CY45">
        <v>7</v>
      </c>
      <c r="CZ45" t="s">
        <v>133</v>
      </c>
      <c r="DA45">
        <v>125</v>
      </c>
      <c r="DB45">
        <v>1</v>
      </c>
      <c r="DC45" t="s">
        <v>134</v>
      </c>
      <c r="DD45" t="s">
        <v>135</v>
      </c>
      <c r="DG45">
        <v>2448594</v>
      </c>
      <c r="DI45">
        <v>0</v>
      </c>
      <c r="DJ45">
        <v>0</v>
      </c>
      <c r="DK45">
        <v>1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0</v>
      </c>
      <c r="DS45">
        <v>0</v>
      </c>
    </row>
    <row r="46" spans="1:123" x14ac:dyDescent="0.25">
      <c r="A46" t="str">
        <f>"04/17/2026 15:37:39.181"</f>
        <v>04/17/2026 15:37:39.181</v>
      </c>
      <c r="C46" t="str">
        <f t="shared" si="0"/>
        <v>FFDFD3C0</v>
      </c>
      <c r="D46" t="s">
        <v>139</v>
      </c>
      <c r="E46" t="str">
        <f>"28"</f>
        <v>28</v>
      </c>
      <c r="H46">
        <v>140</v>
      </c>
      <c r="I46" t="s">
        <v>140</v>
      </c>
      <c r="J46" t="s">
        <v>141</v>
      </c>
      <c r="K46">
        <v>0</v>
      </c>
      <c r="L46">
        <v>3</v>
      </c>
      <c r="M46">
        <v>0</v>
      </c>
      <c r="N46">
        <v>2</v>
      </c>
      <c r="O46">
        <v>1</v>
      </c>
      <c r="P46">
        <v>0</v>
      </c>
      <c r="Q46">
        <v>0</v>
      </c>
      <c r="R46" t="s">
        <v>127</v>
      </c>
      <c r="S46" t="str">
        <f>"15:37:38.945"</f>
        <v>15:37:38.945</v>
      </c>
      <c r="T46" t="str">
        <f>"15:37:38.545"</f>
        <v>15:37:38.545</v>
      </c>
      <c r="U46" t="str">
        <f t="shared" si="2"/>
        <v>A55E09</v>
      </c>
      <c r="V46">
        <v>0</v>
      </c>
      <c r="W46">
        <v>0</v>
      </c>
      <c r="X46">
        <v>2</v>
      </c>
      <c r="Y46">
        <v>0</v>
      </c>
      <c r="AA46">
        <v>0</v>
      </c>
      <c r="AB46">
        <v>9</v>
      </c>
      <c r="AC46">
        <v>3</v>
      </c>
      <c r="AD46">
        <v>0</v>
      </c>
      <c r="AE46">
        <v>9</v>
      </c>
      <c r="AF46" t="s">
        <v>128</v>
      </c>
      <c r="AG46">
        <v>0</v>
      </c>
      <c r="AH46">
        <v>0</v>
      </c>
      <c r="AI46">
        <v>1</v>
      </c>
      <c r="AJ46">
        <v>0</v>
      </c>
      <c r="AK46" t="s">
        <v>158</v>
      </c>
      <c r="AL46">
        <v>33.662109000000001</v>
      </c>
      <c r="AM46" t="s">
        <v>159</v>
      </c>
      <c r="AN46">
        <v>-101.199253</v>
      </c>
      <c r="AO46">
        <v>100</v>
      </c>
      <c r="AP46">
        <v>3200</v>
      </c>
      <c r="AQ46" t="s">
        <v>131</v>
      </c>
      <c r="AR46">
        <v>-12</v>
      </c>
      <c r="AS46">
        <v>-38</v>
      </c>
      <c r="AT46">
        <v>384</v>
      </c>
      <c r="BB46" t="str">
        <f t="shared" si="3"/>
        <v>1200</v>
      </c>
      <c r="BC46">
        <v>1</v>
      </c>
      <c r="BD46" t="str">
        <f t="shared" si="4"/>
        <v xml:space="preserve">N445JS  </v>
      </c>
      <c r="BE46">
        <v>7</v>
      </c>
      <c r="BG46">
        <v>0</v>
      </c>
      <c r="BH46">
        <v>0</v>
      </c>
      <c r="BI46">
        <v>0</v>
      </c>
      <c r="BJ46">
        <v>2950</v>
      </c>
      <c r="BK46">
        <v>-250</v>
      </c>
      <c r="BL46" t="s">
        <v>132</v>
      </c>
      <c r="BM46">
        <v>1</v>
      </c>
      <c r="BN46">
        <v>1</v>
      </c>
      <c r="BO46">
        <v>1</v>
      </c>
      <c r="BP46">
        <v>0</v>
      </c>
      <c r="BT46">
        <v>0</v>
      </c>
      <c r="BU46">
        <v>0</v>
      </c>
      <c r="CE46" t="str">
        <f>"15:37:38.952"</f>
        <v>15:37:38.952</v>
      </c>
      <c r="CF46">
        <v>952422637</v>
      </c>
      <c r="CS46">
        <v>0</v>
      </c>
      <c r="CT46">
        <v>2</v>
      </c>
      <c r="CU46">
        <v>0</v>
      </c>
      <c r="CV46">
        <v>2</v>
      </c>
      <c r="CW46">
        <v>0</v>
      </c>
      <c r="CX46">
        <v>6</v>
      </c>
      <c r="CY46">
        <v>7</v>
      </c>
      <c r="CZ46" t="s">
        <v>133</v>
      </c>
      <c r="DA46">
        <v>125</v>
      </c>
      <c r="DB46">
        <v>1</v>
      </c>
      <c r="DC46" t="s">
        <v>134</v>
      </c>
      <c r="DD46" t="s">
        <v>135</v>
      </c>
      <c r="DG46">
        <v>2449596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</row>
    <row r="47" spans="1:123" x14ac:dyDescent="0.25">
      <c r="A47" t="str">
        <f>"04/17/2026 15:37:39.208"</f>
        <v>04/17/2026 15:37:39.208</v>
      </c>
      <c r="C47" t="str">
        <f t="shared" si="0"/>
        <v>FFDFD3C0</v>
      </c>
      <c r="D47" t="s">
        <v>124</v>
      </c>
      <c r="E47" t="str">
        <f>"03"</f>
        <v>03</v>
      </c>
      <c r="H47">
        <v>160</v>
      </c>
      <c r="I47" t="s">
        <v>125</v>
      </c>
      <c r="J47" t="s">
        <v>126</v>
      </c>
      <c r="K47">
        <v>0</v>
      </c>
      <c r="L47">
        <v>3</v>
      </c>
      <c r="M47">
        <v>0</v>
      </c>
      <c r="N47">
        <v>2</v>
      </c>
      <c r="O47">
        <v>1</v>
      </c>
      <c r="P47">
        <v>0</v>
      </c>
      <c r="Q47">
        <v>0</v>
      </c>
      <c r="R47" t="s">
        <v>127</v>
      </c>
      <c r="S47" t="str">
        <f>"15:37:38.945"</f>
        <v>15:37:38.945</v>
      </c>
      <c r="T47" t="str">
        <f>"15:37:38.545"</f>
        <v>15:37:38.545</v>
      </c>
      <c r="U47" t="str">
        <f t="shared" si="2"/>
        <v>A55E09</v>
      </c>
      <c r="V47">
        <v>0</v>
      </c>
      <c r="W47">
        <v>0</v>
      </c>
      <c r="X47">
        <v>2</v>
      </c>
      <c r="Y47">
        <v>0</v>
      </c>
      <c r="AA47">
        <v>0</v>
      </c>
      <c r="AB47">
        <v>9</v>
      </c>
      <c r="AC47">
        <v>3</v>
      </c>
      <c r="AD47">
        <v>0</v>
      </c>
      <c r="AE47">
        <v>9</v>
      </c>
      <c r="AF47" t="s">
        <v>128</v>
      </c>
      <c r="AG47">
        <v>0</v>
      </c>
      <c r="AH47">
        <v>0</v>
      </c>
      <c r="AI47">
        <v>1</v>
      </c>
      <c r="AJ47">
        <v>0</v>
      </c>
      <c r="AK47" t="s">
        <v>158</v>
      </c>
      <c r="AL47">
        <v>33.662109000000001</v>
      </c>
      <c r="AM47" t="s">
        <v>159</v>
      </c>
      <c r="AN47">
        <v>-101.199253</v>
      </c>
      <c r="AO47">
        <v>100</v>
      </c>
      <c r="AP47">
        <v>3200</v>
      </c>
      <c r="AQ47" t="s">
        <v>131</v>
      </c>
      <c r="AR47">
        <v>-12</v>
      </c>
      <c r="AS47">
        <v>-38</v>
      </c>
      <c r="AT47">
        <v>384</v>
      </c>
      <c r="BB47" t="str">
        <f t="shared" si="3"/>
        <v>1200</v>
      </c>
      <c r="BC47">
        <v>1</v>
      </c>
      <c r="BD47" t="str">
        <f t="shared" si="4"/>
        <v xml:space="preserve">N445JS  </v>
      </c>
      <c r="BE47">
        <v>7</v>
      </c>
      <c r="BG47">
        <v>0</v>
      </c>
      <c r="BH47">
        <v>0</v>
      </c>
      <c r="BI47">
        <v>0</v>
      </c>
      <c r="BJ47">
        <v>2950</v>
      </c>
      <c r="BK47">
        <v>-250</v>
      </c>
      <c r="BL47" t="s">
        <v>132</v>
      </c>
      <c r="BM47">
        <v>1</v>
      </c>
      <c r="BN47">
        <v>1</v>
      </c>
      <c r="BO47">
        <v>1</v>
      </c>
      <c r="BP47">
        <v>0</v>
      </c>
      <c r="BT47">
        <v>0</v>
      </c>
      <c r="BU47">
        <v>0</v>
      </c>
      <c r="CE47" t="str">
        <f>"15:37:38.952"</f>
        <v>15:37:38.952</v>
      </c>
      <c r="CF47">
        <v>952422637</v>
      </c>
      <c r="CS47">
        <v>0</v>
      </c>
      <c r="CT47">
        <v>2</v>
      </c>
      <c r="CU47">
        <v>0</v>
      </c>
      <c r="CV47">
        <v>2</v>
      </c>
      <c r="CW47">
        <v>0</v>
      </c>
      <c r="CX47">
        <v>6</v>
      </c>
      <c r="CY47">
        <v>7</v>
      </c>
      <c r="CZ47" t="s">
        <v>133</v>
      </c>
      <c r="DA47">
        <v>125</v>
      </c>
      <c r="DB47">
        <v>1</v>
      </c>
      <c r="DC47" t="s">
        <v>134</v>
      </c>
      <c r="DD47" t="s">
        <v>135</v>
      </c>
      <c r="DG47">
        <v>2449596</v>
      </c>
      <c r="DI47">
        <v>0</v>
      </c>
      <c r="DJ47">
        <v>0</v>
      </c>
      <c r="DK47">
        <v>1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</row>
    <row r="48" spans="1:123" x14ac:dyDescent="0.25">
      <c r="A48" t="str">
        <f>"04/17/2026 15:37:39.209"</f>
        <v>04/17/2026 15:37:39.209</v>
      </c>
      <c r="C48" t="str">
        <f t="shared" si="0"/>
        <v>FFDFD3C0</v>
      </c>
      <c r="D48" t="s">
        <v>136</v>
      </c>
      <c r="E48" t="str">
        <f>"0E"</f>
        <v>0E</v>
      </c>
      <c r="F48">
        <v>1014</v>
      </c>
      <c r="G48" t="s">
        <v>125</v>
      </c>
      <c r="J48" t="s">
        <v>137</v>
      </c>
      <c r="K48">
        <v>0</v>
      </c>
      <c r="L48">
        <v>3</v>
      </c>
      <c r="M48">
        <v>0</v>
      </c>
      <c r="N48">
        <v>2</v>
      </c>
      <c r="O48">
        <v>1</v>
      </c>
      <c r="P48">
        <v>0</v>
      </c>
      <c r="Q48">
        <v>0</v>
      </c>
      <c r="R48" t="s">
        <v>127</v>
      </c>
      <c r="S48" t="str">
        <f>"15:37:38.945"</f>
        <v>15:37:38.945</v>
      </c>
      <c r="T48" t="str">
        <f>"15:37:38.545"</f>
        <v>15:37:38.545</v>
      </c>
      <c r="U48" t="str">
        <f t="shared" si="2"/>
        <v>A55E09</v>
      </c>
      <c r="V48">
        <v>0</v>
      </c>
      <c r="W48">
        <v>0</v>
      </c>
      <c r="X48">
        <v>2</v>
      </c>
      <c r="Y48">
        <v>0</v>
      </c>
      <c r="AA48">
        <v>0</v>
      </c>
      <c r="AB48">
        <v>9</v>
      </c>
      <c r="AC48">
        <v>3</v>
      </c>
      <c r="AD48">
        <v>0</v>
      </c>
      <c r="AE48">
        <v>9</v>
      </c>
      <c r="AF48" t="s">
        <v>128</v>
      </c>
      <c r="AG48">
        <v>0</v>
      </c>
      <c r="AH48">
        <v>0</v>
      </c>
      <c r="AI48">
        <v>1</v>
      </c>
      <c r="AJ48">
        <v>0</v>
      </c>
      <c r="AK48" t="s">
        <v>158</v>
      </c>
      <c r="AL48">
        <v>33.662109000000001</v>
      </c>
      <c r="AM48" t="s">
        <v>159</v>
      </c>
      <c r="AN48">
        <v>-101.199253</v>
      </c>
      <c r="AO48">
        <v>100</v>
      </c>
      <c r="AP48">
        <v>3200</v>
      </c>
      <c r="AQ48" t="s">
        <v>131</v>
      </c>
      <c r="AR48">
        <v>-12</v>
      </c>
      <c r="AS48">
        <v>-38</v>
      </c>
      <c r="AT48">
        <v>384</v>
      </c>
      <c r="BB48" t="str">
        <f t="shared" si="3"/>
        <v>1200</v>
      </c>
      <c r="BC48">
        <v>1</v>
      </c>
      <c r="BD48" t="str">
        <f t="shared" si="4"/>
        <v xml:space="preserve">N445JS  </v>
      </c>
      <c r="BE48">
        <v>7</v>
      </c>
      <c r="BG48">
        <v>0</v>
      </c>
      <c r="BH48">
        <v>0</v>
      </c>
      <c r="BI48">
        <v>0</v>
      </c>
      <c r="BJ48">
        <v>2950</v>
      </c>
      <c r="BK48">
        <v>-250</v>
      </c>
      <c r="BL48" t="s">
        <v>132</v>
      </c>
      <c r="BM48">
        <v>1</v>
      </c>
      <c r="BN48">
        <v>1</v>
      </c>
      <c r="BO48">
        <v>1</v>
      </c>
      <c r="BP48">
        <v>0</v>
      </c>
      <c r="BT48">
        <v>0</v>
      </c>
      <c r="BU48">
        <v>0</v>
      </c>
      <c r="CE48" t="str">
        <f>"15:37:38.952"</f>
        <v>15:37:38.952</v>
      </c>
      <c r="CF48">
        <v>952422637</v>
      </c>
      <c r="CS48">
        <v>0</v>
      </c>
      <c r="CT48">
        <v>2</v>
      </c>
      <c r="CU48">
        <v>0</v>
      </c>
      <c r="CV48">
        <v>2</v>
      </c>
      <c r="CW48">
        <v>0</v>
      </c>
      <c r="CX48">
        <v>6</v>
      </c>
      <c r="CY48">
        <v>7</v>
      </c>
      <c r="CZ48" t="s">
        <v>133</v>
      </c>
      <c r="DA48">
        <v>125</v>
      </c>
      <c r="DB48">
        <v>1</v>
      </c>
      <c r="DC48" t="s">
        <v>134</v>
      </c>
      <c r="DD48" t="s">
        <v>135</v>
      </c>
      <c r="DG48">
        <v>2449596</v>
      </c>
      <c r="DI48">
        <v>0</v>
      </c>
      <c r="DJ48">
        <v>0</v>
      </c>
      <c r="DK48">
        <v>1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0</v>
      </c>
    </row>
    <row r="49" spans="1:123" x14ac:dyDescent="0.25">
      <c r="A49" t="str">
        <f>"04/17/2026 15:37:39.210"</f>
        <v>04/17/2026 15:37:39.210</v>
      </c>
      <c r="C49" t="str">
        <f t="shared" si="0"/>
        <v>FFDFD3C0</v>
      </c>
      <c r="D49" t="s">
        <v>136</v>
      </c>
      <c r="E49" t="str">
        <f>"0F"</f>
        <v>0F</v>
      </c>
      <c r="F49">
        <v>1015</v>
      </c>
      <c r="G49" t="s">
        <v>138</v>
      </c>
      <c r="J49" t="s">
        <v>137</v>
      </c>
      <c r="K49">
        <v>0</v>
      </c>
      <c r="L49">
        <v>3</v>
      </c>
      <c r="M49">
        <v>0</v>
      </c>
      <c r="N49">
        <v>2</v>
      </c>
      <c r="O49">
        <v>1</v>
      </c>
      <c r="P49">
        <v>0</v>
      </c>
      <c r="Q49">
        <v>0</v>
      </c>
      <c r="R49" t="s">
        <v>127</v>
      </c>
      <c r="S49" t="str">
        <f>"15:37:38.945"</f>
        <v>15:37:38.945</v>
      </c>
      <c r="T49" t="str">
        <f>"15:37:38.545"</f>
        <v>15:37:38.545</v>
      </c>
      <c r="U49" t="str">
        <f t="shared" si="2"/>
        <v>A55E09</v>
      </c>
      <c r="V49">
        <v>0</v>
      </c>
      <c r="W49">
        <v>0</v>
      </c>
      <c r="X49">
        <v>2</v>
      </c>
      <c r="Y49">
        <v>0</v>
      </c>
      <c r="AA49">
        <v>0</v>
      </c>
      <c r="AB49">
        <v>9</v>
      </c>
      <c r="AC49">
        <v>3</v>
      </c>
      <c r="AD49">
        <v>0</v>
      </c>
      <c r="AE49">
        <v>9</v>
      </c>
      <c r="AF49" t="s">
        <v>128</v>
      </c>
      <c r="AG49">
        <v>0</v>
      </c>
      <c r="AH49">
        <v>0</v>
      </c>
      <c r="AI49">
        <v>1</v>
      </c>
      <c r="AJ49">
        <v>0</v>
      </c>
      <c r="AK49" t="s">
        <v>158</v>
      </c>
      <c r="AL49">
        <v>33.662109000000001</v>
      </c>
      <c r="AM49" t="s">
        <v>159</v>
      </c>
      <c r="AN49">
        <v>-101.199253</v>
      </c>
      <c r="AO49">
        <v>100</v>
      </c>
      <c r="AP49">
        <v>3200</v>
      </c>
      <c r="AQ49" t="s">
        <v>131</v>
      </c>
      <c r="AR49">
        <v>-12</v>
      </c>
      <c r="AS49">
        <v>-38</v>
      </c>
      <c r="AT49">
        <v>384</v>
      </c>
      <c r="BB49" t="str">
        <f t="shared" si="3"/>
        <v>1200</v>
      </c>
      <c r="BC49">
        <v>1</v>
      </c>
      <c r="BD49" t="str">
        <f t="shared" si="4"/>
        <v xml:space="preserve">N445JS  </v>
      </c>
      <c r="BE49">
        <v>7</v>
      </c>
      <c r="BG49">
        <v>0</v>
      </c>
      <c r="BH49">
        <v>0</v>
      </c>
      <c r="BI49">
        <v>0</v>
      </c>
      <c r="BJ49">
        <v>2950</v>
      </c>
      <c r="BK49">
        <v>-250</v>
      </c>
      <c r="BL49" t="s">
        <v>132</v>
      </c>
      <c r="BM49">
        <v>1</v>
      </c>
      <c r="BN49">
        <v>1</v>
      </c>
      <c r="BO49">
        <v>1</v>
      </c>
      <c r="BP49">
        <v>0</v>
      </c>
      <c r="BT49">
        <v>0</v>
      </c>
      <c r="BU49">
        <v>0</v>
      </c>
      <c r="CE49" t="str">
        <f>"15:37:38.952"</f>
        <v>15:37:38.952</v>
      </c>
      <c r="CF49">
        <v>952422637</v>
      </c>
      <c r="CS49">
        <v>0</v>
      </c>
      <c r="CT49">
        <v>2</v>
      </c>
      <c r="CU49">
        <v>0</v>
      </c>
      <c r="CV49">
        <v>2</v>
      </c>
      <c r="CW49">
        <v>0</v>
      </c>
      <c r="CX49">
        <v>6</v>
      </c>
      <c r="CY49">
        <v>7</v>
      </c>
      <c r="CZ49" t="s">
        <v>133</v>
      </c>
      <c r="DA49">
        <v>125</v>
      </c>
      <c r="DB49">
        <v>1</v>
      </c>
      <c r="DC49" t="s">
        <v>134</v>
      </c>
      <c r="DD49" t="s">
        <v>135</v>
      </c>
      <c r="DG49">
        <v>2449596</v>
      </c>
      <c r="DI49">
        <v>0</v>
      </c>
      <c r="DJ49">
        <v>0</v>
      </c>
      <c r="DK49">
        <v>1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</row>
    <row r="50" spans="1:123" x14ac:dyDescent="0.25">
      <c r="A50" t="str">
        <f>"04/17/2026 15:37:40.233"</f>
        <v>04/17/2026 15:37:40.233</v>
      </c>
      <c r="C50" t="str">
        <f t="shared" si="0"/>
        <v>FFDFD3C0</v>
      </c>
      <c r="D50" t="s">
        <v>139</v>
      </c>
      <c r="E50" t="str">
        <f>"28"</f>
        <v>28</v>
      </c>
      <c r="H50">
        <v>140</v>
      </c>
      <c r="I50" t="s">
        <v>140</v>
      </c>
      <c r="J50" t="s">
        <v>141</v>
      </c>
      <c r="K50">
        <v>0</v>
      </c>
      <c r="L50">
        <v>3</v>
      </c>
      <c r="M50">
        <v>0</v>
      </c>
      <c r="N50">
        <v>2</v>
      </c>
      <c r="O50">
        <v>1</v>
      </c>
      <c r="P50">
        <v>0</v>
      </c>
      <c r="Q50">
        <v>0</v>
      </c>
      <c r="R50" t="s">
        <v>127</v>
      </c>
      <c r="S50" t="str">
        <f>"15:37:40.000"</f>
        <v>15:37:40.000</v>
      </c>
      <c r="T50" t="str">
        <f>"15:37:39.600"</f>
        <v>15:37:39.600</v>
      </c>
      <c r="U50" t="str">
        <f t="shared" si="2"/>
        <v>A55E09</v>
      </c>
      <c r="V50">
        <v>0</v>
      </c>
      <c r="W50">
        <v>0</v>
      </c>
      <c r="X50">
        <v>2</v>
      </c>
      <c r="Y50">
        <v>0</v>
      </c>
      <c r="AA50">
        <v>0</v>
      </c>
      <c r="AB50">
        <v>9</v>
      </c>
      <c r="AC50">
        <v>3</v>
      </c>
      <c r="AD50">
        <v>0</v>
      </c>
      <c r="AE50">
        <v>9</v>
      </c>
      <c r="AF50" t="s">
        <v>128</v>
      </c>
      <c r="AG50">
        <v>0</v>
      </c>
      <c r="AH50">
        <v>0</v>
      </c>
      <c r="AI50">
        <v>1</v>
      </c>
      <c r="AJ50">
        <v>0</v>
      </c>
      <c r="AK50" t="s">
        <v>160</v>
      </c>
      <c r="AL50">
        <v>33.661915999999998</v>
      </c>
      <c r="AM50" t="s">
        <v>161</v>
      </c>
      <c r="AN50">
        <v>-101.19936</v>
      </c>
      <c r="AO50">
        <v>100</v>
      </c>
      <c r="AP50">
        <v>3200</v>
      </c>
      <c r="AQ50" t="s">
        <v>131</v>
      </c>
      <c r="AR50">
        <v>-21</v>
      </c>
      <c r="AS50">
        <v>-33</v>
      </c>
      <c r="AT50">
        <v>640</v>
      </c>
      <c r="BB50" t="str">
        <f t="shared" si="3"/>
        <v>1200</v>
      </c>
      <c r="BC50">
        <v>1</v>
      </c>
      <c r="BD50" t="str">
        <f t="shared" si="4"/>
        <v xml:space="preserve">N445JS  </v>
      </c>
      <c r="BE50">
        <v>7</v>
      </c>
      <c r="BG50">
        <v>0</v>
      </c>
      <c r="BH50">
        <v>0</v>
      </c>
      <c r="BI50">
        <v>0</v>
      </c>
      <c r="BJ50">
        <v>2950</v>
      </c>
      <c r="BK50">
        <v>-250</v>
      </c>
      <c r="BL50" t="s">
        <v>132</v>
      </c>
      <c r="BM50">
        <v>1</v>
      </c>
      <c r="BN50">
        <v>1</v>
      </c>
      <c r="BO50">
        <v>1</v>
      </c>
      <c r="BP50">
        <v>0</v>
      </c>
      <c r="BT50">
        <v>0</v>
      </c>
      <c r="BU50">
        <v>0</v>
      </c>
      <c r="CE50" t="str">
        <f>"15:37:40.002"</f>
        <v>15:37:40.002</v>
      </c>
      <c r="CF50">
        <v>2319748</v>
      </c>
      <c r="CS50">
        <v>0</v>
      </c>
      <c r="CT50">
        <v>2</v>
      </c>
      <c r="CU50">
        <v>0</v>
      </c>
      <c r="CV50">
        <v>2</v>
      </c>
      <c r="CW50">
        <v>0</v>
      </c>
      <c r="CX50">
        <v>7</v>
      </c>
      <c r="CY50">
        <v>7</v>
      </c>
      <c r="CZ50" t="s">
        <v>133</v>
      </c>
      <c r="DA50">
        <v>125</v>
      </c>
      <c r="DB50">
        <v>1</v>
      </c>
      <c r="DC50" t="s">
        <v>134</v>
      </c>
      <c r="DD50" t="s">
        <v>135</v>
      </c>
      <c r="DG50">
        <v>2450676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</row>
    <row r="51" spans="1:123" x14ac:dyDescent="0.25">
      <c r="A51" t="str">
        <f>"04/17/2026 15:37:40.262"</f>
        <v>04/17/2026 15:37:40.262</v>
      </c>
      <c r="C51" t="str">
        <f t="shared" si="0"/>
        <v>FFDFD3C0</v>
      </c>
      <c r="D51" t="s">
        <v>136</v>
      </c>
      <c r="E51" t="str">
        <f>"0F"</f>
        <v>0F</v>
      </c>
      <c r="F51">
        <v>1015</v>
      </c>
      <c r="G51" t="s">
        <v>138</v>
      </c>
      <c r="J51" t="s">
        <v>137</v>
      </c>
      <c r="K51">
        <v>0</v>
      </c>
      <c r="L51">
        <v>3</v>
      </c>
      <c r="M51">
        <v>0</v>
      </c>
      <c r="N51">
        <v>2</v>
      </c>
      <c r="O51">
        <v>1</v>
      </c>
      <c r="P51">
        <v>0</v>
      </c>
      <c r="Q51">
        <v>0</v>
      </c>
      <c r="R51" t="s">
        <v>127</v>
      </c>
      <c r="S51" t="str">
        <f>"15:37:40.000"</f>
        <v>15:37:40.000</v>
      </c>
      <c r="T51" t="str">
        <f>"15:37:39.600"</f>
        <v>15:37:39.600</v>
      </c>
      <c r="U51" t="str">
        <f t="shared" si="2"/>
        <v>A55E09</v>
      </c>
      <c r="V51">
        <v>0</v>
      </c>
      <c r="W51">
        <v>0</v>
      </c>
      <c r="X51">
        <v>2</v>
      </c>
      <c r="Y51">
        <v>0</v>
      </c>
      <c r="AA51">
        <v>0</v>
      </c>
      <c r="AB51">
        <v>9</v>
      </c>
      <c r="AC51">
        <v>3</v>
      </c>
      <c r="AD51">
        <v>0</v>
      </c>
      <c r="AE51">
        <v>9</v>
      </c>
      <c r="AF51" t="s">
        <v>128</v>
      </c>
      <c r="AG51">
        <v>0</v>
      </c>
      <c r="AH51">
        <v>0</v>
      </c>
      <c r="AI51">
        <v>1</v>
      </c>
      <c r="AJ51">
        <v>0</v>
      </c>
      <c r="AK51" t="s">
        <v>160</v>
      </c>
      <c r="AL51">
        <v>33.661915999999998</v>
      </c>
      <c r="AM51" t="s">
        <v>161</v>
      </c>
      <c r="AN51">
        <v>-101.19936</v>
      </c>
      <c r="AO51">
        <v>100</v>
      </c>
      <c r="AP51">
        <v>3200</v>
      </c>
      <c r="AQ51" t="s">
        <v>131</v>
      </c>
      <c r="AR51">
        <v>-21</v>
      </c>
      <c r="AS51">
        <v>-33</v>
      </c>
      <c r="AT51">
        <v>640</v>
      </c>
      <c r="BB51" t="str">
        <f t="shared" si="3"/>
        <v>1200</v>
      </c>
      <c r="BC51">
        <v>1</v>
      </c>
      <c r="BD51" t="str">
        <f t="shared" si="4"/>
        <v xml:space="preserve">N445JS  </v>
      </c>
      <c r="BE51">
        <v>7</v>
      </c>
      <c r="BG51">
        <v>0</v>
      </c>
      <c r="BH51">
        <v>0</v>
      </c>
      <c r="BI51">
        <v>0</v>
      </c>
      <c r="BJ51">
        <v>2950</v>
      </c>
      <c r="BK51">
        <v>-250</v>
      </c>
      <c r="BL51" t="s">
        <v>132</v>
      </c>
      <c r="BM51">
        <v>1</v>
      </c>
      <c r="BN51">
        <v>1</v>
      </c>
      <c r="BO51">
        <v>1</v>
      </c>
      <c r="BP51">
        <v>0</v>
      </c>
      <c r="BT51">
        <v>0</v>
      </c>
      <c r="BU51">
        <v>0</v>
      </c>
      <c r="CE51" t="str">
        <f>"15:37:40.002"</f>
        <v>15:37:40.002</v>
      </c>
      <c r="CF51">
        <v>2319748</v>
      </c>
      <c r="CS51">
        <v>0</v>
      </c>
      <c r="CT51">
        <v>2</v>
      </c>
      <c r="CU51">
        <v>0</v>
      </c>
      <c r="CV51">
        <v>2</v>
      </c>
      <c r="CW51">
        <v>0</v>
      </c>
      <c r="CX51">
        <v>7</v>
      </c>
      <c r="CY51">
        <v>7</v>
      </c>
      <c r="CZ51" t="s">
        <v>133</v>
      </c>
      <c r="DA51">
        <v>125</v>
      </c>
      <c r="DB51">
        <v>1</v>
      </c>
      <c r="DC51" t="s">
        <v>134</v>
      </c>
      <c r="DD51" t="s">
        <v>135</v>
      </c>
      <c r="DG51">
        <v>2450676</v>
      </c>
      <c r="DI51">
        <v>0</v>
      </c>
      <c r="DJ51">
        <v>0</v>
      </c>
      <c r="DK51">
        <v>1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</row>
    <row r="52" spans="1:123" x14ac:dyDescent="0.25">
      <c r="A52" t="str">
        <f>"04/17/2026 15:37:40.260"</f>
        <v>04/17/2026 15:37:40.260</v>
      </c>
      <c r="C52" t="str">
        <f t="shared" si="0"/>
        <v>FFDFD3C0</v>
      </c>
      <c r="D52" t="s">
        <v>124</v>
      </c>
      <c r="E52" t="str">
        <f>"03"</f>
        <v>03</v>
      </c>
      <c r="H52">
        <v>160</v>
      </c>
      <c r="I52" t="s">
        <v>125</v>
      </c>
      <c r="J52" t="s">
        <v>126</v>
      </c>
      <c r="K52">
        <v>0</v>
      </c>
      <c r="L52">
        <v>3</v>
      </c>
      <c r="M52">
        <v>0</v>
      </c>
      <c r="N52">
        <v>2</v>
      </c>
      <c r="O52">
        <v>1</v>
      </c>
      <c r="P52">
        <v>0</v>
      </c>
      <c r="Q52">
        <v>0</v>
      </c>
      <c r="R52" t="s">
        <v>127</v>
      </c>
      <c r="S52" t="str">
        <f>"15:37:40.000"</f>
        <v>15:37:40.000</v>
      </c>
      <c r="T52" t="str">
        <f>"15:37:39.600"</f>
        <v>15:37:39.600</v>
      </c>
      <c r="U52" t="str">
        <f t="shared" si="2"/>
        <v>A55E09</v>
      </c>
      <c r="V52">
        <v>0</v>
      </c>
      <c r="W52">
        <v>0</v>
      </c>
      <c r="X52">
        <v>2</v>
      </c>
      <c r="Y52">
        <v>0</v>
      </c>
      <c r="AA52">
        <v>0</v>
      </c>
      <c r="AB52">
        <v>9</v>
      </c>
      <c r="AC52">
        <v>3</v>
      </c>
      <c r="AD52">
        <v>0</v>
      </c>
      <c r="AE52">
        <v>9</v>
      </c>
      <c r="AF52" t="s">
        <v>128</v>
      </c>
      <c r="AG52">
        <v>0</v>
      </c>
      <c r="AH52">
        <v>0</v>
      </c>
      <c r="AI52">
        <v>1</v>
      </c>
      <c r="AJ52">
        <v>0</v>
      </c>
      <c r="AK52" t="s">
        <v>160</v>
      </c>
      <c r="AL52">
        <v>33.661915999999998</v>
      </c>
      <c r="AM52" t="s">
        <v>161</v>
      </c>
      <c r="AN52">
        <v>-101.19936</v>
      </c>
      <c r="AO52">
        <v>100</v>
      </c>
      <c r="AP52">
        <v>3200</v>
      </c>
      <c r="AQ52" t="s">
        <v>131</v>
      </c>
      <c r="AR52">
        <v>-21</v>
      </c>
      <c r="AS52">
        <v>-33</v>
      </c>
      <c r="AT52">
        <v>640</v>
      </c>
      <c r="BB52" t="str">
        <f t="shared" si="3"/>
        <v>1200</v>
      </c>
      <c r="BC52">
        <v>1</v>
      </c>
      <c r="BD52" t="str">
        <f t="shared" si="4"/>
        <v xml:space="preserve">N445JS  </v>
      </c>
      <c r="BE52">
        <v>7</v>
      </c>
      <c r="BG52">
        <v>0</v>
      </c>
      <c r="BH52">
        <v>0</v>
      </c>
      <c r="BI52">
        <v>0</v>
      </c>
      <c r="BJ52">
        <v>2950</v>
      </c>
      <c r="BK52">
        <v>-250</v>
      </c>
      <c r="BL52" t="s">
        <v>132</v>
      </c>
      <c r="BM52">
        <v>1</v>
      </c>
      <c r="BN52">
        <v>1</v>
      </c>
      <c r="BO52">
        <v>1</v>
      </c>
      <c r="BP52">
        <v>0</v>
      </c>
      <c r="BT52">
        <v>0</v>
      </c>
      <c r="BU52">
        <v>0</v>
      </c>
      <c r="CE52" t="str">
        <f>"15:37:40.002"</f>
        <v>15:37:40.002</v>
      </c>
      <c r="CF52">
        <v>2319748</v>
      </c>
      <c r="CS52">
        <v>0</v>
      </c>
      <c r="CT52">
        <v>2</v>
      </c>
      <c r="CU52">
        <v>0</v>
      </c>
      <c r="CV52">
        <v>2</v>
      </c>
      <c r="CW52">
        <v>0</v>
      </c>
      <c r="CX52">
        <v>7</v>
      </c>
      <c r="CY52">
        <v>7</v>
      </c>
      <c r="CZ52" t="s">
        <v>133</v>
      </c>
      <c r="DA52">
        <v>125</v>
      </c>
      <c r="DB52">
        <v>1</v>
      </c>
      <c r="DC52" t="s">
        <v>134</v>
      </c>
      <c r="DD52" t="s">
        <v>135</v>
      </c>
      <c r="DG52">
        <v>2450676</v>
      </c>
      <c r="DI52">
        <v>0</v>
      </c>
      <c r="DJ52">
        <v>0</v>
      </c>
      <c r="DK52">
        <v>1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</row>
    <row r="53" spans="1:123" x14ac:dyDescent="0.25">
      <c r="A53" t="str">
        <f>"04/17/2026 15:37:40.261"</f>
        <v>04/17/2026 15:37:40.261</v>
      </c>
      <c r="C53" t="str">
        <f t="shared" si="0"/>
        <v>FFDFD3C0</v>
      </c>
      <c r="D53" t="s">
        <v>136</v>
      </c>
      <c r="E53" t="str">
        <f>"0E"</f>
        <v>0E</v>
      </c>
      <c r="F53">
        <v>1014</v>
      </c>
      <c r="G53" t="s">
        <v>125</v>
      </c>
      <c r="J53" t="s">
        <v>137</v>
      </c>
      <c r="K53">
        <v>0</v>
      </c>
      <c r="L53">
        <v>3</v>
      </c>
      <c r="M53">
        <v>0</v>
      </c>
      <c r="N53">
        <v>2</v>
      </c>
      <c r="O53">
        <v>1</v>
      </c>
      <c r="P53">
        <v>0</v>
      </c>
      <c r="Q53">
        <v>0</v>
      </c>
      <c r="R53" t="s">
        <v>127</v>
      </c>
      <c r="S53" t="str">
        <f>"15:37:40.000"</f>
        <v>15:37:40.000</v>
      </c>
      <c r="T53" t="str">
        <f>"15:37:39.600"</f>
        <v>15:37:39.600</v>
      </c>
      <c r="U53" t="str">
        <f t="shared" si="2"/>
        <v>A55E09</v>
      </c>
      <c r="V53">
        <v>0</v>
      </c>
      <c r="W53">
        <v>0</v>
      </c>
      <c r="X53">
        <v>2</v>
      </c>
      <c r="Y53">
        <v>0</v>
      </c>
      <c r="AA53">
        <v>0</v>
      </c>
      <c r="AB53">
        <v>9</v>
      </c>
      <c r="AC53">
        <v>3</v>
      </c>
      <c r="AD53">
        <v>0</v>
      </c>
      <c r="AE53">
        <v>9</v>
      </c>
      <c r="AF53" t="s">
        <v>128</v>
      </c>
      <c r="AG53">
        <v>0</v>
      </c>
      <c r="AH53">
        <v>0</v>
      </c>
      <c r="AI53">
        <v>1</v>
      </c>
      <c r="AJ53">
        <v>0</v>
      </c>
      <c r="AK53" t="s">
        <v>160</v>
      </c>
      <c r="AL53">
        <v>33.661915999999998</v>
      </c>
      <c r="AM53" t="s">
        <v>161</v>
      </c>
      <c r="AN53">
        <v>-101.19936</v>
      </c>
      <c r="AO53">
        <v>100</v>
      </c>
      <c r="AP53">
        <v>3200</v>
      </c>
      <c r="AQ53" t="s">
        <v>131</v>
      </c>
      <c r="AR53">
        <v>-21</v>
      </c>
      <c r="AS53">
        <v>-33</v>
      </c>
      <c r="AT53">
        <v>640</v>
      </c>
      <c r="BB53" t="str">
        <f t="shared" si="3"/>
        <v>1200</v>
      </c>
      <c r="BC53">
        <v>1</v>
      </c>
      <c r="BD53" t="str">
        <f t="shared" si="4"/>
        <v xml:space="preserve">N445JS  </v>
      </c>
      <c r="BE53">
        <v>7</v>
      </c>
      <c r="BG53">
        <v>0</v>
      </c>
      <c r="BH53">
        <v>0</v>
      </c>
      <c r="BI53">
        <v>0</v>
      </c>
      <c r="BJ53">
        <v>2950</v>
      </c>
      <c r="BK53">
        <v>-250</v>
      </c>
      <c r="BL53" t="s">
        <v>132</v>
      </c>
      <c r="BM53">
        <v>1</v>
      </c>
      <c r="BN53">
        <v>1</v>
      </c>
      <c r="BO53">
        <v>1</v>
      </c>
      <c r="BP53">
        <v>0</v>
      </c>
      <c r="BT53">
        <v>0</v>
      </c>
      <c r="BU53">
        <v>0</v>
      </c>
      <c r="CE53" t="str">
        <f>"15:37:40.002"</f>
        <v>15:37:40.002</v>
      </c>
      <c r="CF53">
        <v>2319748</v>
      </c>
      <c r="CS53">
        <v>0</v>
      </c>
      <c r="CT53">
        <v>2</v>
      </c>
      <c r="CU53">
        <v>0</v>
      </c>
      <c r="CV53">
        <v>2</v>
      </c>
      <c r="CW53">
        <v>0</v>
      </c>
      <c r="CX53">
        <v>7</v>
      </c>
      <c r="CY53">
        <v>7</v>
      </c>
      <c r="CZ53" t="s">
        <v>133</v>
      </c>
      <c r="DA53">
        <v>125</v>
      </c>
      <c r="DB53">
        <v>1</v>
      </c>
      <c r="DC53" t="s">
        <v>134</v>
      </c>
      <c r="DD53" t="s">
        <v>135</v>
      </c>
      <c r="DG53">
        <v>2450676</v>
      </c>
      <c r="DI53">
        <v>0</v>
      </c>
      <c r="DJ53">
        <v>0</v>
      </c>
      <c r="DK53">
        <v>1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</row>
    <row r="54" spans="1:123" x14ac:dyDescent="0.25">
      <c r="A54" t="str">
        <f>"04/17/2026 15:37:41.134"</f>
        <v>04/17/2026 15:37:41.134</v>
      </c>
      <c r="C54" t="str">
        <f t="shared" si="0"/>
        <v>FFDFD3C0</v>
      </c>
      <c r="D54" t="s">
        <v>139</v>
      </c>
      <c r="E54" t="str">
        <f>"28"</f>
        <v>28</v>
      </c>
      <c r="H54">
        <v>140</v>
      </c>
      <c r="I54" t="s">
        <v>140</v>
      </c>
      <c r="J54" t="s">
        <v>141</v>
      </c>
      <c r="K54">
        <v>0</v>
      </c>
      <c r="L54">
        <v>3</v>
      </c>
      <c r="M54">
        <v>0</v>
      </c>
      <c r="N54">
        <v>2</v>
      </c>
      <c r="O54">
        <v>1</v>
      </c>
      <c r="P54">
        <v>0</v>
      </c>
      <c r="Q54">
        <v>0</v>
      </c>
      <c r="R54" t="s">
        <v>127</v>
      </c>
      <c r="S54" t="str">
        <f>"15:37:40.852"</f>
        <v>15:37:40.852</v>
      </c>
      <c r="T54" t="str">
        <f>"15:37:40.652"</f>
        <v>15:37:40.652</v>
      </c>
      <c r="U54" t="str">
        <f t="shared" si="2"/>
        <v>A55E09</v>
      </c>
      <c r="V54">
        <v>0</v>
      </c>
      <c r="W54">
        <v>0</v>
      </c>
      <c r="X54">
        <v>2</v>
      </c>
      <c r="Y54">
        <v>0</v>
      </c>
      <c r="AA54">
        <v>0</v>
      </c>
      <c r="AB54">
        <v>9</v>
      </c>
      <c r="AC54">
        <v>3</v>
      </c>
      <c r="AD54">
        <v>0</v>
      </c>
      <c r="AE54">
        <v>9</v>
      </c>
      <c r="AF54" t="s">
        <v>128</v>
      </c>
      <c r="AG54">
        <v>0</v>
      </c>
      <c r="AH54">
        <v>0</v>
      </c>
      <c r="AI54">
        <v>1</v>
      </c>
      <c r="AJ54">
        <v>0</v>
      </c>
      <c r="AK54" t="s">
        <v>162</v>
      </c>
      <c r="AL54">
        <v>33.661830000000002</v>
      </c>
      <c r="AM54" t="s">
        <v>163</v>
      </c>
      <c r="AN54">
        <v>-101.199467</v>
      </c>
      <c r="AO54">
        <v>100</v>
      </c>
      <c r="AP54">
        <v>3200</v>
      </c>
      <c r="AQ54" t="s">
        <v>131</v>
      </c>
      <c r="AR54">
        <v>-28</v>
      </c>
      <c r="AS54">
        <v>-28</v>
      </c>
      <c r="AT54">
        <v>640</v>
      </c>
      <c r="BB54" t="str">
        <f t="shared" si="3"/>
        <v>1200</v>
      </c>
      <c r="BC54">
        <v>1</v>
      </c>
      <c r="BD54" t="str">
        <f t="shared" si="4"/>
        <v xml:space="preserve">N445JS  </v>
      </c>
      <c r="BE54">
        <v>7</v>
      </c>
      <c r="BG54">
        <v>0</v>
      </c>
      <c r="BH54">
        <v>0</v>
      </c>
      <c r="BI54">
        <v>0</v>
      </c>
      <c r="BJ54">
        <v>2975</v>
      </c>
      <c r="BK54">
        <v>-225</v>
      </c>
      <c r="BL54" t="s">
        <v>132</v>
      </c>
      <c r="BM54">
        <v>1</v>
      </c>
      <c r="BN54">
        <v>1</v>
      </c>
      <c r="BO54">
        <v>1</v>
      </c>
      <c r="BP54">
        <v>0</v>
      </c>
      <c r="BT54">
        <v>0</v>
      </c>
      <c r="BU54">
        <v>0</v>
      </c>
      <c r="CE54" t="str">
        <f>"15:37:40.857"</f>
        <v>15:37:40.857</v>
      </c>
      <c r="CF54">
        <v>857235959</v>
      </c>
      <c r="CS54">
        <v>0</v>
      </c>
      <c r="CT54">
        <v>2</v>
      </c>
      <c r="CU54">
        <v>0</v>
      </c>
      <c r="CV54">
        <v>2</v>
      </c>
      <c r="CW54">
        <v>0</v>
      </c>
      <c r="CX54">
        <v>7</v>
      </c>
      <c r="CY54">
        <v>7</v>
      </c>
      <c r="CZ54" t="s">
        <v>133</v>
      </c>
      <c r="DA54">
        <v>125</v>
      </c>
      <c r="DB54">
        <v>1</v>
      </c>
      <c r="DC54" t="s">
        <v>134</v>
      </c>
      <c r="DD54" t="s">
        <v>135</v>
      </c>
      <c r="DG54">
        <v>2451592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</row>
    <row r="55" spans="1:123" x14ac:dyDescent="0.25">
      <c r="A55" t="str">
        <f>"04/17/2026 15:37:41.162"</f>
        <v>04/17/2026 15:37:41.162</v>
      </c>
      <c r="C55" t="str">
        <f t="shared" si="0"/>
        <v>FFDFD3C0</v>
      </c>
      <c r="D55" t="s">
        <v>124</v>
      </c>
      <c r="E55" t="str">
        <f>"03"</f>
        <v>03</v>
      </c>
      <c r="H55">
        <v>160</v>
      </c>
      <c r="I55" t="s">
        <v>125</v>
      </c>
      <c r="J55" t="s">
        <v>126</v>
      </c>
      <c r="K55">
        <v>0</v>
      </c>
      <c r="L55">
        <v>3</v>
      </c>
      <c r="M55">
        <v>0</v>
      </c>
      <c r="N55">
        <v>2</v>
      </c>
      <c r="O55">
        <v>1</v>
      </c>
      <c r="P55">
        <v>0</v>
      </c>
      <c r="Q55">
        <v>0</v>
      </c>
      <c r="R55" t="s">
        <v>127</v>
      </c>
      <c r="S55" t="str">
        <f>"15:37:40.852"</f>
        <v>15:37:40.852</v>
      </c>
      <c r="T55" t="str">
        <f>"15:37:40.652"</f>
        <v>15:37:40.652</v>
      </c>
      <c r="U55" t="str">
        <f t="shared" si="2"/>
        <v>A55E09</v>
      </c>
      <c r="V55">
        <v>0</v>
      </c>
      <c r="W55">
        <v>0</v>
      </c>
      <c r="X55">
        <v>2</v>
      </c>
      <c r="Y55">
        <v>0</v>
      </c>
      <c r="AA55">
        <v>0</v>
      </c>
      <c r="AB55">
        <v>9</v>
      </c>
      <c r="AC55">
        <v>3</v>
      </c>
      <c r="AD55">
        <v>0</v>
      </c>
      <c r="AE55">
        <v>9</v>
      </c>
      <c r="AF55" t="s">
        <v>128</v>
      </c>
      <c r="AG55">
        <v>0</v>
      </c>
      <c r="AH55">
        <v>0</v>
      </c>
      <c r="AI55">
        <v>1</v>
      </c>
      <c r="AJ55">
        <v>0</v>
      </c>
      <c r="AK55" t="s">
        <v>162</v>
      </c>
      <c r="AL55">
        <v>33.661830000000002</v>
      </c>
      <c r="AM55" t="s">
        <v>163</v>
      </c>
      <c r="AN55">
        <v>-101.199467</v>
      </c>
      <c r="AO55">
        <v>100</v>
      </c>
      <c r="AP55">
        <v>3200</v>
      </c>
      <c r="AQ55" t="s">
        <v>131</v>
      </c>
      <c r="AR55">
        <v>-28</v>
      </c>
      <c r="AS55">
        <v>-28</v>
      </c>
      <c r="AT55">
        <v>640</v>
      </c>
      <c r="BB55" t="str">
        <f t="shared" si="3"/>
        <v>1200</v>
      </c>
      <c r="BC55">
        <v>1</v>
      </c>
      <c r="BD55" t="str">
        <f t="shared" si="4"/>
        <v xml:space="preserve">N445JS  </v>
      </c>
      <c r="BE55">
        <v>7</v>
      </c>
      <c r="BG55">
        <v>0</v>
      </c>
      <c r="BH55">
        <v>0</v>
      </c>
      <c r="BI55">
        <v>0</v>
      </c>
      <c r="BJ55">
        <v>2975</v>
      </c>
      <c r="BK55">
        <v>-225</v>
      </c>
      <c r="BL55" t="s">
        <v>132</v>
      </c>
      <c r="BM55">
        <v>1</v>
      </c>
      <c r="BN55">
        <v>1</v>
      </c>
      <c r="BO55">
        <v>1</v>
      </c>
      <c r="BP55">
        <v>0</v>
      </c>
      <c r="BT55">
        <v>0</v>
      </c>
      <c r="BU55">
        <v>0</v>
      </c>
      <c r="CE55" t="str">
        <f>"15:37:40.857"</f>
        <v>15:37:40.857</v>
      </c>
      <c r="CF55">
        <v>857235959</v>
      </c>
      <c r="CS55">
        <v>0</v>
      </c>
      <c r="CT55">
        <v>2</v>
      </c>
      <c r="CU55">
        <v>0</v>
      </c>
      <c r="CV55">
        <v>2</v>
      </c>
      <c r="CW55">
        <v>0</v>
      </c>
      <c r="CX55">
        <v>7</v>
      </c>
      <c r="CY55">
        <v>7</v>
      </c>
      <c r="CZ55" t="s">
        <v>133</v>
      </c>
      <c r="DA55">
        <v>125</v>
      </c>
      <c r="DB55">
        <v>1</v>
      </c>
      <c r="DC55" t="s">
        <v>134</v>
      </c>
      <c r="DD55" t="s">
        <v>135</v>
      </c>
      <c r="DG55">
        <v>2451592</v>
      </c>
      <c r="DI55">
        <v>0</v>
      </c>
      <c r="DJ55">
        <v>0</v>
      </c>
      <c r="DK55">
        <v>1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</row>
    <row r="56" spans="1:123" x14ac:dyDescent="0.25">
      <c r="A56" t="str">
        <f>"04/17/2026 15:37:41.163"</f>
        <v>04/17/2026 15:37:41.163</v>
      </c>
      <c r="C56" t="str">
        <f t="shared" si="0"/>
        <v>FFDFD3C0</v>
      </c>
      <c r="D56" t="s">
        <v>136</v>
      </c>
      <c r="E56" t="str">
        <f>"0E"</f>
        <v>0E</v>
      </c>
      <c r="F56">
        <v>1014</v>
      </c>
      <c r="G56" t="s">
        <v>125</v>
      </c>
      <c r="J56" t="s">
        <v>137</v>
      </c>
      <c r="K56">
        <v>0</v>
      </c>
      <c r="L56">
        <v>3</v>
      </c>
      <c r="M56">
        <v>0</v>
      </c>
      <c r="N56">
        <v>2</v>
      </c>
      <c r="O56">
        <v>1</v>
      </c>
      <c r="P56">
        <v>0</v>
      </c>
      <c r="Q56">
        <v>0</v>
      </c>
      <c r="R56" t="s">
        <v>127</v>
      </c>
      <c r="S56" t="str">
        <f>"15:37:40.852"</f>
        <v>15:37:40.852</v>
      </c>
      <c r="T56" t="str">
        <f>"15:37:40.652"</f>
        <v>15:37:40.652</v>
      </c>
      <c r="U56" t="str">
        <f t="shared" si="2"/>
        <v>A55E09</v>
      </c>
      <c r="V56">
        <v>0</v>
      </c>
      <c r="W56">
        <v>0</v>
      </c>
      <c r="X56">
        <v>2</v>
      </c>
      <c r="Y56">
        <v>0</v>
      </c>
      <c r="AA56">
        <v>0</v>
      </c>
      <c r="AB56">
        <v>9</v>
      </c>
      <c r="AC56">
        <v>3</v>
      </c>
      <c r="AD56">
        <v>0</v>
      </c>
      <c r="AE56">
        <v>9</v>
      </c>
      <c r="AF56" t="s">
        <v>128</v>
      </c>
      <c r="AG56">
        <v>0</v>
      </c>
      <c r="AH56">
        <v>0</v>
      </c>
      <c r="AI56">
        <v>1</v>
      </c>
      <c r="AJ56">
        <v>0</v>
      </c>
      <c r="AK56" t="s">
        <v>162</v>
      </c>
      <c r="AL56">
        <v>33.661830000000002</v>
      </c>
      <c r="AM56" t="s">
        <v>163</v>
      </c>
      <c r="AN56">
        <v>-101.199467</v>
      </c>
      <c r="AO56">
        <v>100</v>
      </c>
      <c r="AP56">
        <v>3200</v>
      </c>
      <c r="AQ56" t="s">
        <v>131</v>
      </c>
      <c r="AR56">
        <v>-28</v>
      </c>
      <c r="AS56">
        <v>-28</v>
      </c>
      <c r="AT56">
        <v>640</v>
      </c>
      <c r="BB56" t="str">
        <f t="shared" si="3"/>
        <v>1200</v>
      </c>
      <c r="BC56">
        <v>1</v>
      </c>
      <c r="BD56" t="str">
        <f t="shared" si="4"/>
        <v xml:space="preserve">N445JS  </v>
      </c>
      <c r="BE56">
        <v>7</v>
      </c>
      <c r="BG56">
        <v>0</v>
      </c>
      <c r="BH56">
        <v>0</v>
      </c>
      <c r="BI56">
        <v>0</v>
      </c>
      <c r="BJ56">
        <v>2975</v>
      </c>
      <c r="BK56">
        <v>-225</v>
      </c>
      <c r="BL56" t="s">
        <v>132</v>
      </c>
      <c r="BM56">
        <v>1</v>
      </c>
      <c r="BN56">
        <v>1</v>
      </c>
      <c r="BO56">
        <v>1</v>
      </c>
      <c r="BP56">
        <v>0</v>
      </c>
      <c r="BT56">
        <v>0</v>
      </c>
      <c r="BU56">
        <v>0</v>
      </c>
      <c r="CE56" t="str">
        <f>"15:37:40.857"</f>
        <v>15:37:40.857</v>
      </c>
      <c r="CF56">
        <v>857235959</v>
      </c>
      <c r="CS56">
        <v>0</v>
      </c>
      <c r="CT56">
        <v>2</v>
      </c>
      <c r="CU56">
        <v>0</v>
      </c>
      <c r="CV56">
        <v>2</v>
      </c>
      <c r="CW56">
        <v>0</v>
      </c>
      <c r="CX56">
        <v>7</v>
      </c>
      <c r="CY56">
        <v>7</v>
      </c>
      <c r="CZ56" t="s">
        <v>133</v>
      </c>
      <c r="DA56">
        <v>125</v>
      </c>
      <c r="DB56">
        <v>1</v>
      </c>
      <c r="DC56" t="s">
        <v>134</v>
      </c>
      <c r="DD56" t="s">
        <v>135</v>
      </c>
      <c r="DG56">
        <v>2451592</v>
      </c>
      <c r="DI56">
        <v>0</v>
      </c>
      <c r="DJ56">
        <v>0</v>
      </c>
      <c r="DK56">
        <v>1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0</v>
      </c>
    </row>
    <row r="57" spans="1:123" x14ac:dyDescent="0.25">
      <c r="A57" t="str">
        <f>"04/17/2026 15:37:41.164"</f>
        <v>04/17/2026 15:37:41.164</v>
      </c>
      <c r="C57" t="str">
        <f t="shared" si="0"/>
        <v>FFDFD3C0</v>
      </c>
      <c r="D57" t="s">
        <v>136</v>
      </c>
      <c r="E57" t="str">
        <f>"0F"</f>
        <v>0F</v>
      </c>
      <c r="F57">
        <v>1015</v>
      </c>
      <c r="G57" t="s">
        <v>138</v>
      </c>
      <c r="J57" t="s">
        <v>137</v>
      </c>
      <c r="K57">
        <v>0</v>
      </c>
      <c r="L57">
        <v>3</v>
      </c>
      <c r="M57">
        <v>0</v>
      </c>
      <c r="N57">
        <v>2</v>
      </c>
      <c r="O57">
        <v>1</v>
      </c>
      <c r="P57">
        <v>0</v>
      </c>
      <c r="Q57">
        <v>0</v>
      </c>
      <c r="R57" t="s">
        <v>127</v>
      </c>
      <c r="S57" t="str">
        <f>"15:37:40.852"</f>
        <v>15:37:40.852</v>
      </c>
      <c r="T57" t="str">
        <f>"15:37:40.652"</f>
        <v>15:37:40.652</v>
      </c>
      <c r="U57" t="str">
        <f t="shared" si="2"/>
        <v>A55E09</v>
      </c>
      <c r="V57">
        <v>0</v>
      </c>
      <c r="W57">
        <v>0</v>
      </c>
      <c r="X57">
        <v>2</v>
      </c>
      <c r="Y57">
        <v>0</v>
      </c>
      <c r="AA57">
        <v>0</v>
      </c>
      <c r="AB57">
        <v>9</v>
      </c>
      <c r="AC57">
        <v>3</v>
      </c>
      <c r="AD57">
        <v>0</v>
      </c>
      <c r="AE57">
        <v>9</v>
      </c>
      <c r="AF57" t="s">
        <v>128</v>
      </c>
      <c r="AG57">
        <v>0</v>
      </c>
      <c r="AH57">
        <v>0</v>
      </c>
      <c r="AI57">
        <v>1</v>
      </c>
      <c r="AJ57">
        <v>0</v>
      </c>
      <c r="AK57" t="s">
        <v>162</v>
      </c>
      <c r="AL57">
        <v>33.661830000000002</v>
      </c>
      <c r="AM57" t="s">
        <v>163</v>
      </c>
      <c r="AN57">
        <v>-101.199467</v>
      </c>
      <c r="AO57">
        <v>100</v>
      </c>
      <c r="AP57">
        <v>3200</v>
      </c>
      <c r="AQ57" t="s">
        <v>131</v>
      </c>
      <c r="AR57">
        <v>-28</v>
      </c>
      <c r="AS57">
        <v>-28</v>
      </c>
      <c r="AT57">
        <v>640</v>
      </c>
      <c r="BB57" t="str">
        <f t="shared" si="3"/>
        <v>1200</v>
      </c>
      <c r="BC57">
        <v>1</v>
      </c>
      <c r="BD57" t="str">
        <f t="shared" si="4"/>
        <v xml:space="preserve">N445JS  </v>
      </c>
      <c r="BE57">
        <v>7</v>
      </c>
      <c r="BG57">
        <v>0</v>
      </c>
      <c r="BH57">
        <v>0</v>
      </c>
      <c r="BI57">
        <v>0</v>
      </c>
      <c r="BJ57">
        <v>2975</v>
      </c>
      <c r="BK57">
        <v>-225</v>
      </c>
      <c r="BL57" t="s">
        <v>132</v>
      </c>
      <c r="BM57">
        <v>1</v>
      </c>
      <c r="BN57">
        <v>1</v>
      </c>
      <c r="BO57">
        <v>1</v>
      </c>
      <c r="BP57">
        <v>0</v>
      </c>
      <c r="BT57">
        <v>0</v>
      </c>
      <c r="BU57">
        <v>0</v>
      </c>
      <c r="CE57" t="str">
        <f>"15:37:40.857"</f>
        <v>15:37:40.857</v>
      </c>
      <c r="CF57">
        <v>857235959</v>
      </c>
      <c r="CS57">
        <v>0</v>
      </c>
      <c r="CT57">
        <v>2</v>
      </c>
      <c r="CU57">
        <v>0</v>
      </c>
      <c r="CV57">
        <v>2</v>
      </c>
      <c r="CW57">
        <v>0</v>
      </c>
      <c r="CX57">
        <v>7</v>
      </c>
      <c r="CY57">
        <v>7</v>
      </c>
      <c r="CZ57" t="s">
        <v>133</v>
      </c>
      <c r="DA57">
        <v>125</v>
      </c>
      <c r="DB57">
        <v>1</v>
      </c>
      <c r="DC57" t="s">
        <v>134</v>
      </c>
      <c r="DD57" t="s">
        <v>135</v>
      </c>
      <c r="DG57">
        <v>2451592</v>
      </c>
      <c r="DI57">
        <v>0</v>
      </c>
      <c r="DJ57">
        <v>0</v>
      </c>
      <c r="DK57">
        <v>1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0</v>
      </c>
      <c r="DR57">
        <v>0</v>
      </c>
      <c r="DS57">
        <v>0</v>
      </c>
    </row>
    <row r="58" spans="1:123" x14ac:dyDescent="0.25">
      <c r="A58" t="str">
        <f>"04/17/2026 15:37:42.536"</f>
        <v>04/17/2026 15:37:42.536</v>
      </c>
      <c r="C58" t="str">
        <f t="shared" si="0"/>
        <v>FFDFD3C0</v>
      </c>
      <c r="D58" t="s">
        <v>139</v>
      </c>
      <c r="E58" t="str">
        <f>"28"</f>
        <v>28</v>
      </c>
      <c r="H58">
        <v>140</v>
      </c>
      <c r="I58" t="s">
        <v>140</v>
      </c>
      <c r="J58" t="s">
        <v>141</v>
      </c>
      <c r="K58">
        <v>0</v>
      </c>
      <c r="L58">
        <v>3</v>
      </c>
      <c r="M58">
        <v>0</v>
      </c>
      <c r="N58">
        <v>2</v>
      </c>
      <c r="O58">
        <v>1</v>
      </c>
      <c r="P58">
        <v>0</v>
      </c>
      <c r="Q58">
        <v>0</v>
      </c>
      <c r="R58" t="s">
        <v>127</v>
      </c>
      <c r="S58" t="str">
        <f>"15:37:42.281"</f>
        <v>15:37:42.281</v>
      </c>
      <c r="T58" t="str">
        <f>"15:37:42.081"</f>
        <v>15:37:42.081</v>
      </c>
      <c r="U58" t="str">
        <f t="shared" si="2"/>
        <v>A55E09</v>
      </c>
      <c r="V58">
        <v>0</v>
      </c>
      <c r="W58">
        <v>0</v>
      </c>
      <c r="X58">
        <v>2</v>
      </c>
      <c r="Y58">
        <v>0</v>
      </c>
      <c r="AA58">
        <v>0</v>
      </c>
      <c r="AB58">
        <v>9</v>
      </c>
      <c r="AC58">
        <v>3</v>
      </c>
      <c r="AD58">
        <v>0</v>
      </c>
      <c r="AE58">
        <v>9</v>
      </c>
      <c r="AF58" t="s">
        <v>128</v>
      </c>
      <c r="AG58">
        <v>0</v>
      </c>
      <c r="AH58">
        <v>0</v>
      </c>
      <c r="AI58">
        <v>1</v>
      </c>
      <c r="AJ58">
        <v>0</v>
      </c>
      <c r="AK58" t="s">
        <v>164</v>
      </c>
      <c r="AL58">
        <v>33.661701999999998</v>
      </c>
      <c r="AM58" t="s">
        <v>165</v>
      </c>
      <c r="AN58">
        <v>-101.19976800000001</v>
      </c>
      <c r="AO58">
        <v>100</v>
      </c>
      <c r="AP58">
        <v>3200</v>
      </c>
      <c r="AQ58" t="s">
        <v>131</v>
      </c>
      <c r="AR58">
        <v>-35</v>
      </c>
      <c r="AS58">
        <v>-13</v>
      </c>
      <c r="AT58">
        <v>960</v>
      </c>
      <c r="BB58" t="str">
        <f t="shared" si="3"/>
        <v>1200</v>
      </c>
      <c r="BC58">
        <v>1</v>
      </c>
      <c r="BD58" t="str">
        <f t="shared" si="4"/>
        <v xml:space="preserve">N445JS  </v>
      </c>
      <c r="BE58">
        <v>7</v>
      </c>
      <c r="BG58">
        <v>0</v>
      </c>
      <c r="BH58">
        <v>0</v>
      </c>
      <c r="BI58">
        <v>0</v>
      </c>
      <c r="BJ58">
        <v>2975</v>
      </c>
      <c r="BK58">
        <v>-225</v>
      </c>
      <c r="BL58" t="s">
        <v>132</v>
      </c>
      <c r="BM58">
        <v>1</v>
      </c>
      <c r="BN58">
        <v>1</v>
      </c>
      <c r="BO58">
        <v>1</v>
      </c>
      <c r="BP58">
        <v>0</v>
      </c>
      <c r="BT58">
        <v>0</v>
      </c>
      <c r="BU58">
        <v>0</v>
      </c>
      <c r="CE58" t="str">
        <f>"15:37:42.282"</f>
        <v>15:37:42.282</v>
      </c>
      <c r="CF58">
        <v>282096271</v>
      </c>
      <c r="CS58">
        <v>0</v>
      </c>
      <c r="CT58">
        <v>2</v>
      </c>
      <c r="CU58">
        <v>0</v>
      </c>
      <c r="CV58">
        <v>2</v>
      </c>
      <c r="CW58">
        <v>0</v>
      </c>
      <c r="CX58">
        <v>7</v>
      </c>
      <c r="CY58">
        <v>7</v>
      </c>
      <c r="CZ58" t="s">
        <v>133</v>
      </c>
      <c r="DA58">
        <v>125</v>
      </c>
      <c r="DB58">
        <v>1</v>
      </c>
      <c r="DC58" t="s">
        <v>134</v>
      </c>
      <c r="DD58" t="s">
        <v>135</v>
      </c>
      <c r="DG58">
        <v>2452960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</row>
    <row r="59" spans="1:123" x14ac:dyDescent="0.25">
      <c r="A59" t="str">
        <f>"04/17/2026 15:37:42.567"</f>
        <v>04/17/2026 15:37:42.567</v>
      </c>
      <c r="C59" t="str">
        <f t="shared" si="0"/>
        <v>FFDFD3C0</v>
      </c>
      <c r="D59" t="s">
        <v>136</v>
      </c>
      <c r="E59" t="str">
        <f>"0F"</f>
        <v>0F</v>
      </c>
      <c r="F59">
        <v>1015</v>
      </c>
      <c r="G59" t="s">
        <v>138</v>
      </c>
      <c r="J59" t="s">
        <v>137</v>
      </c>
      <c r="K59">
        <v>0</v>
      </c>
      <c r="L59">
        <v>3</v>
      </c>
      <c r="M59">
        <v>0</v>
      </c>
      <c r="N59">
        <v>2</v>
      </c>
      <c r="O59">
        <v>1</v>
      </c>
      <c r="P59">
        <v>0</v>
      </c>
      <c r="Q59">
        <v>0</v>
      </c>
      <c r="R59" t="s">
        <v>127</v>
      </c>
      <c r="S59" t="str">
        <f>"15:37:42.281"</f>
        <v>15:37:42.281</v>
      </c>
      <c r="T59" t="str">
        <f>"15:37:42.081"</f>
        <v>15:37:42.081</v>
      </c>
      <c r="U59" t="str">
        <f t="shared" si="2"/>
        <v>A55E09</v>
      </c>
      <c r="V59">
        <v>0</v>
      </c>
      <c r="W59">
        <v>0</v>
      </c>
      <c r="X59">
        <v>2</v>
      </c>
      <c r="Y59">
        <v>0</v>
      </c>
      <c r="AA59">
        <v>0</v>
      </c>
      <c r="AB59">
        <v>9</v>
      </c>
      <c r="AC59">
        <v>3</v>
      </c>
      <c r="AD59">
        <v>0</v>
      </c>
      <c r="AE59">
        <v>9</v>
      </c>
      <c r="AF59" t="s">
        <v>128</v>
      </c>
      <c r="AG59">
        <v>0</v>
      </c>
      <c r="AH59">
        <v>0</v>
      </c>
      <c r="AI59">
        <v>1</v>
      </c>
      <c r="AJ59">
        <v>0</v>
      </c>
      <c r="AK59" t="s">
        <v>164</v>
      </c>
      <c r="AL59">
        <v>33.661701999999998</v>
      </c>
      <c r="AM59" t="s">
        <v>165</v>
      </c>
      <c r="AN59">
        <v>-101.19976800000001</v>
      </c>
      <c r="AO59">
        <v>100</v>
      </c>
      <c r="AP59">
        <v>3200</v>
      </c>
      <c r="AQ59" t="s">
        <v>131</v>
      </c>
      <c r="AR59">
        <v>-35</v>
      </c>
      <c r="AS59">
        <v>-13</v>
      </c>
      <c r="AT59">
        <v>960</v>
      </c>
      <c r="BB59" t="str">
        <f t="shared" si="3"/>
        <v>1200</v>
      </c>
      <c r="BC59">
        <v>1</v>
      </c>
      <c r="BD59" t="str">
        <f t="shared" si="4"/>
        <v xml:space="preserve">N445JS  </v>
      </c>
      <c r="BE59">
        <v>7</v>
      </c>
      <c r="BG59">
        <v>0</v>
      </c>
      <c r="BH59">
        <v>0</v>
      </c>
      <c r="BI59">
        <v>0</v>
      </c>
      <c r="BJ59">
        <v>2975</v>
      </c>
      <c r="BK59">
        <v>-225</v>
      </c>
      <c r="BL59" t="s">
        <v>132</v>
      </c>
      <c r="BM59">
        <v>1</v>
      </c>
      <c r="BN59">
        <v>1</v>
      </c>
      <c r="BO59">
        <v>1</v>
      </c>
      <c r="BP59">
        <v>0</v>
      </c>
      <c r="BT59">
        <v>0</v>
      </c>
      <c r="BU59">
        <v>0</v>
      </c>
      <c r="CE59" t="str">
        <f>"15:37:42.282"</f>
        <v>15:37:42.282</v>
      </c>
      <c r="CF59">
        <v>282096271</v>
      </c>
      <c r="CS59">
        <v>0</v>
      </c>
      <c r="CT59">
        <v>2</v>
      </c>
      <c r="CU59">
        <v>0</v>
      </c>
      <c r="CV59">
        <v>2</v>
      </c>
      <c r="CW59">
        <v>0</v>
      </c>
      <c r="CX59">
        <v>7</v>
      </c>
      <c r="CY59">
        <v>7</v>
      </c>
      <c r="CZ59" t="s">
        <v>133</v>
      </c>
      <c r="DA59">
        <v>125</v>
      </c>
      <c r="DB59">
        <v>1</v>
      </c>
      <c r="DC59" t="s">
        <v>134</v>
      </c>
      <c r="DD59" t="s">
        <v>135</v>
      </c>
      <c r="DG59">
        <v>2452960</v>
      </c>
      <c r="DI59">
        <v>0</v>
      </c>
      <c r="DJ59">
        <v>0</v>
      </c>
      <c r="DK59">
        <v>1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</row>
    <row r="60" spans="1:123" x14ac:dyDescent="0.25">
      <c r="A60" t="str">
        <f>"04/17/2026 15:37:42.565"</f>
        <v>04/17/2026 15:37:42.565</v>
      </c>
      <c r="C60" t="str">
        <f t="shared" si="0"/>
        <v>FFDFD3C0</v>
      </c>
      <c r="D60" t="s">
        <v>136</v>
      </c>
      <c r="E60" t="str">
        <f>"0E"</f>
        <v>0E</v>
      </c>
      <c r="F60">
        <v>1014</v>
      </c>
      <c r="G60" t="s">
        <v>125</v>
      </c>
      <c r="J60" t="s">
        <v>137</v>
      </c>
      <c r="K60">
        <v>0</v>
      </c>
      <c r="L60">
        <v>3</v>
      </c>
      <c r="M60">
        <v>0</v>
      </c>
      <c r="N60">
        <v>2</v>
      </c>
      <c r="O60">
        <v>1</v>
      </c>
      <c r="P60">
        <v>0</v>
      </c>
      <c r="Q60">
        <v>0</v>
      </c>
      <c r="R60" t="s">
        <v>127</v>
      </c>
      <c r="S60" t="str">
        <f>"15:37:42.281"</f>
        <v>15:37:42.281</v>
      </c>
      <c r="T60" t="str">
        <f>"15:37:42.081"</f>
        <v>15:37:42.081</v>
      </c>
      <c r="U60" t="str">
        <f t="shared" si="2"/>
        <v>A55E09</v>
      </c>
      <c r="V60">
        <v>0</v>
      </c>
      <c r="W60">
        <v>0</v>
      </c>
      <c r="X60">
        <v>2</v>
      </c>
      <c r="Y60">
        <v>0</v>
      </c>
      <c r="AA60">
        <v>0</v>
      </c>
      <c r="AB60">
        <v>9</v>
      </c>
      <c r="AC60">
        <v>3</v>
      </c>
      <c r="AD60">
        <v>0</v>
      </c>
      <c r="AE60">
        <v>9</v>
      </c>
      <c r="AF60" t="s">
        <v>128</v>
      </c>
      <c r="AG60">
        <v>0</v>
      </c>
      <c r="AH60">
        <v>0</v>
      </c>
      <c r="AI60">
        <v>1</v>
      </c>
      <c r="AJ60">
        <v>0</v>
      </c>
      <c r="AK60" t="s">
        <v>164</v>
      </c>
      <c r="AL60">
        <v>33.661701999999998</v>
      </c>
      <c r="AM60" t="s">
        <v>165</v>
      </c>
      <c r="AN60">
        <v>-101.19976800000001</v>
      </c>
      <c r="AO60">
        <v>100</v>
      </c>
      <c r="AP60">
        <v>3200</v>
      </c>
      <c r="AQ60" t="s">
        <v>131</v>
      </c>
      <c r="AR60">
        <v>-35</v>
      </c>
      <c r="AS60">
        <v>-13</v>
      </c>
      <c r="AT60">
        <v>960</v>
      </c>
      <c r="BB60" t="str">
        <f t="shared" si="3"/>
        <v>1200</v>
      </c>
      <c r="BC60">
        <v>1</v>
      </c>
      <c r="BD60" t="str">
        <f t="shared" si="4"/>
        <v xml:space="preserve">N445JS  </v>
      </c>
      <c r="BE60">
        <v>7</v>
      </c>
      <c r="BG60">
        <v>0</v>
      </c>
      <c r="BH60">
        <v>0</v>
      </c>
      <c r="BI60">
        <v>0</v>
      </c>
      <c r="BJ60">
        <v>2975</v>
      </c>
      <c r="BK60">
        <v>-225</v>
      </c>
      <c r="BL60" t="s">
        <v>132</v>
      </c>
      <c r="BM60">
        <v>1</v>
      </c>
      <c r="BN60">
        <v>1</v>
      </c>
      <c r="BO60">
        <v>1</v>
      </c>
      <c r="BP60">
        <v>0</v>
      </c>
      <c r="BT60">
        <v>0</v>
      </c>
      <c r="BU60">
        <v>0</v>
      </c>
      <c r="CE60" t="str">
        <f>"15:37:42.282"</f>
        <v>15:37:42.282</v>
      </c>
      <c r="CF60">
        <v>282096271</v>
      </c>
      <c r="CS60">
        <v>0</v>
      </c>
      <c r="CT60">
        <v>2</v>
      </c>
      <c r="CU60">
        <v>0</v>
      </c>
      <c r="CV60">
        <v>2</v>
      </c>
      <c r="CW60">
        <v>0</v>
      </c>
      <c r="CX60">
        <v>7</v>
      </c>
      <c r="CY60">
        <v>7</v>
      </c>
      <c r="CZ60" t="s">
        <v>133</v>
      </c>
      <c r="DA60">
        <v>125</v>
      </c>
      <c r="DB60">
        <v>1</v>
      </c>
      <c r="DC60" t="s">
        <v>134</v>
      </c>
      <c r="DD60" t="s">
        <v>135</v>
      </c>
      <c r="DG60">
        <v>2452960</v>
      </c>
      <c r="DI60">
        <v>0</v>
      </c>
      <c r="DJ60">
        <v>0</v>
      </c>
      <c r="DK60">
        <v>1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0</v>
      </c>
    </row>
    <row r="61" spans="1:123" x14ac:dyDescent="0.25">
      <c r="A61" t="str">
        <f>"04/17/2026 15:37:42.564"</f>
        <v>04/17/2026 15:37:42.564</v>
      </c>
      <c r="C61" t="str">
        <f t="shared" si="0"/>
        <v>FFDFD3C0</v>
      </c>
      <c r="D61" t="s">
        <v>124</v>
      </c>
      <c r="E61" t="str">
        <f>"03"</f>
        <v>03</v>
      </c>
      <c r="H61">
        <v>160</v>
      </c>
      <c r="I61" t="s">
        <v>125</v>
      </c>
      <c r="J61" t="s">
        <v>126</v>
      </c>
      <c r="K61">
        <v>0</v>
      </c>
      <c r="L61">
        <v>3</v>
      </c>
      <c r="M61">
        <v>0</v>
      </c>
      <c r="N61">
        <v>2</v>
      </c>
      <c r="O61">
        <v>1</v>
      </c>
      <c r="P61">
        <v>0</v>
      </c>
      <c r="Q61">
        <v>0</v>
      </c>
      <c r="R61" t="s">
        <v>127</v>
      </c>
      <c r="S61" t="str">
        <f>"15:37:42.281"</f>
        <v>15:37:42.281</v>
      </c>
      <c r="T61" t="str">
        <f>"15:37:42.081"</f>
        <v>15:37:42.081</v>
      </c>
      <c r="U61" t="str">
        <f t="shared" si="2"/>
        <v>A55E09</v>
      </c>
      <c r="V61">
        <v>0</v>
      </c>
      <c r="W61">
        <v>0</v>
      </c>
      <c r="X61">
        <v>2</v>
      </c>
      <c r="Y61">
        <v>0</v>
      </c>
      <c r="AA61">
        <v>0</v>
      </c>
      <c r="AB61">
        <v>9</v>
      </c>
      <c r="AC61">
        <v>3</v>
      </c>
      <c r="AD61">
        <v>0</v>
      </c>
      <c r="AE61">
        <v>9</v>
      </c>
      <c r="AF61" t="s">
        <v>128</v>
      </c>
      <c r="AG61">
        <v>0</v>
      </c>
      <c r="AH61">
        <v>0</v>
      </c>
      <c r="AI61">
        <v>1</v>
      </c>
      <c r="AJ61">
        <v>0</v>
      </c>
      <c r="AK61" t="s">
        <v>164</v>
      </c>
      <c r="AL61">
        <v>33.661701999999998</v>
      </c>
      <c r="AM61" t="s">
        <v>165</v>
      </c>
      <c r="AN61">
        <v>-101.19976800000001</v>
      </c>
      <c r="AO61">
        <v>100</v>
      </c>
      <c r="AP61">
        <v>3200</v>
      </c>
      <c r="AQ61" t="s">
        <v>131</v>
      </c>
      <c r="AR61">
        <v>-35</v>
      </c>
      <c r="AS61">
        <v>-13</v>
      </c>
      <c r="AT61">
        <v>960</v>
      </c>
      <c r="BB61" t="str">
        <f t="shared" si="3"/>
        <v>1200</v>
      </c>
      <c r="BC61">
        <v>1</v>
      </c>
      <c r="BD61" t="str">
        <f t="shared" si="4"/>
        <v xml:space="preserve">N445JS  </v>
      </c>
      <c r="BE61">
        <v>7</v>
      </c>
      <c r="BG61">
        <v>0</v>
      </c>
      <c r="BH61">
        <v>0</v>
      </c>
      <c r="BI61">
        <v>0</v>
      </c>
      <c r="BJ61">
        <v>2975</v>
      </c>
      <c r="BK61">
        <v>-225</v>
      </c>
      <c r="BL61" t="s">
        <v>132</v>
      </c>
      <c r="BM61">
        <v>1</v>
      </c>
      <c r="BN61">
        <v>1</v>
      </c>
      <c r="BO61">
        <v>1</v>
      </c>
      <c r="BP61">
        <v>0</v>
      </c>
      <c r="BT61">
        <v>0</v>
      </c>
      <c r="BU61">
        <v>0</v>
      </c>
      <c r="CE61" t="str">
        <f>"15:37:42.282"</f>
        <v>15:37:42.282</v>
      </c>
      <c r="CF61">
        <v>282096271</v>
      </c>
      <c r="CS61">
        <v>0</v>
      </c>
      <c r="CT61">
        <v>2</v>
      </c>
      <c r="CU61">
        <v>0</v>
      </c>
      <c r="CV61">
        <v>2</v>
      </c>
      <c r="CW61">
        <v>0</v>
      </c>
      <c r="CX61">
        <v>7</v>
      </c>
      <c r="CY61">
        <v>7</v>
      </c>
      <c r="CZ61" t="s">
        <v>133</v>
      </c>
      <c r="DA61">
        <v>125</v>
      </c>
      <c r="DB61">
        <v>1</v>
      </c>
      <c r="DC61" t="s">
        <v>134</v>
      </c>
      <c r="DD61" t="s">
        <v>135</v>
      </c>
      <c r="DG61">
        <v>2452960</v>
      </c>
      <c r="DI61">
        <v>0</v>
      </c>
      <c r="DJ61">
        <v>0</v>
      </c>
      <c r="DK61">
        <v>1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0</v>
      </c>
    </row>
    <row r="62" spans="1:123" x14ac:dyDescent="0.25">
      <c r="A62" t="str">
        <f>"04/17/2026 15:37:43.617"</f>
        <v>04/17/2026 15:37:43.617</v>
      </c>
      <c r="C62" t="str">
        <f t="shared" si="0"/>
        <v>FFDFD3C0</v>
      </c>
      <c r="D62" t="s">
        <v>124</v>
      </c>
      <c r="E62" t="str">
        <f>"03"</f>
        <v>03</v>
      </c>
      <c r="H62">
        <v>160</v>
      </c>
      <c r="I62" t="s">
        <v>125</v>
      </c>
      <c r="J62" t="s">
        <v>126</v>
      </c>
      <c r="K62">
        <v>0</v>
      </c>
      <c r="L62">
        <v>3</v>
      </c>
      <c r="M62">
        <v>0</v>
      </c>
      <c r="N62">
        <v>2</v>
      </c>
      <c r="O62">
        <v>1</v>
      </c>
      <c r="P62">
        <v>0</v>
      </c>
      <c r="Q62">
        <v>0</v>
      </c>
      <c r="R62" t="s">
        <v>127</v>
      </c>
      <c r="S62" t="str">
        <f>"15:37:43.359"</f>
        <v>15:37:43.359</v>
      </c>
      <c r="T62" t="str">
        <f>"15:37:43.059"</f>
        <v>15:37:43.059</v>
      </c>
      <c r="U62" t="str">
        <f t="shared" si="2"/>
        <v>A55E09</v>
      </c>
      <c r="V62">
        <v>0</v>
      </c>
      <c r="W62">
        <v>0</v>
      </c>
      <c r="X62">
        <v>2</v>
      </c>
      <c r="Y62">
        <v>0</v>
      </c>
      <c r="AA62">
        <v>0</v>
      </c>
      <c r="AB62">
        <v>9</v>
      </c>
      <c r="AC62">
        <v>3</v>
      </c>
      <c r="AD62">
        <v>0</v>
      </c>
      <c r="AE62">
        <v>9</v>
      </c>
      <c r="AF62" t="s">
        <v>128</v>
      </c>
      <c r="AG62">
        <v>0</v>
      </c>
      <c r="AH62">
        <v>0</v>
      </c>
      <c r="AI62">
        <v>1</v>
      </c>
      <c r="AJ62">
        <v>0</v>
      </c>
      <c r="AK62" t="s">
        <v>164</v>
      </c>
      <c r="AL62">
        <v>33.661701999999998</v>
      </c>
      <c r="AM62" t="s">
        <v>166</v>
      </c>
      <c r="AN62">
        <v>-101.20000400000001</v>
      </c>
      <c r="AO62">
        <v>100</v>
      </c>
      <c r="AP62">
        <v>3200</v>
      </c>
      <c r="AQ62" t="s">
        <v>131</v>
      </c>
      <c r="AR62">
        <v>-37</v>
      </c>
      <c r="AS62">
        <v>-3</v>
      </c>
      <c r="AT62">
        <v>960</v>
      </c>
      <c r="BB62" t="str">
        <f t="shared" si="3"/>
        <v>1200</v>
      </c>
      <c r="BC62">
        <v>1</v>
      </c>
      <c r="BD62" t="str">
        <f t="shared" si="4"/>
        <v xml:space="preserve">N445JS  </v>
      </c>
      <c r="BE62">
        <v>7</v>
      </c>
      <c r="BG62">
        <v>0</v>
      </c>
      <c r="BH62">
        <v>0</v>
      </c>
      <c r="BI62">
        <v>0</v>
      </c>
      <c r="BJ62">
        <v>3000</v>
      </c>
      <c r="BK62">
        <v>-200</v>
      </c>
      <c r="BL62" t="s">
        <v>132</v>
      </c>
      <c r="BM62">
        <v>1</v>
      </c>
      <c r="BN62">
        <v>1</v>
      </c>
      <c r="BO62">
        <v>1</v>
      </c>
      <c r="BP62">
        <v>0</v>
      </c>
      <c r="BT62">
        <v>0</v>
      </c>
      <c r="BU62">
        <v>0</v>
      </c>
      <c r="CE62" t="str">
        <f>"15:37:43.362"</f>
        <v>15:37:43.362</v>
      </c>
      <c r="CF62">
        <v>361990393</v>
      </c>
      <c r="CS62">
        <v>0</v>
      </c>
      <c r="CT62">
        <v>2</v>
      </c>
      <c r="CU62">
        <v>0</v>
      </c>
      <c r="CV62">
        <v>2</v>
      </c>
      <c r="CW62">
        <v>0</v>
      </c>
      <c r="CX62">
        <v>7</v>
      </c>
      <c r="CY62">
        <v>7</v>
      </c>
      <c r="CZ62" t="s">
        <v>133</v>
      </c>
      <c r="DA62">
        <v>125</v>
      </c>
      <c r="DB62">
        <v>1</v>
      </c>
      <c r="DC62" t="s">
        <v>134</v>
      </c>
      <c r="DD62" t="s">
        <v>135</v>
      </c>
      <c r="DG62">
        <v>2454008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0</v>
      </c>
    </row>
    <row r="63" spans="1:123" x14ac:dyDescent="0.25">
      <c r="A63" t="str">
        <f>"04/17/2026 15:37:43.617"</f>
        <v>04/17/2026 15:37:43.617</v>
      </c>
      <c r="C63" t="str">
        <f t="shared" si="0"/>
        <v>FFDFD3C0</v>
      </c>
      <c r="D63" t="s">
        <v>136</v>
      </c>
      <c r="E63" t="str">
        <f>"0E"</f>
        <v>0E</v>
      </c>
      <c r="F63">
        <v>1014</v>
      </c>
      <c r="G63" t="s">
        <v>125</v>
      </c>
      <c r="J63" t="s">
        <v>137</v>
      </c>
      <c r="K63">
        <v>0</v>
      </c>
      <c r="L63">
        <v>3</v>
      </c>
      <c r="M63">
        <v>0</v>
      </c>
      <c r="N63">
        <v>2</v>
      </c>
      <c r="O63">
        <v>1</v>
      </c>
      <c r="P63">
        <v>0</v>
      </c>
      <c r="Q63">
        <v>0</v>
      </c>
      <c r="R63" t="s">
        <v>127</v>
      </c>
      <c r="S63" t="str">
        <f>"15:37:43.359"</f>
        <v>15:37:43.359</v>
      </c>
      <c r="T63" t="str">
        <f>"15:37:43.059"</f>
        <v>15:37:43.059</v>
      </c>
      <c r="U63" t="str">
        <f t="shared" si="2"/>
        <v>A55E09</v>
      </c>
      <c r="V63">
        <v>0</v>
      </c>
      <c r="W63">
        <v>0</v>
      </c>
      <c r="X63">
        <v>2</v>
      </c>
      <c r="Y63">
        <v>0</v>
      </c>
      <c r="AA63">
        <v>0</v>
      </c>
      <c r="AB63">
        <v>9</v>
      </c>
      <c r="AC63">
        <v>3</v>
      </c>
      <c r="AD63">
        <v>0</v>
      </c>
      <c r="AE63">
        <v>9</v>
      </c>
      <c r="AF63" t="s">
        <v>128</v>
      </c>
      <c r="AG63">
        <v>0</v>
      </c>
      <c r="AH63">
        <v>0</v>
      </c>
      <c r="AI63">
        <v>1</v>
      </c>
      <c r="AJ63">
        <v>0</v>
      </c>
      <c r="AK63" t="s">
        <v>164</v>
      </c>
      <c r="AL63">
        <v>33.661701999999998</v>
      </c>
      <c r="AM63" t="s">
        <v>166</v>
      </c>
      <c r="AN63">
        <v>-101.20000400000001</v>
      </c>
      <c r="AO63">
        <v>100</v>
      </c>
      <c r="AP63">
        <v>3200</v>
      </c>
      <c r="AQ63" t="s">
        <v>131</v>
      </c>
      <c r="AR63">
        <v>-37</v>
      </c>
      <c r="AS63">
        <v>-3</v>
      </c>
      <c r="AT63">
        <v>960</v>
      </c>
      <c r="BB63" t="str">
        <f t="shared" si="3"/>
        <v>1200</v>
      </c>
      <c r="BC63">
        <v>1</v>
      </c>
      <c r="BD63" t="str">
        <f t="shared" si="4"/>
        <v xml:space="preserve">N445JS  </v>
      </c>
      <c r="BE63">
        <v>7</v>
      </c>
      <c r="BG63">
        <v>0</v>
      </c>
      <c r="BH63">
        <v>0</v>
      </c>
      <c r="BI63">
        <v>0</v>
      </c>
      <c r="BJ63">
        <v>3000</v>
      </c>
      <c r="BK63">
        <v>-200</v>
      </c>
      <c r="BL63" t="s">
        <v>132</v>
      </c>
      <c r="BM63">
        <v>1</v>
      </c>
      <c r="BN63">
        <v>1</v>
      </c>
      <c r="BO63">
        <v>1</v>
      </c>
      <c r="BP63">
        <v>0</v>
      </c>
      <c r="BT63">
        <v>0</v>
      </c>
      <c r="BU63">
        <v>0</v>
      </c>
      <c r="CE63" t="str">
        <f>"15:37:43.362"</f>
        <v>15:37:43.362</v>
      </c>
      <c r="CF63">
        <v>361990393</v>
      </c>
      <c r="CS63">
        <v>0</v>
      </c>
      <c r="CT63">
        <v>2</v>
      </c>
      <c r="CU63">
        <v>0</v>
      </c>
      <c r="CV63">
        <v>2</v>
      </c>
      <c r="CW63">
        <v>0</v>
      </c>
      <c r="CX63">
        <v>7</v>
      </c>
      <c r="CY63">
        <v>7</v>
      </c>
      <c r="CZ63" t="s">
        <v>133</v>
      </c>
      <c r="DA63">
        <v>125</v>
      </c>
      <c r="DB63">
        <v>1</v>
      </c>
      <c r="DC63" t="s">
        <v>134</v>
      </c>
      <c r="DD63" t="s">
        <v>135</v>
      </c>
      <c r="DG63">
        <v>2454008</v>
      </c>
      <c r="DI63">
        <v>0</v>
      </c>
      <c r="DJ63">
        <v>0</v>
      </c>
      <c r="DK63">
        <v>1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0</v>
      </c>
    </row>
    <row r="64" spans="1:123" x14ac:dyDescent="0.25">
      <c r="A64" t="str">
        <f>"04/17/2026 15:37:43.618"</f>
        <v>04/17/2026 15:37:43.618</v>
      </c>
      <c r="C64" t="str">
        <f t="shared" si="0"/>
        <v>FFDFD3C0</v>
      </c>
      <c r="D64" t="s">
        <v>136</v>
      </c>
      <c r="E64" t="str">
        <f>"0F"</f>
        <v>0F</v>
      </c>
      <c r="F64">
        <v>1015</v>
      </c>
      <c r="G64" t="s">
        <v>138</v>
      </c>
      <c r="J64" t="s">
        <v>137</v>
      </c>
      <c r="K64">
        <v>0</v>
      </c>
      <c r="L64">
        <v>3</v>
      </c>
      <c r="M64">
        <v>0</v>
      </c>
      <c r="N64">
        <v>2</v>
      </c>
      <c r="O64">
        <v>1</v>
      </c>
      <c r="P64">
        <v>0</v>
      </c>
      <c r="Q64">
        <v>0</v>
      </c>
      <c r="R64" t="s">
        <v>127</v>
      </c>
      <c r="S64" t="str">
        <f>"15:37:43.359"</f>
        <v>15:37:43.359</v>
      </c>
      <c r="T64" t="str">
        <f>"15:37:43.059"</f>
        <v>15:37:43.059</v>
      </c>
      <c r="U64" t="str">
        <f t="shared" si="2"/>
        <v>A55E09</v>
      </c>
      <c r="V64">
        <v>0</v>
      </c>
      <c r="W64">
        <v>0</v>
      </c>
      <c r="X64">
        <v>2</v>
      </c>
      <c r="Y64">
        <v>0</v>
      </c>
      <c r="AA64">
        <v>0</v>
      </c>
      <c r="AB64">
        <v>9</v>
      </c>
      <c r="AC64">
        <v>3</v>
      </c>
      <c r="AD64">
        <v>0</v>
      </c>
      <c r="AE64">
        <v>9</v>
      </c>
      <c r="AF64" t="s">
        <v>128</v>
      </c>
      <c r="AG64">
        <v>0</v>
      </c>
      <c r="AH64">
        <v>0</v>
      </c>
      <c r="AI64">
        <v>1</v>
      </c>
      <c r="AJ64">
        <v>0</v>
      </c>
      <c r="AK64" t="s">
        <v>164</v>
      </c>
      <c r="AL64">
        <v>33.661701999999998</v>
      </c>
      <c r="AM64" t="s">
        <v>166</v>
      </c>
      <c r="AN64">
        <v>-101.20000400000001</v>
      </c>
      <c r="AO64">
        <v>100</v>
      </c>
      <c r="AP64">
        <v>3200</v>
      </c>
      <c r="AQ64" t="s">
        <v>131</v>
      </c>
      <c r="AR64">
        <v>-37</v>
      </c>
      <c r="AS64">
        <v>-3</v>
      </c>
      <c r="AT64">
        <v>960</v>
      </c>
      <c r="BB64" t="str">
        <f t="shared" si="3"/>
        <v>1200</v>
      </c>
      <c r="BC64">
        <v>1</v>
      </c>
      <c r="BD64" t="str">
        <f t="shared" si="4"/>
        <v xml:space="preserve">N445JS  </v>
      </c>
      <c r="BE64">
        <v>7</v>
      </c>
      <c r="BG64">
        <v>0</v>
      </c>
      <c r="BH64">
        <v>0</v>
      </c>
      <c r="BI64">
        <v>0</v>
      </c>
      <c r="BJ64">
        <v>3000</v>
      </c>
      <c r="BK64">
        <v>-200</v>
      </c>
      <c r="BL64" t="s">
        <v>132</v>
      </c>
      <c r="BM64">
        <v>1</v>
      </c>
      <c r="BN64">
        <v>1</v>
      </c>
      <c r="BO64">
        <v>1</v>
      </c>
      <c r="BP64">
        <v>0</v>
      </c>
      <c r="BT64">
        <v>0</v>
      </c>
      <c r="BU64">
        <v>0</v>
      </c>
      <c r="CE64" t="str">
        <f>"15:37:43.362"</f>
        <v>15:37:43.362</v>
      </c>
      <c r="CF64">
        <v>361990393</v>
      </c>
      <c r="CS64">
        <v>0</v>
      </c>
      <c r="CT64">
        <v>2</v>
      </c>
      <c r="CU64">
        <v>0</v>
      </c>
      <c r="CV64">
        <v>2</v>
      </c>
      <c r="CW64">
        <v>0</v>
      </c>
      <c r="CX64">
        <v>7</v>
      </c>
      <c r="CY64">
        <v>7</v>
      </c>
      <c r="CZ64" t="s">
        <v>133</v>
      </c>
      <c r="DA64">
        <v>125</v>
      </c>
      <c r="DB64">
        <v>1</v>
      </c>
      <c r="DC64" t="s">
        <v>134</v>
      </c>
      <c r="DD64" t="s">
        <v>135</v>
      </c>
      <c r="DG64">
        <v>2454008</v>
      </c>
      <c r="DI64">
        <v>0</v>
      </c>
      <c r="DJ64">
        <v>0</v>
      </c>
      <c r="DK64">
        <v>1</v>
      </c>
      <c r="DL64">
        <v>0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0</v>
      </c>
    </row>
    <row r="65" spans="1:123" x14ac:dyDescent="0.25">
      <c r="A65" t="str">
        <f>"04/17/2026 15:37:43.638"</f>
        <v>04/17/2026 15:37:43.638</v>
      </c>
      <c r="C65" t="str">
        <f t="shared" si="0"/>
        <v>FFDFD3C0</v>
      </c>
      <c r="D65" t="s">
        <v>139</v>
      </c>
      <c r="E65" t="str">
        <f>"28"</f>
        <v>28</v>
      </c>
      <c r="H65">
        <v>140</v>
      </c>
      <c r="I65" t="s">
        <v>140</v>
      </c>
      <c r="J65" t="s">
        <v>141</v>
      </c>
      <c r="K65">
        <v>0</v>
      </c>
      <c r="L65">
        <v>3</v>
      </c>
      <c r="M65">
        <v>0</v>
      </c>
      <c r="N65">
        <v>2</v>
      </c>
      <c r="O65">
        <v>1</v>
      </c>
      <c r="P65">
        <v>0</v>
      </c>
      <c r="Q65">
        <v>0</v>
      </c>
      <c r="R65" t="s">
        <v>127</v>
      </c>
      <c r="S65" t="str">
        <f>"15:37:43.359"</f>
        <v>15:37:43.359</v>
      </c>
      <c r="T65" t="str">
        <f>"15:37:43.059"</f>
        <v>15:37:43.059</v>
      </c>
      <c r="U65" t="str">
        <f t="shared" si="2"/>
        <v>A55E09</v>
      </c>
      <c r="V65">
        <v>0</v>
      </c>
      <c r="W65">
        <v>0</v>
      </c>
      <c r="X65">
        <v>2</v>
      </c>
      <c r="Y65">
        <v>0</v>
      </c>
      <c r="AA65">
        <v>0</v>
      </c>
      <c r="AB65">
        <v>9</v>
      </c>
      <c r="AC65">
        <v>3</v>
      </c>
      <c r="AD65">
        <v>0</v>
      </c>
      <c r="AE65">
        <v>9</v>
      </c>
      <c r="AF65" t="s">
        <v>128</v>
      </c>
      <c r="AG65">
        <v>0</v>
      </c>
      <c r="AH65">
        <v>0</v>
      </c>
      <c r="AI65">
        <v>1</v>
      </c>
      <c r="AJ65">
        <v>0</v>
      </c>
      <c r="AK65" t="s">
        <v>164</v>
      </c>
      <c r="AL65">
        <v>33.661701999999998</v>
      </c>
      <c r="AM65" t="s">
        <v>166</v>
      </c>
      <c r="AN65">
        <v>-101.20000400000001</v>
      </c>
      <c r="AO65">
        <v>100</v>
      </c>
      <c r="AP65">
        <v>3200</v>
      </c>
      <c r="AQ65" t="s">
        <v>131</v>
      </c>
      <c r="AR65">
        <v>-37</v>
      </c>
      <c r="AS65">
        <v>-3</v>
      </c>
      <c r="AT65">
        <v>960</v>
      </c>
      <c r="BB65" t="str">
        <f t="shared" si="3"/>
        <v>1200</v>
      </c>
      <c r="BC65">
        <v>1</v>
      </c>
      <c r="BD65" t="str">
        <f t="shared" si="4"/>
        <v xml:space="preserve">N445JS  </v>
      </c>
      <c r="BE65">
        <v>7</v>
      </c>
      <c r="BG65">
        <v>0</v>
      </c>
      <c r="BH65">
        <v>0</v>
      </c>
      <c r="BI65">
        <v>0</v>
      </c>
      <c r="BJ65">
        <v>3000</v>
      </c>
      <c r="BK65">
        <v>-200</v>
      </c>
      <c r="BL65" t="s">
        <v>132</v>
      </c>
      <c r="BM65">
        <v>1</v>
      </c>
      <c r="BN65">
        <v>1</v>
      </c>
      <c r="BO65">
        <v>1</v>
      </c>
      <c r="BP65">
        <v>0</v>
      </c>
      <c r="BT65">
        <v>0</v>
      </c>
      <c r="BU65">
        <v>0</v>
      </c>
      <c r="CE65" t="str">
        <f>"15:37:43.362"</f>
        <v>15:37:43.362</v>
      </c>
      <c r="CF65">
        <v>361990393</v>
      </c>
      <c r="CS65">
        <v>0</v>
      </c>
      <c r="CT65">
        <v>2</v>
      </c>
      <c r="CU65">
        <v>0</v>
      </c>
      <c r="CV65">
        <v>2</v>
      </c>
      <c r="CW65">
        <v>0</v>
      </c>
      <c r="CX65">
        <v>7</v>
      </c>
      <c r="CY65">
        <v>7</v>
      </c>
      <c r="CZ65" t="s">
        <v>133</v>
      </c>
      <c r="DA65">
        <v>125</v>
      </c>
      <c r="DB65">
        <v>1</v>
      </c>
      <c r="DC65" t="s">
        <v>134</v>
      </c>
      <c r="DD65" t="s">
        <v>135</v>
      </c>
      <c r="DG65">
        <v>2454008</v>
      </c>
      <c r="DI65">
        <v>0</v>
      </c>
      <c r="DJ65">
        <v>0</v>
      </c>
      <c r="DK65">
        <v>1</v>
      </c>
      <c r="DL65">
        <v>0</v>
      </c>
      <c r="DM65">
        <v>0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0</v>
      </c>
    </row>
    <row r="66" spans="1:123" x14ac:dyDescent="0.25">
      <c r="A66" t="str">
        <f>"04/17/2026 15:37:45.141"</f>
        <v>04/17/2026 15:37:45.141</v>
      </c>
      <c r="C66" t="str">
        <f t="shared" ref="C66:C129" si="5">"FFDFD3C0"</f>
        <v>FFDFD3C0</v>
      </c>
      <c r="D66" t="s">
        <v>139</v>
      </c>
      <c r="E66" t="str">
        <f>"28"</f>
        <v>28</v>
      </c>
      <c r="H66">
        <v>140</v>
      </c>
      <c r="I66" t="s">
        <v>140</v>
      </c>
      <c r="J66" t="s">
        <v>141</v>
      </c>
      <c r="K66">
        <v>0</v>
      </c>
      <c r="L66">
        <v>3</v>
      </c>
      <c r="M66">
        <v>0</v>
      </c>
      <c r="N66">
        <v>2</v>
      </c>
      <c r="O66">
        <v>1</v>
      </c>
      <c r="P66">
        <v>0</v>
      </c>
      <c r="Q66">
        <v>0</v>
      </c>
      <c r="R66" t="s">
        <v>127</v>
      </c>
      <c r="S66" t="str">
        <f>"15:37:44.891"</f>
        <v>15:37:44.891</v>
      </c>
      <c r="T66" t="str">
        <f>"15:37:44.591"</f>
        <v>15:37:44.591</v>
      </c>
      <c r="U66" t="str">
        <f t="shared" ref="U66:U129" si="6">"A55E09"</f>
        <v>A55E09</v>
      </c>
      <c r="V66">
        <v>0</v>
      </c>
      <c r="W66">
        <v>0</v>
      </c>
      <c r="X66">
        <v>2</v>
      </c>
      <c r="Y66">
        <v>0</v>
      </c>
      <c r="AA66">
        <v>0</v>
      </c>
      <c r="AB66">
        <v>7</v>
      </c>
      <c r="AC66">
        <v>3</v>
      </c>
      <c r="AD66">
        <v>0</v>
      </c>
      <c r="AE66">
        <v>9</v>
      </c>
      <c r="AF66" t="s">
        <v>128</v>
      </c>
      <c r="AG66">
        <v>0</v>
      </c>
      <c r="AH66">
        <v>0</v>
      </c>
      <c r="AI66">
        <v>1</v>
      </c>
      <c r="AJ66">
        <v>0</v>
      </c>
      <c r="AK66" t="s">
        <v>167</v>
      </c>
      <c r="AL66">
        <v>33.661788000000001</v>
      </c>
      <c r="AM66" t="s">
        <v>168</v>
      </c>
      <c r="AN66">
        <v>-101.20032500000001</v>
      </c>
      <c r="AO66">
        <v>100</v>
      </c>
      <c r="AP66">
        <v>3200</v>
      </c>
      <c r="AQ66" t="s">
        <v>131</v>
      </c>
      <c r="AR66">
        <v>-38</v>
      </c>
      <c r="AS66">
        <v>13</v>
      </c>
      <c r="AT66">
        <v>896</v>
      </c>
      <c r="BB66" t="str">
        <f t="shared" ref="BB66:BB129" si="7">"1200"</f>
        <v>1200</v>
      </c>
      <c r="BC66">
        <v>1</v>
      </c>
      <c r="BD66" t="str">
        <f t="shared" ref="BD66:BD129" si="8">"N445JS  "</f>
        <v xml:space="preserve">N445JS  </v>
      </c>
      <c r="BE66">
        <v>7</v>
      </c>
      <c r="BG66">
        <v>0</v>
      </c>
      <c r="BH66">
        <v>0</v>
      </c>
      <c r="BI66">
        <v>0</v>
      </c>
      <c r="BJ66">
        <v>3025</v>
      </c>
      <c r="BK66">
        <v>-175</v>
      </c>
      <c r="BL66" t="s">
        <v>132</v>
      </c>
      <c r="BM66">
        <v>1</v>
      </c>
      <c r="BN66">
        <v>1</v>
      </c>
      <c r="BO66">
        <v>1</v>
      </c>
      <c r="BP66">
        <v>0</v>
      </c>
      <c r="BT66">
        <v>0</v>
      </c>
      <c r="BU66">
        <v>0</v>
      </c>
      <c r="CE66" t="str">
        <f>"15:37:44.892"</f>
        <v>15:37:44.892</v>
      </c>
      <c r="CF66">
        <v>891840396</v>
      </c>
      <c r="CS66">
        <v>0</v>
      </c>
      <c r="CT66">
        <v>2</v>
      </c>
      <c r="CU66">
        <v>0</v>
      </c>
      <c r="CV66">
        <v>2</v>
      </c>
      <c r="CW66">
        <v>0</v>
      </c>
      <c r="CX66">
        <v>7</v>
      </c>
      <c r="CY66">
        <v>7</v>
      </c>
      <c r="CZ66" t="s">
        <v>133</v>
      </c>
      <c r="DA66">
        <v>125</v>
      </c>
      <c r="DB66">
        <v>1</v>
      </c>
      <c r="DC66" t="s">
        <v>134</v>
      </c>
      <c r="DD66" t="s">
        <v>135</v>
      </c>
      <c r="DG66">
        <v>2455570</v>
      </c>
      <c r="DI66">
        <v>0</v>
      </c>
      <c r="DJ66">
        <v>0</v>
      </c>
      <c r="DK66">
        <v>0</v>
      </c>
      <c r="DL66">
        <v>0</v>
      </c>
      <c r="DM66">
        <v>0</v>
      </c>
      <c r="DN66">
        <v>0</v>
      </c>
      <c r="DO66">
        <v>0</v>
      </c>
      <c r="DP66">
        <v>0</v>
      </c>
      <c r="DQ66">
        <v>0</v>
      </c>
      <c r="DR66">
        <v>0</v>
      </c>
      <c r="DS66">
        <v>0</v>
      </c>
    </row>
    <row r="67" spans="1:123" x14ac:dyDescent="0.25">
      <c r="A67" t="str">
        <f>"04/17/2026 15:37:45.169"</f>
        <v>04/17/2026 15:37:45.169</v>
      </c>
      <c r="C67" t="str">
        <f t="shared" si="5"/>
        <v>FFDFD3C0</v>
      </c>
      <c r="D67" t="s">
        <v>124</v>
      </c>
      <c r="E67" t="str">
        <f>"03"</f>
        <v>03</v>
      </c>
      <c r="H67">
        <v>160</v>
      </c>
      <c r="I67" t="s">
        <v>125</v>
      </c>
      <c r="J67" t="s">
        <v>126</v>
      </c>
      <c r="K67">
        <v>0</v>
      </c>
      <c r="L67">
        <v>3</v>
      </c>
      <c r="M67">
        <v>0</v>
      </c>
      <c r="N67">
        <v>2</v>
      </c>
      <c r="O67">
        <v>1</v>
      </c>
      <c r="P67">
        <v>0</v>
      </c>
      <c r="Q67">
        <v>0</v>
      </c>
      <c r="R67" t="s">
        <v>127</v>
      </c>
      <c r="S67" t="str">
        <f>"15:37:44.891"</f>
        <v>15:37:44.891</v>
      </c>
      <c r="T67" t="str">
        <f>"15:37:44.591"</f>
        <v>15:37:44.591</v>
      </c>
      <c r="U67" t="str">
        <f t="shared" si="6"/>
        <v>A55E09</v>
      </c>
      <c r="V67">
        <v>0</v>
      </c>
      <c r="W67">
        <v>0</v>
      </c>
      <c r="X67">
        <v>2</v>
      </c>
      <c r="Y67">
        <v>0</v>
      </c>
      <c r="AA67">
        <v>0</v>
      </c>
      <c r="AB67">
        <v>7</v>
      </c>
      <c r="AC67">
        <v>3</v>
      </c>
      <c r="AD67">
        <v>0</v>
      </c>
      <c r="AE67">
        <v>9</v>
      </c>
      <c r="AF67" t="s">
        <v>128</v>
      </c>
      <c r="AG67">
        <v>0</v>
      </c>
      <c r="AH67">
        <v>0</v>
      </c>
      <c r="AI67">
        <v>1</v>
      </c>
      <c r="AJ67">
        <v>0</v>
      </c>
      <c r="AK67" t="s">
        <v>167</v>
      </c>
      <c r="AL67">
        <v>33.661788000000001</v>
      </c>
      <c r="AM67" t="s">
        <v>168</v>
      </c>
      <c r="AN67">
        <v>-101.20032500000001</v>
      </c>
      <c r="AO67">
        <v>100</v>
      </c>
      <c r="AP67">
        <v>3200</v>
      </c>
      <c r="AQ67" t="s">
        <v>131</v>
      </c>
      <c r="AR67">
        <v>-38</v>
      </c>
      <c r="AS67">
        <v>13</v>
      </c>
      <c r="AT67">
        <v>896</v>
      </c>
      <c r="BB67" t="str">
        <f t="shared" si="7"/>
        <v>1200</v>
      </c>
      <c r="BC67">
        <v>1</v>
      </c>
      <c r="BD67" t="str">
        <f t="shared" si="8"/>
        <v xml:space="preserve">N445JS  </v>
      </c>
      <c r="BE67">
        <v>7</v>
      </c>
      <c r="BG67">
        <v>0</v>
      </c>
      <c r="BH67">
        <v>0</v>
      </c>
      <c r="BI67">
        <v>0</v>
      </c>
      <c r="BJ67">
        <v>3025</v>
      </c>
      <c r="BK67">
        <v>-175</v>
      </c>
      <c r="BL67" t="s">
        <v>132</v>
      </c>
      <c r="BM67">
        <v>1</v>
      </c>
      <c r="BN67">
        <v>1</v>
      </c>
      <c r="BO67">
        <v>1</v>
      </c>
      <c r="BP67">
        <v>0</v>
      </c>
      <c r="BT67">
        <v>0</v>
      </c>
      <c r="BU67">
        <v>0</v>
      </c>
      <c r="CE67" t="str">
        <f>"15:37:44.892"</f>
        <v>15:37:44.892</v>
      </c>
      <c r="CF67">
        <v>891840396</v>
      </c>
      <c r="CS67">
        <v>0</v>
      </c>
      <c r="CT67">
        <v>2</v>
      </c>
      <c r="CU67">
        <v>0</v>
      </c>
      <c r="CV67">
        <v>2</v>
      </c>
      <c r="CW67">
        <v>0</v>
      </c>
      <c r="CX67">
        <v>7</v>
      </c>
      <c r="CY67">
        <v>7</v>
      </c>
      <c r="CZ67" t="s">
        <v>133</v>
      </c>
      <c r="DA67">
        <v>125</v>
      </c>
      <c r="DB67">
        <v>1</v>
      </c>
      <c r="DC67" t="s">
        <v>134</v>
      </c>
      <c r="DD67" t="s">
        <v>135</v>
      </c>
      <c r="DG67">
        <v>2455570</v>
      </c>
      <c r="DI67">
        <v>0</v>
      </c>
      <c r="DJ67">
        <v>0</v>
      </c>
      <c r="DK67">
        <v>1</v>
      </c>
      <c r="DL67">
        <v>0</v>
      </c>
      <c r="DM67">
        <v>0</v>
      </c>
      <c r="DN67">
        <v>0</v>
      </c>
      <c r="DO67">
        <v>0</v>
      </c>
      <c r="DP67">
        <v>0</v>
      </c>
      <c r="DQ67">
        <v>0</v>
      </c>
      <c r="DR67">
        <v>0</v>
      </c>
      <c r="DS67">
        <v>0</v>
      </c>
    </row>
    <row r="68" spans="1:123" x14ac:dyDescent="0.25">
      <c r="A68" t="str">
        <f>"04/17/2026 15:37:45.170"</f>
        <v>04/17/2026 15:37:45.170</v>
      </c>
      <c r="C68" t="str">
        <f t="shared" si="5"/>
        <v>FFDFD3C0</v>
      </c>
      <c r="D68" t="s">
        <v>136</v>
      </c>
      <c r="E68" t="str">
        <f>"0E"</f>
        <v>0E</v>
      </c>
      <c r="F68">
        <v>1014</v>
      </c>
      <c r="G68" t="s">
        <v>125</v>
      </c>
      <c r="J68" t="s">
        <v>137</v>
      </c>
      <c r="K68">
        <v>0</v>
      </c>
      <c r="L68">
        <v>3</v>
      </c>
      <c r="M68">
        <v>0</v>
      </c>
      <c r="N68">
        <v>2</v>
      </c>
      <c r="O68">
        <v>1</v>
      </c>
      <c r="P68">
        <v>0</v>
      </c>
      <c r="Q68">
        <v>0</v>
      </c>
      <c r="R68" t="s">
        <v>127</v>
      </c>
      <c r="S68" t="str">
        <f>"15:37:44.891"</f>
        <v>15:37:44.891</v>
      </c>
      <c r="T68" t="str">
        <f>"15:37:44.591"</f>
        <v>15:37:44.591</v>
      </c>
      <c r="U68" t="str">
        <f t="shared" si="6"/>
        <v>A55E09</v>
      </c>
      <c r="V68">
        <v>0</v>
      </c>
      <c r="W68">
        <v>0</v>
      </c>
      <c r="X68">
        <v>2</v>
      </c>
      <c r="Y68">
        <v>0</v>
      </c>
      <c r="AA68">
        <v>0</v>
      </c>
      <c r="AB68">
        <v>7</v>
      </c>
      <c r="AC68">
        <v>3</v>
      </c>
      <c r="AD68">
        <v>0</v>
      </c>
      <c r="AE68">
        <v>9</v>
      </c>
      <c r="AF68" t="s">
        <v>128</v>
      </c>
      <c r="AG68">
        <v>0</v>
      </c>
      <c r="AH68">
        <v>0</v>
      </c>
      <c r="AI68">
        <v>1</v>
      </c>
      <c r="AJ68">
        <v>0</v>
      </c>
      <c r="AK68" t="s">
        <v>167</v>
      </c>
      <c r="AL68">
        <v>33.661788000000001</v>
      </c>
      <c r="AM68" t="s">
        <v>168</v>
      </c>
      <c r="AN68">
        <v>-101.20032500000001</v>
      </c>
      <c r="AO68">
        <v>100</v>
      </c>
      <c r="AP68">
        <v>3200</v>
      </c>
      <c r="AQ68" t="s">
        <v>131</v>
      </c>
      <c r="AR68">
        <v>-38</v>
      </c>
      <c r="AS68">
        <v>13</v>
      </c>
      <c r="AT68">
        <v>896</v>
      </c>
      <c r="BB68" t="str">
        <f t="shared" si="7"/>
        <v>1200</v>
      </c>
      <c r="BC68">
        <v>1</v>
      </c>
      <c r="BD68" t="str">
        <f t="shared" si="8"/>
        <v xml:space="preserve">N445JS  </v>
      </c>
      <c r="BE68">
        <v>7</v>
      </c>
      <c r="BG68">
        <v>0</v>
      </c>
      <c r="BH68">
        <v>0</v>
      </c>
      <c r="BI68">
        <v>0</v>
      </c>
      <c r="BJ68">
        <v>3025</v>
      </c>
      <c r="BK68">
        <v>-175</v>
      </c>
      <c r="BL68" t="s">
        <v>132</v>
      </c>
      <c r="BM68">
        <v>1</v>
      </c>
      <c r="BN68">
        <v>1</v>
      </c>
      <c r="BO68">
        <v>1</v>
      </c>
      <c r="BP68">
        <v>0</v>
      </c>
      <c r="BT68">
        <v>0</v>
      </c>
      <c r="BU68">
        <v>0</v>
      </c>
      <c r="CE68" t="str">
        <f>"15:37:44.892"</f>
        <v>15:37:44.892</v>
      </c>
      <c r="CF68">
        <v>891840396</v>
      </c>
      <c r="CS68">
        <v>0</v>
      </c>
      <c r="CT68">
        <v>2</v>
      </c>
      <c r="CU68">
        <v>0</v>
      </c>
      <c r="CV68">
        <v>2</v>
      </c>
      <c r="CW68">
        <v>0</v>
      </c>
      <c r="CX68">
        <v>7</v>
      </c>
      <c r="CY68">
        <v>7</v>
      </c>
      <c r="CZ68" t="s">
        <v>133</v>
      </c>
      <c r="DA68">
        <v>125</v>
      </c>
      <c r="DB68">
        <v>1</v>
      </c>
      <c r="DC68" t="s">
        <v>134</v>
      </c>
      <c r="DD68" t="s">
        <v>135</v>
      </c>
      <c r="DG68">
        <v>2455570</v>
      </c>
      <c r="DI68">
        <v>0</v>
      </c>
      <c r="DJ68">
        <v>0</v>
      </c>
      <c r="DK68">
        <v>1</v>
      </c>
      <c r="DL68">
        <v>0</v>
      </c>
      <c r="DM68">
        <v>0</v>
      </c>
      <c r="DN68">
        <v>0</v>
      </c>
      <c r="DO68">
        <v>0</v>
      </c>
      <c r="DP68">
        <v>0</v>
      </c>
      <c r="DQ68">
        <v>0</v>
      </c>
      <c r="DR68">
        <v>0</v>
      </c>
      <c r="DS68">
        <v>0</v>
      </c>
    </row>
    <row r="69" spans="1:123" x14ac:dyDescent="0.25">
      <c r="A69" t="str">
        <f>"04/17/2026 15:37:45.171"</f>
        <v>04/17/2026 15:37:45.171</v>
      </c>
      <c r="C69" t="str">
        <f t="shared" si="5"/>
        <v>FFDFD3C0</v>
      </c>
      <c r="D69" t="s">
        <v>136</v>
      </c>
      <c r="E69" t="str">
        <f>"0F"</f>
        <v>0F</v>
      </c>
      <c r="F69">
        <v>1015</v>
      </c>
      <c r="G69" t="s">
        <v>138</v>
      </c>
      <c r="J69" t="s">
        <v>137</v>
      </c>
      <c r="K69">
        <v>0</v>
      </c>
      <c r="L69">
        <v>3</v>
      </c>
      <c r="M69">
        <v>0</v>
      </c>
      <c r="N69">
        <v>2</v>
      </c>
      <c r="O69">
        <v>1</v>
      </c>
      <c r="P69">
        <v>0</v>
      </c>
      <c r="Q69">
        <v>0</v>
      </c>
      <c r="R69" t="s">
        <v>127</v>
      </c>
      <c r="S69" t="str">
        <f>"15:37:44.891"</f>
        <v>15:37:44.891</v>
      </c>
      <c r="T69" t="str">
        <f>"15:37:44.591"</f>
        <v>15:37:44.591</v>
      </c>
      <c r="U69" t="str">
        <f t="shared" si="6"/>
        <v>A55E09</v>
      </c>
      <c r="V69">
        <v>0</v>
      </c>
      <c r="W69">
        <v>0</v>
      </c>
      <c r="X69">
        <v>2</v>
      </c>
      <c r="Y69">
        <v>0</v>
      </c>
      <c r="AA69">
        <v>0</v>
      </c>
      <c r="AB69">
        <v>7</v>
      </c>
      <c r="AC69">
        <v>3</v>
      </c>
      <c r="AD69">
        <v>0</v>
      </c>
      <c r="AE69">
        <v>9</v>
      </c>
      <c r="AF69" t="s">
        <v>128</v>
      </c>
      <c r="AG69">
        <v>0</v>
      </c>
      <c r="AH69">
        <v>0</v>
      </c>
      <c r="AI69">
        <v>1</v>
      </c>
      <c r="AJ69">
        <v>0</v>
      </c>
      <c r="AK69" t="s">
        <v>167</v>
      </c>
      <c r="AL69">
        <v>33.661788000000001</v>
      </c>
      <c r="AM69" t="s">
        <v>168</v>
      </c>
      <c r="AN69">
        <v>-101.20032500000001</v>
      </c>
      <c r="AO69">
        <v>100</v>
      </c>
      <c r="AP69">
        <v>3200</v>
      </c>
      <c r="AQ69" t="s">
        <v>131</v>
      </c>
      <c r="AR69">
        <v>-38</v>
      </c>
      <c r="AS69">
        <v>13</v>
      </c>
      <c r="AT69">
        <v>896</v>
      </c>
      <c r="BB69" t="str">
        <f t="shared" si="7"/>
        <v>1200</v>
      </c>
      <c r="BC69">
        <v>1</v>
      </c>
      <c r="BD69" t="str">
        <f t="shared" si="8"/>
        <v xml:space="preserve">N445JS  </v>
      </c>
      <c r="BE69">
        <v>7</v>
      </c>
      <c r="BG69">
        <v>0</v>
      </c>
      <c r="BH69">
        <v>0</v>
      </c>
      <c r="BI69">
        <v>0</v>
      </c>
      <c r="BJ69">
        <v>3025</v>
      </c>
      <c r="BK69">
        <v>-175</v>
      </c>
      <c r="BL69" t="s">
        <v>132</v>
      </c>
      <c r="BM69">
        <v>1</v>
      </c>
      <c r="BN69">
        <v>1</v>
      </c>
      <c r="BO69">
        <v>1</v>
      </c>
      <c r="BP69">
        <v>0</v>
      </c>
      <c r="BT69">
        <v>0</v>
      </c>
      <c r="BU69">
        <v>0</v>
      </c>
      <c r="CE69" t="str">
        <f>"15:37:44.892"</f>
        <v>15:37:44.892</v>
      </c>
      <c r="CF69">
        <v>891840396</v>
      </c>
      <c r="CS69">
        <v>0</v>
      </c>
      <c r="CT69">
        <v>2</v>
      </c>
      <c r="CU69">
        <v>0</v>
      </c>
      <c r="CV69">
        <v>2</v>
      </c>
      <c r="CW69">
        <v>0</v>
      </c>
      <c r="CX69">
        <v>7</v>
      </c>
      <c r="CY69">
        <v>7</v>
      </c>
      <c r="CZ69" t="s">
        <v>133</v>
      </c>
      <c r="DA69">
        <v>125</v>
      </c>
      <c r="DB69">
        <v>1</v>
      </c>
      <c r="DC69" t="s">
        <v>134</v>
      </c>
      <c r="DD69" t="s">
        <v>135</v>
      </c>
      <c r="DG69">
        <v>2455570</v>
      </c>
      <c r="DI69">
        <v>0</v>
      </c>
      <c r="DJ69">
        <v>0</v>
      </c>
      <c r="DK69">
        <v>1</v>
      </c>
      <c r="DL69">
        <v>0</v>
      </c>
      <c r="DM69">
        <v>0</v>
      </c>
      <c r="DN69">
        <v>0</v>
      </c>
      <c r="DO69">
        <v>0</v>
      </c>
      <c r="DP69">
        <v>0</v>
      </c>
      <c r="DQ69">
        <v>0</v>
      </c>
      <c r="DR69">
        <v>0</v>
      </c>
      <c r="DS69">
        <v>0</v>
      </c>
    </row>
    <row r="70" spans="1:123" x14ac:dyDescent="0.25">
      <c r="A70" t="str">
        <f>"04/17/2026 15:37:46.223"</f>
        <v>04/17/2026 15:37:46.223</v>
      </c>
      <c r="C70" t="str">
        <f t="shared" si="5"/>
        <v>FFDFD3C0</v>
      </c>
      <c r="D70" t="s">
        <v>136</v>
      </c>
      <c r="E70" t="str">
        <f>"0F"</f>
        <v>0F</v>
      </c>
      <c r="F70">
        <v>1015</v>
      </c>
      <c r="G70" t="s">
        <v>138</v>
      </c>
      <c r="J70" t="s">
        <v>137</v>
      </c>
      <c r="K70">
        <v>0</v>
      </c>
      <c r="L70">
        <v>3</v>
      </c>
      <c r="M70">
        <v>0</v>
      </c>
      <c r="N70">
        <v>2</v>
      </c>
      <c r="O70">
        <v>1</v>
      </c>
      <c r="P70">
        <v>0</v>
      </c>
      <c r="Q70">
        <v>0</v>
      </c>
      <c r="R70" t="s">
        <v>127</v>
      </c>
      <c r="S70" t="str">
        <f>"15:37:45.984"</f>
        <v>15:37:45.984</v>
      </c>
      <c r="T70" t="str">
        <f>"15:37:45.684"</f>
        <v>15:37:45.684</v>
      </c>
      <c r="U70" t="str">
        <f t="shared" si="6"/>
        <v>A55E09</v>
      </c>
      <c r="V70">
        <v>0</v>
      </c>
      <c r="W70">
        <v>0</v>
      </c>
      <c r="X70">
        <v>2</v>
      </c>
      <c r="Y70">
        <v>0</v>
      </c>
      <c r="AA70">
        <v>0</v>
      </c>
      <c r="AB70">
        <v>8</v>
      </c>
      <c r="AC70">
        <v>3</v>
      </c>
      <c r="AD70">
        <v>0</v>
      </c>
      <c r="AE70">
        <v>9</v>
      </c>
      <c r="AF70" t="s">
        <v>128</v>
      </c>
      <c r="AG70">
        <v>0</v>
      </c>
      <c r="AH70">
        <v>0</v>
      </c>
      <c r="AI70">
        <v>1</v>
      </c>
      <c r="AJ70">
        <v>0</v>
      </c>
      <c r="AK70" t="s">
        <v>160</v>
      </c>
      <c r="AL70">
        <v>33.661915999999998</v>
      </c>
      <c r="AM70" t="s">
        <v>169</v>
      </c>
      <c r="AN70">
        <v>-101.200497</v>
      </c>
      <c r="AO70">
        <v>100</v>
      </c>
      <c r="AP70">
        <v>3200</v>
      </c>
      <c r="AQ70" t="s">
        <v>131</v>
      </c>
      <c r="AR70">
        <v>-36</v>
      </c>
      <c r="AS70">
        <v>27</v>
      </c>
      <c r="AT70">
        <v>768</v>
      </c>
      <c r="BB70" t="str">
        <f t="shared" si="7"/>
        <v>1200</v>
      </c>
      <c r="BC70">
        <v>1</v>
      </c>
      <c r="BD70" t="str">
        <f t="shared" si="8"/>
        <v xml:space="preserve">N445JS  </v>
      </c>
      <c r="BE70">
        <v>7</v>
      </c>
      <c r="BG70">
        <v>0</v>
      </c>
      <c r="BH70">
        <v>0</v>
      </c>
      <c r="BI70">
        <v>0</v>
      </c>
      <c r="BJ70">
        <v>3025</v>
      </c>
      <c r="BK70">
        <v>-175</v>
      </c>
      <c r="BL70" t="s">
        <v>132</v>
      </c>
      <c r="BM70">
        <v>1</v>
      </c>
      <c r="BN70">
        <v>1</v>
      </c>
      <c r="BO70">
        <v>1</v>
      </c>
      <c r="BP70">
        <v>0</v>
      </c>
      <c r="BT70">
        <v>0</v>
      </c>
      <c r="BU70">
        <v>0</v>
      </c>
      <c r="CE70" t="str">
        <f>"15:37:45.987"</f>
        <v>15:37:45.987</v>
      </c>
      <c r="CF70">
        <v>986733040</v>
      </c>
      <c r="CS70">
        <v>0</v>
      </c>
      <c r="CT70">
        <v>2</v>
      </c>
      <c r="CU70">
        <v>0</v>
      </c>
      <c r="CV70">
        <v>2</v>
      </c>
      <c r="CW70">
        <v>0</v>
      </c>
      <c r="CX70">
        <v>7</v>
      </c>
      <c r="CY70">
        <v>7</v>
      </c>
      <c r="CZ70" t="s">
        <v>133</v>
      </c>
      <c r="DA70">
        <v>125</v>
      </c>
      <c r="DB70">
        <v>1</v>
      </c>
      <c r="DC70" t="s">
        <v>134</v>
      </c>
      <c r="DD70" t="s">
        <v>135</v>
      </c>
      <c r="DG70">
        <v>2456698</v>
      </c>
      <c r="DI70">
        <v>0</v>
      </c>
      <c r="DJ70">
        <v>0</v>
      </c>
      <c r="DK70">
        <v>0</v>
      </c>
      <c r="DL70">
        <v>0</v>
      </c>
      <c r="DM70">
        <v>0</v>
      </c>
      <c r="DN70">
        <v>0</v>
      </c>
      <c r="DO70">
        <v>0</v>
      </c>
      <c r="DP70">
        <v>0</v>
      </c>
      <c r="DQ70">
        <v>0</v>
      </c>
      <c r="DR70">
        <v>0</v>
      </c>
      <c r="DS70">
        <v>0</v>
      </c>
    </row>
    <row r="71" spans="1:123" x14ac:dyDescent="0.25">
      <c r="A71" t="str">
        <f>"04/17/2026 15:37:46.221"</f>
        <v>04/17/2026 15:37:46.221</v>
      </c>
      <c r="C71" t="str">
        <f t="shared" si="5"/>
        <v>FFDFD3C0</v>
      </c>
      <c r="D71" t="s">
        <v>124</v>
      </c>
      <c r="E71" t="str">
        <f>"03"</f>
        <v>03</v>
      </c>
      <c r="H71">
        <v>160</v>
      </c>
      <c r="I71" t="s">
        <v>125</v>
      </c>
      <c r="J71" t="s">
        <v>126</v>
      </c>
      <c r="K71">
        <v>0</v>
      </c>
      <c r="L71">
        <v>3</v>
      </c>
      <c r="M71">
        <v>0</v>
      </c>
      <c r="N71">
        <v>2</v>
      </c>
      <c r="O71">
        <v>1</v>
      </c>
      <c r="P71">
        <v>0</v>
      </c>
      <c r="Q71">
        <v>0</v>
      </c>
      <c r="R71" t="s">
        <v>127</v>
      </c>
      <c r="S71" t="str">
        <f>"15:37:45.984"</f>
        <v>15:37:45.984</v>
      </c>
      <c r="T71" t="str">
        <f>"15:37:45.684"</f>
        <v>15:37:45.684</v>
      </c>
      <c r="U71" t="str">
        <f t="shared" si="6"/>
        <v>A55E09</v>
      </c>
      <c r="V71">
        <v>0</v>
      </c>
      <c r="W71">
        <v>0</v>
      </c>
      <c r="X71">
        <v>2</v>
      </c>
      <c r="Y71">
        <v>0</v>
      </c>
      <c r="AA71">
        <v>0</v>
      </c>
      <c r="AB71">
        <v>8</v>
      </c>
      <c r="AC71">
        <v>3</v>
      </c>
      <c r="AD71">
        <v>0</v>
      </c>
      <c r="AE71">
        <v>9</v>
      </c>
      <c r="AF71" t="s">
        <v>128</v>
      </c>
      <c r="AG71">
        <v>0</v>
      </c>
      <c r="AH71">
        <v>0</v>
      </c>
      <c r="AI71">
        <v>1</v>
      </c>
      <c r="AJ71">
        <v>0</v>
      </c>
      <c r="AK71" t="s">
        <v>160</v>
      </c>
      <c r="AL71">
        <v>33.661915999999998</v>
      </c>
      <c r="AM71" t="s">
        <v>169</v>
      </c>
      <c r="AN71">
        <v>-101.200497</v>
      </c>
      <c r="AO71">
        <v>100</v>
      </c>
      <c r="AP71">
        <v>3200</v>
      </c>
      <c r="AQ71" t="s">
        <v>131</v>
      </c>
      <c r="AR71">
        <v>-36</v>
      </c>
      <c r="AS71">
        <v>27</v>
      </c>
      <c r="AT71">
        <v>768</v>
      </c>
      <c r="BB71" t="str">
        <f t="shared" si="7"/>
        <v>1200</v>
      </c>
      <c r="BC71">
        <v>1</v>
      </c>
      <c r="BD71" t="str">
        <f t="shared" si="8"/>
        <v xml:space="preserve">N445JS  </v>
      </c>
      <c r="BE71">
        <v>7</v>
      </c>
      <c r="BG71">
        <v>0</v>
      </c>
      <c r="BH71">
        <v>0</v>
      </c>
      <c r="BI71">
        <v>0</v>
      </c>
      <c r="BJ71">
        <v>3025</v>
      </c>
      <c r="BK71">
        <v>-175</v>
      </c>
      <c r="BL71" t="s">
        <v>132</v>
      </c>
      <c r="BM71">
        <v>1</v>
      </c>
      <c r="BN71">
        <v>1</v>
      </c>
      <c r="BO71">
        <v>1</v>
      </c>
      <c r="BP71">
        <v>0</v>
      </c>
      <c r="BT71">
        <v>0</v>
      </c>
      <c r="BU71">
        <v>0</v>
      </c>
      <c r="CE71" t="str">
        <f>"15:37:45.987"</f>
        <v>15:37:45.987</v>
      </c>
      <c r="CF71">
        <v>986733040</v>
      </c>
      <c r="CS71">
        <v>0</v>
      </c>
      <c r="CT71">
        <v>2</v>
      </c>
      <c r="CU71">
        <v>0</v>
      </c>
      <c r="CV71">
        <v>2</v>
      </c>
      <c r="CW71">
        <v>0</v>
      </c>
      <c r="CX71">
        <v>7</v>
      </c>
      <c r="CY71">
        <v>7</v>
      </c>
      <c r="CZ71" t="s">
        <v>133</v>
      </c>
      <c r="DA71">
        <v>125</v>
      </c>
      <c r="DB71">
        <v>1</v>
      </c>
      <c r="DC71" t="s">
        <v>134</v>
      </c>
      <c r="DD71" t="s">
        <v>135</v>
      </c>
      <c r="DG71">
        <v>2456698</v>
      </c>
      <c r="DI71">
        <v>0</v>
      </c>
      <c r="DJ71">
        <v>0</v>
      </c>
      <c r="DK71">
        <v>1</v>
      </c>
      <c r="DL71">
        <v>0</v>
      </c>
      <c r="DM71">
        <v>0</v>
      </c>
      <c r="DN71">
        <v>0</v>
      </c>
      <c r="DO71">
        <v>0</v>
      </c>
      <c r="DP71">
        <v>0</v>
      </c>
      <c r="DQ71">
        <v>0</v>
      </c>
      <c r="DR71">
        <v>0</v>
      </c>
      <c r="DS71">
        <v>0</v>
      </c>
    </row>
    <row r="72" spans="1:123" x14ac:dyDescent="0.25">
      <c r="A72" t="str">
        <f>"04/17/2026 15:37:46.222"</f>
        <v>04/17/2026 15:37:46.222</v>
      </c>
      <c r="C72" t="str">
        <f t="shared" si="5"/>
        <v>FFDFD3C0</v>
      </c>
      <c r="D72" t="s">
        <v>136</v>
      </c>
      <c r="E72" t="str">
        <f>"0E"</f>
        <v>0E</v>
      </c>
      <c r="F72">
        <v>1014</v>
      </c>
      <c r="G72" t="s">
        <v>125</v>
      </c>
      <c r="J72" t="s">
        <v>137</v>
      </c>
      <c r="K72">
        <v>0</v>
      </c>
      <c r="L72">
        <v>3</v>
      </c>
      <c r="M72">
        <v>0</v>
      </c>
      <c r="N72">
        <v>2</v>
      </c>
      <c r="O72">
        <v>1</v>
      </c>
      <c r="P72">
        <v>0</v>
      </c>
      <c r="Q72">
        <v>0</v>
      </c>
      <c r="R72" t="s">
        <v>127</v>
      </c>
      <c r="S72" t="str">
        <f>"15:37:45.984"</f>
        <v>15:37:45.984</v>
      </c>
      <c r="T72" t="str">
        <f>"15:37:45.684"</f>
        <v>15:37:45.684</v>
      </c>
      <c r="U72" t="str">
        <f t="shared" si="6"/>
        <v>A55E09</v>
      </c>
      <c r="V72">
        <v>0</v>
      </c>
      <c r="W72">
        <v>0</v>
      </c>
      <c r="X72">
        <v>2</v>
      </c>
      <c r="Y72">
        <v>0</v>
      </c>
      <c r="AA72">
        <v>0</v>
      </c>
      <c r="AB72">
        <v>8</v>
      </c>
      <c r="AC72">
        <v>3</v>
      </c>
      <c r="AD72">
        <v>0</v>
      </c>
      <c r="AE72">
        <v>9</v>
      </c>
      <c r="AF72" t="s">
        <v>128</v>
      </c>
      <c r="AG72">
        <v>0</v>
      </c>
      <c r="AH72">
        <v>0</v>
      </c>
      <c r="AI72">
        <v>1</v>
      </c>
      <c r="AJ72">
        <v>0</v>
      </c>
      <c r="AK72" t="s">
        <v>160</v>
      </c>
      <c r="AL72">
        <v>33.661915999999998</v>
      </c>
      <c r="AM72" t="s">
        <v>169</v>
      </c>
      <c r="AN72">
        <v>-101.200497</v>
      </c>
      <c r="AO72">
        <v>100</v>
      </c>
      <c r="AP72">
        <v>3200</v>
      </c>
      <c r="AQ72" t="s">
        <v>131</v>
      </c>
      <c r="AR72">
        <v>-36</v>
      </c>
      <c r="AS72">
        <v>27</v>
      </c>
      <c r="AT72">
        <v>768</v>
      </c>
      <c r="BB72" t="str">
        <f t="shared" si="7"/>
        <v>1200</v>
      </c>
      <c r="BC72">
        <v>1</v>
      </c>
      <c r="BD72" t="str">
        <f t="shared" si="8"/>
        <v xml:space="preserve">N445JS  </v>
      </c>
      <c r="BE72">
        <v>7</v>
      </c>
      <c r="BG72">
        <v>0</v>
      </c>
      <c r="BH72">
        <v>0</v>
      </c>
      <c r="BI72">
        <v>0</v>
      </c>
      <c r="BJ72">
        <v>3025</v>
      </c>
      <c r="BK72">
        <v>-175</v>
      </c>
      <c r="BL72" t="s">
        <v>132</v>
      </c>
      <c r="BM72">
        <v>1</v>
      </c>
      <c r="BN72">
        <v>1</v>
      </c>
      <c r="BO72">
        <v>1</v>
      </c>
      <c r="BP72">
        <v>0</v>
      </c>
      <c r="BT72">
        <v>0</v>
      </c>
      <c r="BU72">
        <v>0</v>
      </c>
      <c r="CE72" t="str">
        <f>"15:37:45.987"</f>
        <v>15:37:45.987</v>
      </c>
      <c r="CF72">
        <v>986733040</v>
      </c>
      <c r="CS72">
        <v>0</v>
      </c>
      <c r="CT72">
        <v>2</v>
      </c>
      <c r="CU72">
        <v>0</v>
      </c>
      <c r="CV72">
        <v>2</v>
      </c>
      <c r="CW72">
        <v>0</v>
      </c>
      <c r="CX72">
        <v>7</v>
      </c>
      <c r="CY72">
        <v>7</v>
      </c>
      <c r="CZ72" t="s">
        <v>133</v>
      </c>
      <c r="DA72">
        <v>125</v>
      </c>
      <c r="DB72">
        <v>1</v>
      </c>
      <c r="DC72" t="s">
        <v>134</v>
      </c>
      <c r="DD72" t="s">
        <v>135</v>
      </c>
      <c r="DG72">
        <v>2456698</v>
      </c>
      <c r="DI72">
        <v>0</v>
      </c>
      <c r="DJ72">
        <v>0</v>
      </c>
      <c r="DK72">
        <v>1</v>
      </c>
      <c r="DL72">
        <v>0</v>
      </c>
      <c r="DM72">
        <v>0</v>
      </c>
      <c r="DN72">
        <v>0</v>
      </c>
      <c r="DO72">
        <v>0</v>
      </c>
      <c r="DP72">
        <v>0</v>
      </c>
      <c r="DQ72">
        <v>0</v>
      </c>
      <c r="DR72">
        <v>0</v>
      </c>
      <c r="DS72">
        <v>0</v>
      </c>
    </row>
    <row r="73" spans="1:123" x14ac:dyDescent="0.25">
      <c r="A73" t="str">
        <f>"04/17/2026 15:37:46.243"</f>
        <v>04/17/2026 15:37:46.243</v>
      </c>
      <c r="C73" t="str">
        <f t="shared" si="5"/>
        <v>FFDFD3C0</v>
      </c>
      <c r="D73" t="s">
        <v>139</v>
      </c>
      <c r="E73" t="str">
        <f>"28"</f>
        <v>28</v>
      </c>
      <c r="H73">
        <v>140</v>
      </c>
      <c r="I73" t="s">
        <v>140</v>
      </c>
      <c r="J73" t="s">
        <v>141</v>
      </c>
      <c r="K73">
        <v>0</v>
      </c>
      <c r="L73">
        <v>3</v>
      </c>
      <c r="M73">
        <v>0</v>
      </c>
      <c r="N73">
        <v>2</v>
      </c>
      <c r="O73">
        <v>1</v>
      </c>
      <c r="P73">
        <v>0</v>
      </c>
      <c r="Q73">
        <v>0</v>
      </c>
      <c r="R73" t="s">
        <v>127</v>
      </c>
      <c r="S73" t="str">
        <f>"15:37:45.984"</f>
        <v>15:37:45.984</v>
      </c>
      <c r="T73" t="str">
        <f>"15:37:45.684"</f>
        <v>15:37:45.684</v>
      </c>
      <c r="U73" t="str">
        <f t="shared" si="6"/>
        <v>A55E09</v>
      </c>
      <c r="V73">
        <v>0</v>
      </c>
      <c r="W73">
        <v>0</v>
      </c>
      <c r="X73">
        <v>2</v>
      </c>
      <c r="Y73">
        <v>0</v>
      </c>
      <c r="AA73">
        <v>0</v>
      </c>
      <c r="AB73">
        <v>8</v>
      </c>
      <c r="AC73">
        <v>3</v>
      </c>
      <c r="AD73">
        <v>0</v>
      </c>
      <c r="AE73">
        <v>9</v>
      </c>
      <c r="AF73" t="s">
        <v>128</v>
      </c>
      <c r="AG73">
        <v>0</v>
      </c>
      <c r="AH73">
        <v>0</v>
      </c>
      <c r="AI73">
        <v>1</v>
      </c>
      <c r="AJ73">
        <v>0</v>
      </c>
      <c r="AK73" t="s">
        <v>160</v>
      </c>
      <c r="AL73">
        <v>33.661915999999998</v>
      </c>
      <c r="AM73" t="s">
        <v>169</v>
      </c>
      <c r="AN73">
        <v>-101.200497</v>
      </c>
      <c r="AO73">
        <v>100</v>
      </c>
      <c r="AP73">
        <v>3200</v>
      </c>
      <c r="AQ73" t="s">
        <v>131</v>
      </c>
      <c r="AR73">
        <v>-36</v>
      </c>
      <c r="AS73">
        <v>27</v>
      </c>
      <c r="AT73">
        <v>768</v>
      </c>
      <c r="BB73" t="str">
        <f t="shared" si="7"/>
        <v>1200</v>
      </c>
      <c r="BC73">
        <v>1</v>
      </c>
      <c r="BD73" t="str">
        <f t="shared" si="8"/>
        <v xml:space="preserve">N445JS  </v>
      </c>
      <c r="BE73">
        <v>7</v>
      </c>
      <c r="BG73">
        <v>0</v>
      </c>
      <c r="BH73">
        <v>0</v>
      </c>
      <c r="BI73">
        <v>0</v>
      </c>
      <c r="BJ73">
        <v>3025</v>
      </c>
      <c r="BK73">
        <v>-175</v>
      </c>
      <c r="BL73" t="s">
        <v>132</v>
      </c>
      <c r="BM73">
        <v>1</v>
      </c>
      <c r="BN73">
        <v>1</v>
      </c>
      <c r="BO73">
        <v>1</v>
      </c>
      <c r="BP73">
        <v>0</v>
      </c>
      <c r="BT73">
        <v>0</v>
      </c>
      <c r="BU73">
        <v>0</v>
      </c>
      <c r="CE73" t="str">
        <f>"15:37:45.987"</f>
        <v>15:37:45.987</v>
      </c>
      <c r="CF73">
        <v>986733040</v>
      </c>
      <c r="CS73">
        <v>0</v>
      </c>
      <c r="CT73">
        <v>2</v>
      </c>
      <c r="CU73">
        <v>0</v>
      </c>
      <c r="CV73">
        <v>2</v>
      </c>
      <c r="CW73">
        <v>0</v>
      </c>
      <c r="CX73">
        <v>7</v>
      </c>
      <c r="CY73">
        <v>7</v>
      </c>
      <c r="CZ73" t="s">
        <v>133</v>
      </c>
      <c r="DA73">
        <v>125</v>
      </c>
      <c r="DB73">
        <v>1</v>
      </c>
      <c r="DC73" t="s">
        <v>134</v>
      </c>
      <c r="DD73" t="s">
        <v>135</v>
      </c>
      <c r="DG73">
        <v>2456698</v>
      </c>
      <c r="DI73">
        <v>0</v>
      </c>
      <c r="DJ73">
        <v>0</v>
      </c>
      <c r="DK73">
        <v>1</v>
      </c>
      <c r="DL73">
        <v>0</v>
      </c>
      <c r="DM73">
        <v>0</v>
      </c>
      <c r="DN73">
        <v>0</v>
      </c>
      <c r="DO73">
        <v>0</v>
      </c>
      <c r="DP73">
        <v>0</v>
      </c>
      <c r="DQ73">
        <v>0</v>
      </c>
      <c r="DR73">
        <v>0</v>
      </c>
      <c r="DS73">
        <v>0</v>
      </c>
    </row>
    <row r="74" spans="1:123" x14ac:dyDescent="0.25">
      <c r="A74" t="str">
        <f>"04/17/2026 15:37:47.523"</f>
        <v>04/17/2026 15:37:47.523</v>
      </c>
      <c r="C74" t="str">
        <f t="shared" si="5"/>
        <v>FFDFD3C0</v>
      </c>
      <c r="D74" t="s">
        <v>124</v>
      </c>
      <c r="E74" t="str">
        <f>"03"</f>
        <v>03</v>
      </c>
      <c r="H74">
        <v>160</v>
      </c>
      <c r="I74" t="s">
        <v>125</v>
      </c>
      <c r="J74" t="s">
        <v>126</v>
      </c>
      <c r="K74">
        <v>0</v>
      </c>
      <c r="L74">
        <v>3</v>
      </c>
      <c r="M74">
        <v>0</v>
      </c>
      <c r="N74">
        <v>2</v>
      </c>
      <c r="O74">
        <v>1</v>
      </c>
      <c r="P74">
        <v>0</v>
      </c>
      <c r="Q74">
        <v>0</v>
      </c>
      <c r="R74" t="s">
        <v>127</v>
      </c>
      <c r="S74" t="str">
        <f t="shared" ref="S74:T77" si="9">"15:37:47.273"</f>
        <v>15:37:47.273</v>
      </c>
      <c r="T74" t="str">
        <f t="shared" si="9"/>
        <v>15:37:47.273</v>
      </c>
      <c r="U74" t="str">
        <f t="shared" si="6"/>
        <v>A55E09</v>
      </c>
      <c r="V74">
        <v>0</v>
      </c>
      <c r="W74">
        <v>0</v>
      </c>
      <c r="X74">
        <v>2</v>
      </c>
      <c r="Y74">
        <v>0</v>
      </c>
      <c r="AA74">
        <v>0</v>
      </c>
      <c r="AB74">
        <v>9</v>
      </c>
      <c r="AC74">
        <v>3</v>
      </c>
      <c r="AD74">
        <v>0</v>
      </c>
      <c r="AE74">
        <v>9</v>
      </c>
      <c r="AF74" t="s">
        <v>128</v>
      </c>
      <c r="AG74">
        <v>0</v>
      </c>
      <c r="AH74">
        <v>0</v>
      </c>
      <c r="AI74">
        <v>1</v>
      </c>
      <c r="AJ74">
        <v>0</v>
      </c>
      <c r="AK74" t="s">
        <v>170</v>
      </c>
      <c r="AL74">
        <v>33.662151999999999</v>
      </c>
      <c r="AM74" t="s">
        <v>171</v>
      </c>
      <c r="AN74">
        <v>-101.20079800000001</v>
      </c>
      <c r="AO74">
        <v>100</v>
      </c>
      <c r="AP74">
        <v>3300</v>
      </c>
      <c r="AQ74" t="s">
        <v>131</v>
      </c>
      <c r="AR74">
        <v>-30</v>
      </c>
      <c r="AS74">
        <v>43</v>
      </c>
      <c r="AT74">
        <v>576</v>
      </c>
      <c r="BB74" t="str">
        <f t="shared" si="7"/>
        <v>1200</v>
      </c>
      <c r="BC74">
        <v>1</v>
      </c>
      <c r="BD74" t="str">
        <f t="shared" si="8"/>
        <v xml:space="preserve">N445JS  </v>
      </c>
      <c r="BE74">
        <v>7</v>
      </c>
      <c r="BG74">
        <v>0</v>
      </c>
      <c r="BH74">
        <v>0</v>
      </c>
      <c r="BI74">
        <v>0</v>
      </c>
      <c r="BJ74">
        <v>3050</v>
      </c>
      <c r="BK74">
        <v>-250</v>
      </c>
      <c r="BL74" t="s">
        <v>132</v>
      </c>
      <c r="BM74">
        <v>1</v>
      </c>
      <c r="BN74">
        <v>1</v>
      </c>
      <c r="BO74">
        <v>1</v>
      </c>
      <c r="BP74">
        <v>0</v>
      </c>
      <c r="BT74">
        <v>0</v>
      </c>
      <c r="BU74">
        <v>0</v>
      </c>
      <c r="CE74" t="str">
        <f>"15:37:47.277"</f>
        <v>15:37:47.277</v>
      </c>
      <c r="CF74">
        <v>276606569</v>
      </c>
      <c r="CS74">
        <v>0</v>
      </c>
      <c r="CT74">
        <v>2</v>
      </c>
      <c r="CU74">
        <v>0</v>
      </c>
      <c r="CV74">
        <v>2</v>
      </c>
      <c r="CW74">
        <v>0</v>
      </c>
      <c r="CX74">
        <v>7</v>
      </c>
      <c r="CY74">
        <v>7</v>
      </c>
      <c r="CZ74" t="s">
        <v>133</v>
      </c>
      <c r="DA74">
        <v>125</v>
      </c>
      <c r="DB74">
        <v>1</v>
      </c>
      <c r="DC74" t="s">
        <v>134</v>
      </c>
      <c r="DD74" t="s">
        <v>135</v>
      </c>
      <c r="DG74">
        <v>2457986</v>
      </c>
      <c r="DI74">
        <v>0</v>
      </c>
      <c r="DJ74">
        <v>0</v>
      </c>
      <c r="DK74">
        <v>0</v>
      </c>
      <c r="DL74">
        <v>0</v>
      </c>
      <c r="DM74">
        <v>0</v>
      </c>
      <c r="DN74">
        <v>0</v>
      </c>
      <c r="DO74">
        <v>0</v>
      </c>
      <c r="DP74">
        <v>0</v>
      </c>
      <c r="DQ74">
        <v>0</v>
      </c>
      <c r="DR74">
        <v>0</v>
      </c>
      <c r="DS74">
        <v>0</v>
      </c>
    </row>
    <row r="75" spans="1:123" x14ac:dyDescent="0.25">
      <c r="A75" t="str">
        <f>"04/17/2026 15:37:47.525"</f>
        <v>04/17/2026 15:37:47.525</v>
      </c>
      <c r="C75" t="str">
        <f t="shared" si="5"/>
        <v>FFDFD3C0</v>
      </c>
      <c r="D75" t="s">
        <v>136</v>
      </c>
      <c r="E75" t="str">
        <f>"0F"</f>
        <v>0F</v>
      </c>
      <c r="F75">
        <v>1015</v>
      </c>
      <c r="G75" t="s">
        <v>138</v>
      </c>
      <c r="J75" t="s">
        <v>137</v>
      </c>
      <c r="K75">
        <v>0</v>
      </c>
      <c r="L75">
        <v>3</v>
      </c>
      <c r="M75">
        <v>0</v>
      </c>
      <c r="N75">
        <v>2</v>
      </c>
      <c r="O75">
        <v>1</v>
      </c>
      <c r="P75">
        <v>0</v>
      </c>
      <c r="Q75">
        <v>0</v>
      </c>
      <c r="R75" t="s">
        <v>127</v>
      </c>
      <c r="S75" t="str">
        <f t="shared" si="9"/>
        <v>15:37:47.273</v>
      </c>
      <c r="T75" t="str">
        <f t="shared" si="9"/>
        <v>15:37:47.273</v>
      </c>
      <c r="U75" t="str">
        <f t="shared" si="6"/>
        <v>A55E09</v>
      </c>
      <c r="V75">
        <v>0</v>
      </c>
      <c r="W75">
        <v>0</v>
      </c>
      <c r="X75">
        <v>2</v>
      </c>
      <c r="Y75">
        <v>0</v>
      </c>
      <c r="AA75">
        <v>0</v>
      </c>
      <c r="AB75">
        <v>9</v>
      </c>
      <c r="AC75">
        <v>3</v>
      </c>
      <c r="AD75">
        <v>0</v>
      </c>
      <c r="AE75">
        <v>9</v>
      </c>
      <c r="AF75" t="s">
        <v>128</v>
      </c>
      <c r="AG75">
        <v>0</v>
      </c>
      <c r="AH75">
        <v>0</v>
      </c>
      <c r="AI75">
        <v>1</v>
      </c>
      <c r="AJ75">
        <v>0</v>
      </c>
      <c r="AK75" t="s">
        <v>170</v>
      </c>
      <c r="AL75">
        <v>33.662151999999999</v>
      </c>
      <c r="AM75" t="s">
        <v>171</v>
      </c>
      <c r="AN75">
        <v>-101.20079800000001</v>
      </c>
      <c r="AO75">
        <v>100</v>
      </c>
      <c r="AP75">
        <v>3300</v>
      </c>
      <c r="AQ75" t="s">
        <v>131</v>
      </c>
      <c r="AR75">
        <v>-30</v>
      </c>
      <c r="AS75">
        <v>43</v>
      </c>
      <c r="AT75">
        <v>576</v>
      </c>
      <c r="BB75" t="str">
        <f t="shared" si="7"/>
        <v>1200</v>
      </c>
      <c r="BC75">
        <v>1</v>
      </c>
      <c r="BD75" t="str">
        <f t="shared" si="8"/>
        <v xml:space="preserve">N445JS  </v>
      </c>
      <c r="BE75">
        <v>7</v>
      </c>
      <c r="BG75">
        <v>0</v>
      </c>
      <c r="BH75">
        <v>0</v>
      </c>
      <c r="BI75">
        <v>0</v>
      </c>
      <c r="BJ75">
        <v>3050</v>
      </c>
      <c r="BK75">
        <v>-250</v>
      </c>
      <c r="BL75" t="s">
        <v>132</v>
      </c>
      <c r="BM75">
        <v>1</v>
      </c>
      <c r="BN75">
        <v>1</v>
      </c>
      <c r="BO75">
        <v>1</v>
      </c>
      <c r="BP75">
        <v>0</v>
      </c>
      <c r="BT75">
        <v>0</v>
      </c>
      <c r="BU75">
        <v>0</v>
      </c>
      <c r="CE75" t="str">
        <f>"15:37:47.277"</f>
        <v>15:37:47.277</v>
      </c>
      <c r="CF75">
        <v>276606569</v>
      </c>
      <c r="CS75">
        <v>0</v>
      </c>
      <c r="CT75">
        <v>2</v>
      </c>
      <c r="CU75">
        <v>0</v>
      </c>
      <c r="CV75">
        <v>2</v>
      </c>
      <c r="CW75">
        <v>0</v>
      </c>
      <c r="CX75">
        <v>7</v>
      </c>
      <c r="CY75">
        <v>7</v>
      </c>
      <c r="CZ75" t="s">
        <v>133</v>
      </c>
      <c r="DA75">
        <v>125</v>
      </c>
      <c r="DB75">
        <v>1</v>
      </c>
      <c r="DC75" t="s">
        <v>134</v>
      </c>
      <c r="DD75" t="s">
        <v>135</v>
      </c>
      <c r="DG75">
        <v>2457986</v>
      </c>
      <c r="DI75">
        <v>0</v>
      </c>
      <c r="DJ75">
        <v>0</v>
      </c>
      <c r="DK75">
        <v>1</v>
      </c>
      <c r="DL75">
        <v>0</v>
      </c>
      <c r="DM75">
        <v>0</v>
      </c>
      <c r="DN75">
        <v>0</v>
      </c>
      <c r="DO75">
        <v>0</v>
      </c>
      <c r="DP75">
        <v>0</v>
      </c>
      <c r="DQ75">
        <v>0</v>
      </c>
      <c r="DR75">
        <v>0</v>
      </c>
      <c r="DS75">
        <v>0</v>
      </c>
    </row>
    <row r="76" spans="1:123" x14ac:dyDescent="0.25">
      <c r="A76" t="str">
        <f>"04/17/2026 15:37:47.524"</f>
        <v>04/17/2026 15:37:47.524</v>
      </c>
      <c r="C76" t="str">
        <f t="shared" si="5"/>
        <v>FFDFD3C0</v>
      </c>
      <c r="D76" t="s">
        <v>136</v>
      </c>
      <c r="E76" t="str">
        <f>"0E"</f>
        <v>0E</v>
      </c>
      <c r="F76">
        <v>1014</v>
      </c>
      <c r="G76" t="s">
        <v>125</v>
      </c>
      <c r="J76" t="s">
        <v>137</v>
      </c>
      <c r="K76">
        <v>0</v>
      </c>
      <c r="L76">
        <v>3</v>
      </c>
      <c r="M76">
        <v>0</v>
      </c>
      <c r="N76">
        <v>2</v>
      </c>
      <c r="O76">
        <v>1</v>
      </c>
      <c r="P76">
        <v>0</v>
      </c>
      <c r="Q76">
        <v>0</v>
      </c>
      <c r="R76" t="s">
        <v>127</v>
      </c>
      <c r="S76" t="str">
        <f t="shared" si="9"/>
        <v>15:37:47.273</v>
      </c>
      <c r="T76" t="str">
        <f t="shared" si="9"/>
        <v>15:37:47.273</v>
      </c>
      <c r="U76" t="str">
        <f t="shared" si="6"/>
        <v>A55E09</v>
      </c>
      <c r="V76">
        <v>0</v>
      </c>
      <c r="W76">
        <v>0</v>
      </c>
      <c r="X76">
        <v>2</v>
      </c>
      <c r="Y76">
        <v>0</v>
      </c>
      <c r="AA76">
        <v>0</v>
      </c>
      <c r="AB76">
        <v>9</v>
      </c>
      <c r="AC76">
        <v>3</v>
      </c>
      <c r="AD76">
        <v>0</v>
      </c>
      <c r="AE76">
        <v>9</v>
      </c>
      <c r="AF76" t="s">
        <v>128</v>
      </c>
      <c r="AG76">
        <v>0</v>
      </c>
      <c r="AH76">
        <v>0</v>
      </c>
      <c r="AI76">
        <v>1</v>
      </c>
      <c r="AJ76">
        <v>0</v>
      </c>
      <c r="AK76" t="s">
        <v>170</v>
      </c>
      <c r="AL76">
        <v>33.662151999999999</v>
      </c>
      <c r="AM76" t="s">
        <v>171</v>
      </c>
      <c r="AN76">
        <v>-101.20079800000001</v>
      </c>
      <c r="AO76">
        <v>100</v>
      </c>
      <c r="AP76">
        <v>3300</v>
      </c>
      <c r="AQ76" t="s">
        <v>131</v>
      </c>
      <c r="AR76">
        <v>-30</v>
      </c>
      <c r="AS76">
        <v>43</v>
      </c>
      <c r="AT76">
        <v>576</v>
      </c>
      <c r="BB76" t="str">
        <f t="shared" si="7"/>
        <v>1200</v>
      </c>
      <c r="BC76">
        <v>1</v>
      </c>
      <c r="BD76" t="str">
        <f t="shared" si="8"/>
        <v xml:space="preserve">N445JS  </v>
      </c>
      <c r="BE76">
        <v>7</v>
      </c>
      <c r="BG76">
        <v>0</v>
      </c>
      <c r="BH76">
        <v>0</v>
      </c>
      <c r="BI76">
        <v>0</v>
      </c>
      <c r="BJ76">
        <v>3050</v>
      </c>
      <c r="BK76">
        <v>-250</v>
      </c>
      <c r="BL76" t="s">
        <v>132</v>
      </c>
      <c r="BM76">
        <v>1</v>
      </c>
      <c r="BN76">
        <v>1</v>
      </c>
      <c r="BO76">
        <v>1</v>
      </c>
      <c r="BP76">
        <v>0</v>
      </c>
      <c r="BT76">
        <v>0</v>
      </c>
      <c r="BU76">
        <v>0</v>
      </c>
      <c r="CE76" t="str">
        <f>"15:37:47.277"</f>
        <v>15:37:47.277</v>
      </c>
      <c r="CF76">
        <v>276606569</v>
      </c>
      <c r="CS76">
        <v>0</v>
      </c>
      <c r="CT76">
        <v>2</v>
      </c>
      <c r="CU76">
        <v>0</v>
      </c>
      <c r="CV76">
        <v>2</v>
      </c>
      <c r="CW76">
        <v>0</v>
      </c>
      <c r="CX76">
        <v>7</v>
      </c>
      <c r="CY76">
        <v>7</v>
      </c>
      <c r="CZ76" t="s">
        <v>133</v>
      </c>
      <c r="DA76">
        <v>125</v>
      </c>
      <c r="DB76">
        <v>1</v>
      </c>
      <c r="DC76" t="s">
        <v>134</v>
      </c>
      <c r="DD76" t="s">
        <v>135</v>
      </c>
      <c r="DG76">
        <v>2457986</v>
      </c>
      <c r="DI76">
        <v>0</v>
      </c>
      <c r="DJ76">
        <v>0</v>
      </c>
      <c r="DK76">
        <v>1</v>
      </c>
      <c r="DL76">
        <v>0</v>
      </c>
      <c r="DM76">
        <v>0</v>
      </c>
      <c r="DN76">
        <v>0</v>
      </c>
      <c r="DO76">
        <v>0</v>
      </c>
      <c r="DP76">
        <v>0</v>
      </c>
      <c r="DQ76">
        <v>0</v>
      </c>
      <c r="DR76">
        <v>0</v>
      </c>
      <c r="DS76">
        <v>0</v>
      </c>
    </row>
    <row r="77" spans="1:123" x14ac:dyDescent="0.25">
      <c r="A77" t="str">
        <f>"04/17/2026 15:37:47.546"</f>
        <v>04/17/2026 15:37:47.546</v>
      </c>
      <c r="C77" t="str">
        <f t="shared" si="5"/>
        <v>FFDFD3C0</v>
      </c>
      <c r="D77" t="s">
        <v>139</v>
      </c>
      <c r="E77" t="str">
        <f>"28"</f>
        <v>28</v>
      </c>
      <c r="H77">
        <v>140</v>
      </c>
      <c r="I77" t="s">
        <v>140</v>
      </c>
      <c r="J77" t="s">
        <v>141</v>
      </c>
      <c r="K77">
        <v>0</v>
      </c>
      <c r="L77">
        <v>3</v>
      </c>
      <c r="M77">
        <v>0</v>
      </c>
      <c r="N77">
        <v>2</v>
      </c>
      <c r="O77">
        <v>1</v>
      </c>
      <c r="P77">
        <v>0</v>
      </c>
      <c r="Q77">
        <v>0</v>
      </c>
      <c r="R77" t="s">
        <v>127</v>
      </c>
      <c r="S77" t="str">
        <f t="shared" si="9"/>
        <v>15:37:47.273</v>
      </c>
      <c r="T77" t="str">
        <f t="shared" si="9"/>
        <v>15:37:47.273</v>
      </c>
      <c r="U77" t="str">
        <f t="shared" si="6"/>
        <v>A55E09</v>
      </c>
      <c r="V77">
        <v>0</v>
      </c>
      <c r="W77">
        <v>0</v>
      </c>
      <c r="X77">
        <v>2</v>
      </c>
      <c r="Y77">
        <v>0</v>
      </c>
      <c r="AA77">
        <v>0</v>
      </c>
      <c r="AB77">
        <v>9</v>
      </c>
      <c r="AC77">
        <v>3</v>
      </c>
      <c r="AD77">
        <v>0</v>
      </c>
      <c r="AE77">
        <v>9</v>
      </c>
      <c r="AF77" t="s">
        <v>128</v>
      </c>
      <c r="AG77">
        <v>0</v>
      </c>
      <c r="AH77">
        <v>0</v>
      </c>
      <c r="AI77">
        <v>1</v>
      </c>
      <c r="AJ77">
        <v>0</v>
      </c>
      <c r="AK77" t="s">
        <v>170</v>
      </c>
      <c r="AL77">
        <v>33.662151999999999</v>
      </c>
      <c r="AM77" t="s">
        <v>171</v>
      </c>
      <c r="AN77">
        <v>-101.20079800000001</v>
      </c>
      <c r="AO77">
        <v>100</v>
      </c>
      <c r="AP77">
        <v>3300</v>
      </c>
      <c r="AQ77" t="s">
        <v>131</v>
      </c>
      <c r="AR77">
        <v>-30</v>
      </c>
      <c r="AS77">
        <v>43</v>
      </c>
      <c r="AT77">
        <v>576</v>
      </c>
      <c r="BB77" t="str">
        <f t="shared" si="7"/>
        <v>1200</v>
      </c>
      <c r="BC77">
        <v>1</v>
      </c>
      <c r="BD77" t="str">
        <f t="shared" si="8"/>
        <v xml:space="preserve">N445JS  </v>
      </c>
      <c r="BE77">
        <v>7</v>
      </c>
      <c r="BG77">
        <v>0</v>
      </c>
      <c r="BH77">
        <v>0</v>
      </c>
      <c r="BI77">
        <v>0</v>
      </c>
      <c r="BJ77">
        <v>3050</v>
      </c>
      <c r="BK77">
        <v>-250</v>
      </c>
      <c r="BL77" t="s">
        <v>132</v>
      </c>
      <c r="BM77">
        <v>1</v>
      </c>
      <c r="BN77">
        <v>1</v>
      </c>
      <c r="BO77">
        <v>1</v>
      </c>
      <c r="BP77">
        <v>0</v>
      </c>
      <c r="BT77">
        <v>0</v>
      </c>
      <c r="BU77">
        <v>0</v>
      </c>
      <c r="CE77" t="str">
        <f>"15:37:47.277"</f>
        <v>15:37:47.277</v>
      </c>
      <c r="CF77">
        <v>276606569</v>
      </c>
      <c r="CS77">
        <v>0</v>
      </c>
      <c r="CT77">
        <v>2</v>
      </c>
      <c r="CU77">
        <v>0</v>
      </c>
      <c r="CV77">
        <v>2</v>
      </c>
      <c r="CW77">
        <v>0</v>
      </c>
      <c r="CX77">
        <v>7</v>
      </c>
      <c r="CY77">
        <v>7</v>
      </c>
      <c r="CZ77" t="s">
        <v>133</v>
      </c>
      <c r="DA77">
        <v>125</v>
      </c>
      <c r="DB77">
        <v>1</v>
      </c>
      <c r="DC77" t="s">
        <v>134</v>
      </c>
      <c r="DD77" t="s">
        <v>135</v>
      </c>
      <c r="DG77">
        <v>2457986</v>
      </c>
      <c r="DI77">
        <v>0</v>
      </c>
      <c r="DJ77">
        <v>0</v>
      </c>
      <c r="DK77">
        <v>1</v>
      </c>
      <c r="DL77">
        <v>0</v>
      </c>
      <c r="DM77">
        <v>0</v>
      </c>
      <c r="DN77">
        <v>0</v>
      </c>
      <c r="DO77">
        <v>0</v>
      </c>
      <c r="DP77">
        <v>0</v>
      </c>
      <c r="DQ77">
        <v>0</v>
      </c>
      <c r="DR77">
        <v>0</v>
      </c>
      <c r="DS77">
        <v>0</v>
      </c>
    </row>
    <row r="78" spans="1:123" x14ac:dyDescent="0.25">
      <c r="A78" t="str">
        <f>"04/17/2026 15:37:48.575"</f>
        <v>04/17/2026 15:37:48.575</v>
      </c>
      <c r="C78" t="str">
        <f t="shared" si="5"/>
        <v>FFDFD3C0</v>
      </c>
      <c r="D78" t="s">
        <v>124</v>
      </c>
      <c r="E78" t="str">
        <f>"03"</f>
        <v>03</v>
      </c>
      <c r="H78">
        <v>160</v>
      </c>
      <c r="I78" t="s">
        <v>125</v>
      </c>
      <c r="J78" t="s">
        <v>126</v>
      </c>
      <c r="K78">
        <v>0</v>
      </c>
      <c r="L78">
        <v>3</v>
      </c>
      <c r="M78">
        <v>0</v>
      </c>
      <c r="N78">
        <v>2</v>
      </c>
      <c r="O78">
        <v>1</v>
      </c>
      <c r="P78">
        <v>0</v>
      </c>
      <c r="Q78">
        <v>0</v>
      </c>
      <c r="R78" t="s">
        <v>127</v>
      </c>
      <c r="S78" t="str">
        <f>"15:37:48.305"</f>
        <v>15:37:48.305</v>
      </c>
      <c r="T78" t="str">
        <f>"15:37:48.205"</f>
        <v>15:37:48.205</v>
      </c>
      <c r="U78" t="str">
        <f t="shared" si="6"/>
        <v>A55E09</v>
      </c>
      <c r="V78">
        <v>0</v>
      </c>
      <c r="W78">
        <v>0</v>
      </c>
      <c r="X78">
        <v>2</v>
      </c>
      <c r="Y78">
        <v>0</v>
      </c>
      <c r="AA78">
        <v>0</v>
      </c>
      <c r="AB78">
        <v>9</v>
      </c>
      <c r="AC78">
        <v>3</v>
      </c>
      <c r="AD78">
        <v>0</v>
      </c>
      <c r="AE78">
        <v>9</v>
      </c>
      <c r="AF78" t="s">
        <v>128</v>
      </c>
      <c r="AG78">
        <v>0</v>
      </c>
      <c r="AH78">
        <v>0</v>
      </c>
      <c r="AI78">
        <v>1</v>
      </c>
      <c r="AJ78">
        <v>0</v>
      </c>
      <c r="AK78" t="s">
        <v>172</v>
      </c>
      <c r="AL78">
        <v>33.662388</v>
      </c>
      <c r="AM78" t="s">
        <v>173</v>
      </c>
      <c r="AN78">
        <v>-101.20090500000001</v>
      </c>
      <c r="AO78">
        <v>100</v>
      </c>
      <c r="AP78">
        <v>3300</v>
      </c>
      <c r="AQ78" t="s">
        <v>131</v>
      </c>
      <c r="AR78">
        <v>-26</v>
      </c>
      <c r="AS78">
        <v>51</v>
      </c>
      <c r="AT78">
        <v>256</v>
      </c>
      <c r="BB78" t="str">
        <f t="shared" si="7"/>
        <v>1200</v>
      </c>
      <c r="BC78">
        <v>1</v>
      </c>
      <c r="BD78" t="str">
        <f t="shared" si="8"/>
        <v xml:space="preserve">N445JS  </v>
      </c>
      <c r="BE78">
        <v>7</v>
      </c>
      <c r="BG78">
        <v>0</v>
      </c>
      <c r="BH78">
        <v>0</v>
      </c>
      <c r="BI78">
        <v>0</v>
      </c>
      <c r="BJ78">
        <v>3050</v>
      </c>
      <c r="BK78">
        <v>-250</v>
      </c>
      <c r="BL78" t="s">
        <v>132</v>
      </c>
      <c r="BM78">
        <v>1</v>
      </c>
      <c r="BN78">
        <v>1</v>
      </c>
      <c r="BO78">
        <v>1</v>
      </c>
      <c r="BP78">
        <v>0</v>
      </c>
      <c r="BT78">
        <v>0</v>
      </c>
      <c r="BU78">
        <v>0</v>
      </c>
      <c r="CE78" t="str">
        <f>"15:37:48.312"</f>
        <v>15:37:48.312</v>
      </c>
      <c r="CF78">
        <v>311505089</v>
      </c>
      <c r="CS78">
        <v>0</v>
      </c>
      <c r="CT78">
        <v>2</v>
      </c>
      <c r="CU78">
        <v>0</v>
      </c>
      <c r="CV78">
        <v>2</v>
      </c>
      <c r="CW78">
        <v>0</v>
      </c>
      <c r="CX78">
        <v>5</v>
      </c>
      <c r="CY78">
        <v>7</v>
      </c>
      <c r="CZ78" t="s">
        <v>133</v>
      </c>
      <c r="DA78">
        <v>125</v>
      </c>
      <c r="DB78">
        <v>1</v>
      </c>
      <c r="DC78" t="s">
        <v>134</v>
      </c>
      <c r="DD78" t="s">
        <v>135</v>
      </c>
      <c r="DG78">
        <v>2459011</v>
      </c>
      <c r="DI78">
        <v>0</v>
      </c>
      <c r="DJ78">
        <v>0</v>
      </c>
      <c r="DK78">
        <v>0</v>
      </c>
      <c r="DL78">
        <v>0</v>
      </c>
      <c r="DM78">
        <v>0</v>
      </c>
      <c r="DN78">
        <v>0</v>
      </c>
      <c r="DO78">
        <v>0</v>
      </c>
      <c r="DP78">
        <v>0</v>
      </c>
      <c r="DQ78">
        <v>0</v>
      </c>
      <c r="DR78">
        <v>0</v>
      </c>
      <c r="DS78">
        <v>0</v>
      </c>
    </row>
    <row r="79" spans="1:123" x14ac:dyDescent="0.25">
      <c r="A79" t="str">
        <f>"04/17/2026 15:37:48.576"</f>
        <v>04/17/2026 15:37:48.576</v>
      </c>
      <c r="C79" t="str">
        <f t="shared" si="5"/>
        <v>FFDFD3C0</v>
      </c>
      <c r="D79" t="s">
        <v>136</v>
      </c>
      <c r="E79" t="str">
        <f>"0E"</f>
        <v>0E</v>
      </c>
      <c r="F79">
        <v>1014</v>
      </c>
      <c r="G79" t="s">
        <v>125</v>
      </c>
      <c r="J79" t="s">
        <v>137</v>
      </c>
      <c r="K79">
        <v>0</v>
      </c>
      <c r="L79">
        <v>3</v>
      </c>
      <c r="M79">
        <v>0</v>
      </c>
      <c r="N79">
        <v>2</v>
      </c>
      <c r="O79">
        <v>1</v>
      </c>
      <c r="P79">
        <v>0</v>
      </c>
      <c r="Q79">
        <v>0</v>
      </c>
      <c r="R79" t="s">
        <v>127</v>
      </c>
      <c r="S79" t="str">
        <f>"15:37:48.305"</f>
        <v>15:37:48.305</v>
      </c>
      <c r="T79" t="str">
        <f>"15:37:48.205"</f>
        <v>15:37:48.205</v>
      </c>
      <c r="U79" t="str">
        <f t="shared" si="6"/>
        <v>A55E09</v>
      </c>
      <c r="V79">
        <v>0</v>
      </c>
      <c r="W79">
        <v>0</v>
      </c>
      <c r="X79">
        <v>2</v>
      </c>
      <c r="Y79">
        <v>0</v>
      </c>
      <c r="AA79">
        <v>0</v>
      </c>
      <c r="AB79">
        <v>9</v>
      </c>
      <c r="AC79">
        <v>3</v>
      </c>
      <c r="AD79">
        <v>0</v>
      </c>
      <c r="AE79">
        <v>9</v>
      </c>
      <c r="AF79" t="s">
        <v>128</v>
      </c>
      <c r="AG79">
        <v>0</v>
      </c>
      <c r="AH79">
        <v>0</v>
      </c>
      <c r="AI79">
        <v>1</v>
      </c>
      <c r="AJ79">
        <v>0</v>
      </c>
      <c r="AK79" t="s">
        <v>172</v>
      </c>
      <c r="AL79">
        <v>33.662388</v>
      </c>
      <c r="AM79" t="s">
        <v>173</v>
      </c>
      <c r="AN79">
        <v>-101.20090500000001</v>
      </c>
      <c r="AO79">
        <v>100</v>
      </c>
      <c r="AP79">
        <v>3300</v>
      </c>
      <c r="AQ79" t="s">
        <v>131</v>
      </c>
      <c r="AR79">
        <v>-26</v>
      </c>
      <c r="AS79">
        <v>51</v>
      </c>
      <c r="AT79">
        <v>256</v>
      </c>
      <c r="BB79" t="str">
        <f t="shared" si="7"/>
        <v>1200</v>
      </c>
      <c r="BC79">
        <v>1</v>
      </c>
      <c r="BD79" t="str">
        <f t="shared" si="8"/>
        <v xml:space="preserve">N445JS  </v>
      </c>
      <c r="BE79">
        <v>7</v>
      </c>
      <c r="BG79">
        <v>0</v>
      </c>
      <c r="BH79">
        <v>0</v>
      </c>
      <c r="BI79">
        <v>0</v>
      </c>
      <c r="BJ79">
        <v>3050</v>
      </c>
      <c r="BK79">
        <v>-250</v>
      </c>
      <c r="BL79" t="s">
        <v>132</v>
      </c>
      <c r="BM79">
        <v>1</v>
      </c>
      <c r="BN79">
        <v>1</v>
      </c>
      <c r="BO79">
        <v>1</v>
      </c>
      <c r="BP79">
        <v>0</v>
      </c>
      <c r="BT79">
        <v>0</v>
      </c>
      <c r="BU79">
        <v>0</v>
      </c>
      <c r="CE79" t="str">
        <f>"15:37:48.312"</f>
        <v>15:37:48.312</v>
      </c>
      <c r="CF79">
        <v>311505089</v>
      </c>
      <c r="CS79">
        <v>0</v>
      </c>
      <c r="CT79">
        <v>2</v>
      </c>
      <c r="CU79">
        <v>0</v>
      </c>
      <c r="CV79">
        <v>2</v>
      </c>
      <c r="CW79">
        <v>0</v>
      </c>
      <c r="CX79">
        <v>5</v>
      </c>
      <c r="CY79">
        <v>7</v>
      </c>
      <c r="CZ79" t="s">
        <v>133</v>
      </c>
      <c r="DA79">
        <v>125</v>
      </c>
      <c r="DB79">
        <v>1</v>
      </c>
      <c r="DC79" t="s">
        <v>134</v>
      </c>
      <c r="DD79" t="s">
        <v>135</v>
      </c>
      <c r="DG79">
        <v>2459011</v>
      </c>
      <c r="DI79">
        <v>0</v>
      </c>
      <c r="DJ79">
        <v>0</v>
      </c>
      <c r="DK79">
        <v>1</v>
      </c>
      <c r="DL79">
        <v>0</v>
      </c>
      <c r="DM79">
        <v>0</v>
      </c>
      <c r="DN79">
        <v>0</v>
      </c>
      <c r="DO79">
        <v>0</v>
      </c>
      <c r="DP79">
        <v>0</v>
      </c>
      <c r="DQ79">
        <v>0</v>
      </c>
      <c r="DR79">
        <v>0</v>
      </c>
      <c r="DS79">
        <v>0</v>
      </c>
    </row>
    <row r="80" spans="1:123" x14ac:dyDescent="0.25">
      <c r="A80" t="str">
        <f>"04/17/2026 15:37:48.577"</f>
        <v>04/17/2026 15:37:48.577</v>
      </c>
      <c r="C80" t="str">
        <f t="shared" si="5"/>
        <v>FFDFD3C0</v>
      </c>
      <c r="D80" t="s">
        <v>136</v>
      </c>
      <c r="E80" t="str">
        <f>"0F"</f>
        <v>0F</v>
      </c>
      <c r="F80">
        <v>1015</v>
      </c>
      <c r="G80" t="s">
        <v>138</v>
      </c>
      <c r="J80" t="s">
        <v>137</v>
      </c>
      <c r="K80">
        <v>0</v>
      </c>
      <c r="L80">
        <v>3</v>
      </c>
      <c r="M80">
        <v>0</v>
      </c>
      <c r="N80">
        <v>2</v>
      </c>
      <c r="O80">
        <v>1</v>
      </c>
      <c r="P80">
        <v>0</v>
      </c>
      <c r="Q80">
        <v>0</v>
      </c>
      <c r="R80" t="s">
        <v>127</v>
      </c>
      <c r="S80" t="str">
        <f>"15:37:48.305"</f>
        <v>15:37:48.305</v>
      </c>
      <c r="T80" t="str">
        <f>"15:37:48.205"</f>
        <v>15:37:48.205</v>
      </c>
      <c r="U80" t="str">
        <f t="shared" si="6"/>
        <v>A55E09</v>
      </c>
      <c r="V80">
        <v>0</v>
      </c>
      <c r="W80">
        <v>0</v>
      </c>
      <c r="X80">
        <v>2</v>
      </c>
      <c r="Y80">
        <v>0</v>
      </c>
      <c r="AA80">
        <v>0</v>
      </c>
      <c r="AB80">
        <v>9</v>
      </c>
      <c r="AC80">
        <v>3</v>
      </c>
      <c r="AD80">
        <v>0</v>
      </c>
      <c r="AE80">
        <v>9</v>
      </c>
      <c r="AF80" t="s">
        <v>128</v>
      </c>
      <c r="AG80">
        <v>0</v>
      </c>
      <c r="AH80">
        <v>0</v>
      </c>
      <c r="AI80">
        <v>1</v>
      </c>
      <c r="AJ80">
        <v>0</v>
      </c>
      <c r="AK80" t="s">
        <v>172</v>
      </c>
      <c r="AL80">
        <v>33.662388</v>
      </c>
      <c r="AM80" t="s">
        <v>173</v>
      </c>
      <c r="AN80">
        <v>-101.20090500000001</v>
      </c>
      <c r="AO80">
        <v>100</v>
      </c>
      <c r="AP80">
        <v>3300</v>
      </c>
      <c r="AQ80" t="s">
        <v>131</v>
      </c>
      <c r="AR80">
        <v>-26</v>
      </c>
      <c r="AS80">
        <v>51</v>
      </c>
      <c r="AT80">
        <v>256</v>
      </c>
      <c r="BB80" t="str">
        <f t="shared" si="7"/>
        <v>1200</v>
      </c>
      <c r="BC80">
        <v>1</v>
      </c>
      <c r="BD80" t="str">
        <f t="shared" si="8"/>
        <v xml:space="preserve">N445JS  </v>
      </c>
      <c r="BE80">
        <v>7</v>
      </c>
      <c r="BG80">
        <v>0</v>
      </c>
      <c r="BH80">
        <v>0</v>
      </c>
      <c r="BI80">
        <v>0</v>
      </c>
      <c r="BJ80">
        <v>3050</v>
      </c>
      <c r="BK80">
        <v>-250</v>
      </c>
      <c r="BL80" t="s">
        <v>132</v>
      </c>
      <c r="BM80">
        <v>1</v>
      </c>
      <c r="BN80">
        <v>1</v>
      </c>
      <c r="BO80">
        <v>1</v>
      </c>
      <c r="BP80">
        <v>0</v>
      </c>
      <c r="BT80">
        <v>0</v>
      </c>
      <c r="BU80">
        <v>0</v>
      </c>
      <c r="CE80" t="str">
        <f>"15:37:48.312"</f>
        <v>15:37:48.312</v>
      </c>
      <c r="CF80">
        <v>311505089</v>
      </c>
      <c r="CS80">
        <v>0</v>
      </c>
      <c r="CT80">
        <v>2</v>
      </c>
      <c r="CU80">
        <v>0</v>
      </c>
      <c r="CV80">
        <v>2</v>
      </c>
      <c r="CW80">
        <v>0</v>
      </c>
      <c r="CX80">
        <v>5</v>
      </c>
      <c r="CY80">
        <v>7</v>
      </c>
      <c r="CZ80" t="s">
        <v>133</v>
      </c>
      <c r="DA80">
        <v>125</v>
      </c>
      <c r="DB80">
        <v>1</v>
      </c>
      <c r="DC80" t="s">
        <v>134</v>
      </c>
      <c r="DD80" t="s">
        <v>135</v>
      </c>
      <c r="DG80">
        <v>2459011</v>
      </c>
      <c r="DI80">
        <v>0</v>
      </c>
      <c r="DJ80">
        <v>0</v>
      </c>
      <c r="DK80">
        <v>1</v>
      </c>
      <c r="DL80">
        <v>0</v>
      </c>
      <c r="DM80">
        <v>0</v>
      </c>
      <c r="DN80">
        <v>0</v>
      </c>
      <c r="DO80">
        <v>0</v>
      </c>
      <c r="DP80">
        <v>0</v>
      </c>
      <c r="DQ80">
        <v>0</v>
      </c>
      <c r="DR80">
        <v>0</v>
      </c>
      <c r="DS80">
        <v>0</v>
      </c>
    </row>
    <row r="81" spans="1:123" x14ac:dyDescent="0.25">
      <c r="A81" t="str">
        <f>"04/17/2026 15:37:48.598"</f>
        <v>04/17/2026 15:37:48.598</v>
      </c>
      <c r="C81" t="str">
        <f t="shared" si="5"/>
        <v>FFDFD3C0</v>
      </c>
      <c r="D81" t="s">
        <v>139</v>
      </c>
      <c r="E81" t="str">
        <f>"28"</f>
        <v>28</v>
      </c>
      <c r="H81">
        <v>140</v>
      </c>
      <c r="I81" t="s">
        <v>140</v>
      </c>
      <c r="J81" t="s">
        <v>141</v>
      </c>
      <c r="K81">
        <v>0</v>
      </c>
      <c r="L81">
        <v>3</v>
      </c>
      <c r="M81">
        <v>0</v>
      </c>
      <c r="N81">
        <v>2</v>
      </c>
      <c r="O81">
        <v>1</v>
      </c>
      <c r="P81">
        <v>0</v>
      </c>
      <c r="Q81">
        <v>0</v>
      </c>
      <c r="R81" t="s">
        <v>127</v>
      </c>
      <c r="S81" t="str">
        <f>"15:37:48.305"</f>
        <v>15:37:48.305</v>
      </c>
      <c r="T81" t="str">
        <f>"15:37:48.205"</f>
        <v>15:37:48.205</v>
      </c>
      <c r="U81" t="str">
        <f t="shared" si="6"/>
        <v>A55E09</v>
      </c>
      <c r="V81">
        <v>0</v>
      </c>
      <c r="W81">
        <v>0</v>
      </c>
      <c r="X81">
        <v>2</v>
      </c>
      <c r="Y81">
        <v>0</v>
      </c>
      <c r="AA81">
        <v>0</v>
      </c>
      <c r="AB81">
        <v>9</v>
      </c>
      <c r="AC81">
        <v>3</v>
      </c>
      <c r="AD81">
        <v>0</v>
      </c>
      <c r="AE81">
        <v>9</v>
      </c>
      <c r="AF81" t="s">
        <v>128</v>
      </c>
      <c r="AG81">
        <v>0</v>
      </c>
      <c r="AH81">
        <v>0</v>
      </c>
      <c r="AI81">
        <v>1</v>
      </c>
      <c r="AJ81">
        <v>0</v>
      </c>
      <c r="AK81" t="s">
        <v>172</v>
      </c>
      <c r="AL81">
        <v>33.662388</v>
      </c>
      <c r="AM81" t="s">
        <v>173</v>
      </c>
      <c r="AN81">
        <v>-101.20090500000001</v>
      </c>
      <c r="AO81">
        <v>100</v>
      </c>
      <c r="AP81">
        <v>3300</v>
      </c>
      <c r="AQ81" t="s">
        <v>131</v>
      </c>
      <c r="AR81">
        <v>-26</v>
      </c>
      <c r="AS81">
        <v>51</v>
      </c>
      <c r="AT81">
        <v>256</v>
      </c>
      <c r="BB81" t="str">
        <f t="shared" si="7"/>
        <v>1200</v>
      </c>
      <c r="BC81">
        <v>1</v>
      </c>
      <c r="BD81" t="str">
        <f t="shared" si="8"/>
        <v xml:space="preserve">N445JS  </v>
      </c>
      <c r="BE81">
        <v>7</v>
      </c>
      <c r="BG81">
        <v>0</v>
      </c>
      <c r="BH81">
        <v>0</v>
      </c>
      <c r="BI81">
        <v>0</v>
      </c>
      <c r="BJ81">
        <v>3050</v>
      </c>
      <c r="BK81">
        <v>-250</v>
      </c>
      <c r="BL81" t="s">
        <v>132</v>
      </c>
      <c r="BM81">
        <v>1</v>
      </c>
      <c r="BN81">
        <v>1</v>
      </c>
      <c r="BO81">
        <v>1</v>
      </c>
      <c r="BP81">
        <v>0</v>
      </c>
      <c r="BT81">
        <v>0</v>
      </c>
      <c r="BU81">
        <v>0</v>
      </c>
      <c r="CE81" t="str">
        <f>"15:37:48.312"</f>
        <v>15:37:48.312</v>
      </c>
      <c r="CF81">
        <v>311505089</v>
      </c>
      <c r="CS81">
        <v>0</v>
      </c>
      <c r="CT81">
        <v>2</v>
      </c>
      <c r="CU81">
        <v>0</v>
      </c>
      <c r="CV81">
        <v>2</v>
      </c>
      <c r="CW81">
        <v>0</v>
      </c>
      <c r="CX81">
        <v>5</v>
      </c>
      <c r="CY81">
        <v>7</v>
      </c>
      <c r="CZ81" t="s">
        <v>133</v>
      </c>
      <c r="DA81">
        <v>125</v>
      </c>
      <c r="DB81">
        <v>1</v>
      </c>
      <c r="DC81" t="s">
        <v>134</v>
      </c>
      <c r="DD81" t="s">
        <v>135</v>
      </c>
      <c r="DG81">
        <v>2459011</v>
      </c>
      <c r="DI81">
        <v>0</v>
      </c>
      <c r="DJ81">
        <v>0</v>
      </c>
      <c r="DK81">
        <v>1</v>
      </c>
      <c r="DL81">
        <v>0</v>
      </c>
      <c r="DM81">
        <v>0</v>
      </c>
      <c r="DN81">
        <v>0</v>
      </c>
      <c r="DO81">
        <v>0</v>
      </c>
      <c r="DP81">
        <v>0</v>
      </c>
      <c r="DQ81">
        <v>0</v>
      </c>
      <c r="DR81">
        <v>0</v>
      </c>
      <c r="DS81">
        <v>0</v>
      </c>
    </row>
    <row r="82" spans="1:123" x14ac:dyDescent="0.25">
      <c r="A82" t="str">
        <f>"04/17/2026 15:37:49.426"</f>
        <v>04/17/2026 15:37:49.426</v>
      </c>
      <c r="C82" t="str">
        <f t="shared" si="5"/>
        <v>FFDFD3C0</v>
      </c>
      <c r="D82" t="s">
        <v>124</v>
      </c>
      <c r="E82" t="str">
        <f>"03"</f>
        <v>03</v>
      </c>
      <c r="H82">
        <v>160</v>
      </c>
      <c r="I82" t="s">
        <v>125</v>
      </c>
      <c r="J82" t="s">
        <v>126</v>
      </c>
      <c r="K82">
        <v>0</v>
      </c>
      <c r="L82">
        <v>3</v>
      </c>
      <c r="M82">
        <v>0</v>
      </c>
      <c r="N82">
        <v>2</v>
      </c>
      <c r="O82">
        <v>1</v>
      </c>
      <c r="P82">
        <v>0</v>
      </c>
      <c r="Q82">
        <v>0</v>
      </c>
      <c r="R82" t="s">
        <v>127</v>
      </c>
      <c r="S82" t="str">
        <f>"15:37:49.195"</f>
        <v>15:37:49.195</v>
      </c>
      <c r="T82" t="str">
        <f>"15:37:48.895"</f>
        <v>15:37:48.895</v>
      </c>
      <c r="U82" t="str">
        <f t="shared" si="6"/>
        <v>A55E09</v>
      </c>
      <c r="V82">
        <v>0</v>
      </c>
      <c r="W82">
        <v>0</v>
      </c>
      <c r="X82">
        <v>2</v>
      </c>
      <c r="Y82">
        <v>0</v>
      </c>
      <c r="AA82">
        <v>0</v>
      </c>
      <c r="AB82">
        <v>9</v>
      </c>
      <c r="AC82">
        <v>3</v>
      </c>
      <c r="AD82">
        <v>0</v>
      </c>
      <c r="AE82">
        <v>9</v>
      </c>
      <c r="AF82" t="s">
        <v>128</v>
      </c>
      <c r="AG82">
        <v>0</v>
      </c>
      <c r="AH82">
        <v>0</v>
      </c>
      <c r="AI82">
        <v>1</v>
      </c>
      <c r="AJ82">
        <v>0</v>
      </c>
      <c r="AK82" t="s">
        <v>174</v>
      </c>
      <c r="AL82">
        <v>33.662624000000001</v>
      </c>
      <c r="AM82" t="s">
        <v>175</v>
      </c>
      <c r="AN82">
        <v>-101.201077</v>
      </c>
      <c r="AO82">
        <v>100</v>
      </c>
      <c r="AP82">
        <v>3300</v>
      </c>
      <c r="AQ82" t="s">
        <v>131</v>
      </c>
      <c r="AR82">
        <v>-24</v>
      </c>
      <c r="AS82">
        <v>55</v>
      </c>
      <c r="AT82">
        <v>64</v>
      </c>
      <c r="BB82" t="str">
        <f t="shared" si="7"/>
        <v>1200</v>
      </c>
      <c r="BC82">
        <v>1</v>
      </c>
      <c r="BD82" t="str">
        <f t="shared" si="8"/>
        <v xml:space="preserve">N445JS  </v>
      </c>
      <c r="BE82">
        <v>7</v>
      </c>
      <c r="BG82">
        <v>0</v>
      </c>
      <c r="BH82">
        <v>0</v>
      </c>
      <c r="BI82">
        <v>0</v>
      </c>
      <c r="BJ82">
        <v>3075</v>
      </c>
      <c r="BK82">
        <v>-225</v>
      </c>
      <c r="BL82" t="s">
        <v>132</v>
      </c>
      <c r="BM82">
        <v>1</v>
      </c>
      <c r="BN82">
        <v>1</v>
      </c>
      <c r="BO82">
        <v>1</v>
      </c>
      <c r="BP82">
        <v>0</v>
      </c>
      <c r="BT82">
        <v>0</v>
      </c>
      <c r="BU82">
        <v>0</v>
      </c>
      <c r="CE82" t="str">
        <f>"15:37:49.196"</f>
        <v>15:37:49.196</v>
      </c>
      <c r="CF82">
        <v>196418328</v>
      </c>
      <c r="CS82">
        <v>0</v>
      </c>
      <c r="CT82">
        <v>2</v>
      </c>
      <c r="CU82">
        <v>0</v>
      </c>
      <c r="CV82">
        <v>2</v>
      </c>
      <c r="CW82">
        <v>0</v>
      </c>
      <c r="CX82">
        <v>7</v>
      </c>
      <c r="CY82">
        <v>7</v>
      </c>
      <c r="CZ82" t="s">
        <v>133</v>
      </c>
      <c r="DA82">
        <v>125</v>
      </c>
      <c r="DB82">
        <v>1</v>
      </c>
      <c r="DC82" t="s">
        <v>134</v>
      </c>
      <c r="DD82" t="s">
        <v>135</v>
      </c>
      <c r="DG82">
        <v>2459912</v>
      </c>
      <c r="DI82">
        <v>0</v>
      </c>
      <c r="DJ82">
        <v>0</v>
      </c>
      <c r="DK82">
        <v>0</v>
      </c>
      <c r="DL82">
        <v>0</v>
      </c>
      <c r="DM82">
        <v>0</v>
      </c>
      <c r="DN82">
        <v>0</v>
      </c>
      <c r="DO82">
        <v>0</v>
      </c>
      <c r="DP82">
        <v>0</v>
      </c>
      <c r="DQ82">
        <v>0</v>
      </c>
      <c r="DR82">
        <v>0</v>
      </c>
      <c r="DS82">
        <v>0</v>
      </c>
    </row>
    <row r="83" spans="1:123" x14ac:dyDescent="0.25">
      <c r="A83" t="str">
        <f>"04/17/2026 15:37:49.428"</f>
        <v>04/17/2026 15:37:49.428</v>
      </c>
      <c r="C83" t="str">
        <f t="shared" si="5"/>
        <v>FFDFD3C0</v>
      </c>
      <c r="D83" t="s">
        <v>136</v>
      </c>
      <c r="E83" t="str">
        <f>"0F"</f>
        <v>0F</v>
      </c>
      <c r="F83">
        <v>1015</v>
      </c>
      <c r="G83" t="s">
        <v>138</v>
      </c>
      <c r="J83" t="s">
        <v>137</v>
      </c>
      <c r="K83">
        <v>0</v>
      </c>
      <c r="L83">
        <v>3</v>
      </c>
      <c r="M83">
        <v>0</v>
      </c>
      <c r="N83">
        <v>2</v>
      </c>
      <c r="O83">
        <v>1</v>
      </c>
      <c r="P83">
        <v>0</v>
      </c>
      <c r="Q83">
        <v>0</v>
      </c>
      <c r="R83" t="s">
        <v>127</v>
      </c>
      <c r="S83" t="str">
        <f>"15:37:49.195"</f>
        <v>15:37:49.195</v>
      </c>
      <c r="T83" t="str">
        <f>"15:37:48.895"</f>
        <v>15:37:48.895</v>
      </c>
      <c r="U83" t="str">
        <f t="shared" si="6"/>
        <v>A55E09</v>
      </c>
      <c r="V83">
        <v>0</v>
      </c>
      <c r="W83">
        <v>0</v>
      </c>
      <c r="X83">
        <v>2</v>
      </c>
      <c r="Y83">
        <v>0</v>
      </c>
      <c r="AA83">
        <v>0</v>
      </c>
      <c r="AB83">
        <v>9</v>
      </c>
      <c r="AC83">
        <v>3</v>
      </c>
      <c r="AD83">
        <v>0</v>
      </c>
      <c r="AE83">
        <v>9</v>
      </c>
      <c r="AF83" t="s">
        <v>128</v>
      </c>
      <c r="AG83">
        <v>0</v>
      </c>
      <c r="AH83">
        <v>0</v>
      </c>
      <c r="AI83">
        <v>1</v>
      </c>
      <c r="AJ83">
        <v>0</v>
      </c>
      <c r="AK83" t="s">
        <v>174</v>
      </c>
      <c r="AL83">
        <v>33.662624000000001</v>
      </c>
      <c r="AM83" t="s">
        <v>175</v>
      </c>
      <c r="AN83">
        <v>-101.201077</v>
      </c>
      <c r="AO83">
        <v>100</v>
      </c>
      <c r="AP83">
        <v>3300</v>
      </c>
      <c r="AQ83" t="s">
        <v>131</v>
      </c>
      <c r="AR83">
        <v>-24</v>
      </c>
      <c r="AS83">
        <v>55</v>
      </c>
      <c r="AT83">
        <v>64</v>
      </c>
      <c r="BB83" t="str">
        <f t="shared" si="7"/>
        <v>1200</v>
      </c>
      <c r="BC83">
        <v>1</v>
      </c>
      <c r="BD83" t="str">
        <f t="shared" si="8"/>
        <v xml:space="preserve">N445JS  </v>
      </c>
      <c r="BE83">
        <v>7</v>
      </c>
      <c r="BG83">
        <v>0</v>
      </c>
      <c r="BH83">
        <v>0</v>
      </c>
      <c r="BI83">
        <v>0</v>
      </c>
      <c r="BJ83">
        <v>3075</v>
      </c>
      <c r="BK83">
        <v>-225</v>
      </c>
      <c r="BL83" t="s">
        <v>132</v>
      </c>
      <c r="BM83">
        <v>1</v>
      </c>
      <c r="BN83">
        <v>1</v>
      </c>
      <c r="BO83">
        <v>1</v>
      </c>
      <c r="BP83">
        <v>0</v>
      </c>
      <c r="BT83">
        <v>0</v>
      </c>
      <c r="BU83">
        <v>0</v>
      </c>
      <c r="CE83" t="str">
        <f>"15:37:49.196"</f>
        <v>15:37:49.196</v>
      </c>
      <c r="CF83">
        <v>196418328</v>
      </c>
      <c r="CS83">
        <v>0</v>
      </c>
      <c r="CT83">
        <v>2</v>
      </c>
      <c r="CU83">
        <v>0</v>
      </c>
      <c r="CV83">
        <v>2</v>
      </c>
      <c r="CW83">
        <v>0</v>
      </c>
      <c r="CX83">
        <v>7</v>
      </c>
      <c r="CY83">
        <v>7</v>
      </c>
      <c r="CZ83" t="s">
        <v>133</v>
      </c>
      <c r="DA83">
        <v>125</v>
      </c>
      <c r="DB83">
        <v>1</v>
      </c>
      <c r="DC83" t="s">
        <v>134</v>
      </c>
      <c r="DD83" t="s">
        <v>135</v>
      </c>
      <c r="DG83">
        <v>2459912</v>
      </c>
      <c r="DI83">
        <v>0</v>
      </c>
      <c r="DJ83">
        <v>0</v>
      </c>
      <c r="DK83">
        <v>1</v>
      </c>
      <c r="DL83">
        <v>0</v>
      </c>
      <c r="DM83">
        <v>0</v>
      </c>
      <c r="DN83">
        <v>0</v>
      </c>
      <c r="DO83">
        <v>0</v>
      </c>
      <c r="DP83">
        <v>0</v>
      </c>
      <c r="DQ83">
        <v>0</v>
      </c>
      <c r="DR83">
        <v>0</v>
      </c>
      <c r="DS83">
        <v>0</v>
      </c>
    </row>
    <row r="84" spans="1:123" x14ac:dyDescent="0.25">
      <c r="A84" t="str">
        <f>"04/17/2026 15:37:49.427"</f>
        <v>04/17/2026 15:37:49.427</v>
      </c>
      <c r="C84" t="str">
        <f t="shared" si="5"/>
        <v>FFDFD3C0</v>
      </c>
      <c r="D84" t="s">
        <v>136</v>
      </c>
      <c r="E84" t="str">
        <f>"0E"</f>
        <v>0E</v>
      </c>
      <c r="F84">
        <v>1014</v>
      </c>
      <c r="G84" t="s">
        <v>125</v>
      </c>
      <c r="J84" t="s">
        <v>137</v>
      </c>
      <c r="K84">
        <v>0</v>
      </c>
      <c r="L84">
        <v>3</v>
      </c>
      <c r="M84">
        <v>0</v>
      </c>
      <c r="N84">
        <v>2</v>
      </c>
      <c r="O84">
        <v>1</v>
      </c>
      <c r="P84">
        <v>0</v>
      </c>
      <c r="Q84">
        <v>0</v>
      </c>
      <c r="R84" t="s">
        <v>127</v>
      </c>
      <c r="S84" t="str">
        <f>"15:37:49.195"</f>
        <v>15:37:49.195</v>
      </c>
      <c r="T84" t="str">
        <f>"15:37:48.895"</f>
        <v>15:37:48.895</v>
      </c>
      <c r="U84" t="str">
        <f t="shared" si="6"/>
        <v>A55E09</v>
      </c>
      <c r="V84">
        <v>0</v>
      </c>
      <c r="W84">
        <v>0</v>
      </c>
      <c r="X84">
        <v>2</v>
      </c>
      <c r="Y84">
        <v>0</v>
      </c>
      <c r="AA84">
        <v>0</v>
      </c>
      <c r="AB84">
        <v>9</v>
      </c>
      <c r="AC84">
        <v>3</v>
      </c>
      <c r="AD84">
        <v>0</v>
      </c>
      <c r="AE84">
        <v>9</v>
      </c>
      <c r="AF84" t="s">
        <v>128</v>
      </c>
      <c r="AG84">
        <v>0</v>
      </c>
      <c r="AH84">
        <v>0</v>
      </c>
      <c r="AI84">
        <v>1</v>
      </c>
      <c r="AJ84">
        <v>0</v>
      </c>
      <c r="AK84" t="s">
        <v>174</v>
      </c>
      <c r="AL84">
        <v>33.662624000000001</v>
      </c>
      <c r="AM84" t="s">
        <v>175</v>
      </c>
      <c r="AN84">
        <v>-101.201077</v>
      </c>
      <c r="AO84">
        <v>100</v>
      </c>
      <c r="AP84">
        <v>3300</v>
      </c>
      <c r="AQ84" t="s">
        <v>131</v>
      </c>
      <c r="AR84">
        <v>-24</v>
      </c>
      <c r="AS84">
        <v>55</v>
      </c>
      <c r="AT84">
        <v>64</v>
      </c>
      <c r="BB84" t="str">
        <f t="shared" si="7"/>
        <v>1200</v>
      </c>
      <c r="BC84">
        <v>1</v>
      </c>
      <c r="BD84" t="str">
        <f t="shared" si="8"/>
        <v xml:space="preserve">N445JS  </v>
      </c>
      <c r="BE84">
        <v>7</v>
      </c>
      <c r="BG84">
        <v>0</v>
      </c>
      <c r="BH84">
        <v>0</v>
      </c>
      <c r="BI84">
        <v>0</v>
      </c>
      <c r="BJ84">
        <v>3075</v>
      </c>
      <c r="BK84">
        <v>-225</v>
      </c>
      <c r="BL84" t="s">
        <v>132</v>
      </c>
      <c r="BM84">
        <v>1</v>
      </c>
      <c r="BN84">
        <v>1</v>
      </c>
      <c r="BO84">
        <v>1</v>
      </c>
      <c r="BP84">
        <v>0</v>
      </c>
      <c r="BT84">
        <v>0</v>
      </c>
      <c r="BU84">
        <v>0</v>
      </c>
      <c r="CE84" t="str">
        <f>"15:37:49.196"</f>
        <v>15:37:49.196</v>
      </c>
      <c r="CF84">
        <v>196418328</v>
      </c>
      <c r="CS84">
        <v>0</v>
      </c>
      <c r="CT84">
        <v>2</v>
      </c>
      <c r="CU84">
        <v>0</v>
      </c>
      <c r="CV84">
        <v>2</v>
      </c>
      <c r="CW84">
        <v>0</v>
      </c>
      <c r="CX84">
        <v>7</v>
      </c>
      <c r="CY84">
        <v>7</v>
      </c>
      <c r="CZ84" t="s">
        <v>133</v>
      </c>
      <c r="DA84">
        <v>125</v>
      </c>
      <c r="DB84">
        <v>1</v>
      </c>
      <c r="DC84" t="s">
        <v>134</v>
      </c>
      <c r="DD84" t="s">
        <v>135</v>
      </c>
      <c r="DG84">
        <v>2459912</v>
      </c>
      <c r="DI84">
        <v>0</v>
      </c>
      <c r="DJ84">
        <v>0</v>
      </c>
      <c r="DK84">
        <v>1</v>
      </c>
      <c r="DL84">
        <v>0</v>
      </c>
      <c r="DM84">
        <v>0</v>
      </c>
      <c r="DN84">
        <v>0</v>
      </c>
      <c r="DO84">
        <v>0</v>
      </c>
      <c r="DP84">
        <v>0</v>
      </c>
      <c r="DQ84">
        <v>0</v>
      </c>
      <c r="DR84">
        <v>0</v>
      </c>
      <c r="DS84">
        <v>0</v>
      </c>
    </row>
    <row r="85" spans="1:123" x14ac:dyDescent="0.25">
      <c r="A85" t="str">
        <f>"04/17/2026 15:37:49.450"</f>
        <v>04/17/2026 15:37:49.450</v>
      </c>
      <c r="C85" t="str">
        <f t="shared" si="5"/>
        <v>FFDFD3C0</v>
      </c>
      <c r="D85" t="s">
        <v>139</v>
      </c>
      <c r="E85" t="str">
        <f>"28"</f>
        <v>28</v>
      </c>
      <c r="H85">
        <v>140</v>
      </c>
      <c r="I85" t="s">
        <v>140</v>
      </c>
      <c r="J85" t="s">
        <v>141</v>
      </c>
      <c r="K85">
        <v>0</v>
      </c>
      <c r="L85">
        <v>3</v>
      </c>
      <c r="M85">
        <v>0</v>
      </c>
      <c r="N85">
        <v>2</v>
      </c>
      <c r="O85">
        <v>1</v>
      </c>
      <c r="P85">
        <v>0</v>
      </c>
      <c r="Q85">
        <v>0</v>
      </c>
      <c r="R85" t="s">
        <v>127</v>
      </c>
      <c r="S85" t="str">
        <f>"15:37:49.195"</f>
        <v>15:37:49.195</v>
      </c>
      <c r="T85" t="str">
        <f>"15:37:48.895"</f>
        <v>15:37:48.895</v>
      </c>
      <c r="U85" t="str">
        <f t="shared" si="6"/>
        <v>A55E09</v>
      </c>
      <c r="V85">
        <v>0</v>
      </c>
      <c r="W85">
        <v>0</v>
      </c>
      <c r="X85">
        <v>2</v>
      </c>
      <c r="Y85">
        <v>0</v>
      </c>
      <c r="AA85">
        <v>0</v>
      </c>
      <c r="AB85">
        <v>9</v>
      </c>
      <c r="AC85">
        <v>3</v>
      </c>
      <c r="AD85">
        <v>0</v>
      </c>
      <c r="AE85">
        <v>9</v>
      </c>
      <c r="AF85" t="s">
        <v>128</v>
      </c>
      <c r="AG85">
        <v>0</v>
      </c>
      <c r="AH85">
        <v>0</v>
      </c>
      <c r="AI85">
        <v>1</v>
      </c>
      <c r="AJ85">
        <v>0</v>
      </c>
      <c r="AK85" t="s">
        <v>174</v>
      </c>
      <c r="AL85">
        <v>33.662624000000001</v>
      </c>
      <c r="AM85" t="s">
        <v>175</v>
      </c>
      <c r="AN85">
        <v>-101.201077</v>
      </c>
      <c r="AO85">
        <v>100</v>
      </c>
      <c r="AP85">
        <v>3300</v>
      </c>
      <c r="AQ85" t="s">
        <v>131</v>
      </c>
      <c r="AR85">
        <v>-24</v>
      </c>
      <c r="AS85">
        <v>55</v>
      </c>
      <c r="AT85">
        <v>64</v>
      </c>
      <c r="BB85" t="str">
        <f t="shared" si="7"/>
        <v>1200</v>
      </c>
      <c r="BC85">
        <v>1</v>
      </c>
      <c r="BD85" t="str">
        <f t="shared" si="8"/>
        <v xml:space="preserve">N445JS  </v>
      </c>
      <c r="BE85">
        <v>7</v>
      </c>
      <c r="BG85">
        <v>0</v>
      </c>
      <c r="BH85">
        <v>0</v>
      </c>
      <c r="BI85">
        <v>0</v>
      </c>
      <c r="BJ85">
        <v>3075</v>
      </c>
      <c r="BK85">
        <v>-225</v>
      </c>
      <c r="BL85" t="s">
        <v>132</v>
      </c>
      <c r="BM85">
        <v>1</v>
      </c>
      <c r="BN85">
        <v>1</v>
      </c>
      <c r="BO85">
        <v>1</v>
      </c>
      <c r="BP85">
        <v>0</v>
      </c>
      <c r="BT85">
        <v>0</v>
      </c>
      <c r="BU85">
        <v>0</v>
      </c>
      <c r="CE85" t="str">
        <f>"15:37:49.196"</f>
        <v>15:37:49.196</v>
      </c>
      <c r="CF85">
        <v>196418328</v>
      </c>
      <c r="CS85">
        <v>0</v>
      </c>
      <c r="CT85">
        <v>2</v>
      </c>
      <c r="CU85">
        <v>0</v>
      </c>
      <c r="CV85">
        <v>2</v>
      </c>
      <c r="CW85">
        <v>0</v>
      </c>
      <c r="CX85">
        <v>7</v>
      </c>
      <c r="CY85">
        <v>7</v>
      </c>
      <c r="CZ85" t="s">
        <v>133</v>
      </c>
      <c r="DA85">
        <v>125</v>
      </c>
      <c r="DB85">
        <v>1</v>
      </c>
      <c r="DC85" t="s">
        <v>134</v>
      </c>
      <c r="DD85" t="s">
        <v>135</v>
      </c>
      <c r="DG85">
        <v>2459912</v>
      </c>
      <c r="DI85">
        <v>0</v>
      </c>
      <c r="DJ85">
        <v>0</v>
      </c>
      <c r="DK85">
        <v>1</v>
      </c>
      <c r="DL85">
        <v>0</v>
      </c>
      <c r="DM85">
        <v>0</v>
      </c>
      <c r="DN85">
        <v>0</v>
      </c>
      <c r="DO85">
        <v>0</v>
      </c>
      <c r="DP85">
        <v>0</v>
      </c>
      <c r="DQ85">
        <v>0</v>
      </c>
      <c r="DR85">
        <v>0</v>
      </c>
      <c r="DS85">
        <v>0</v>
      </c>
    </row>
    <row r="86" spans="1:123" x14ac:dyDescent="0.25">
      <c r="A86" t="str">
        <f>"04/17/2026 15:37:50.552"</f>
        <v>04/17/2026 15:37:50.552</v>
      </c>
      <c r="C86" t="str">
        <f t="shared" si="5"/>
        <v>FFDFD3C0</v>
      </c>
      <c r="D86" t="s">
        <v>139</v>
      </c>
      <c r="E86" t="str">
        <f>"28"</f>
        <v>28</v>
      </c>
      <c r="H86">
        <v>140</v>
      </c>
      <c r="I86" t="s">
        <v>140</v>
      </c>
      <c r="J86" t="s">
        <v>141</v>
      </c>
      <c r="K86">
        <v>0</v>
      </c>
      <c r="L86">
        <v>3</v>
      </c>
      <c r="M86">
        <v>0</v>
      </c>
      <c r="N86">
        <v>2</v>
      </c>
      <c r="O86">
        <v>1</v>
      </c>
      <c r="P86">
        <v>0</v>
      </c>
      <c r="Q86">
        <v>0</v>
      </c>
      <c r="R86" t="s">
        <v>127</v>
      </c>
      <c r="S86" t="str">
        <f t="shared" ref="S86:T89" si="10">"15:37:50.273"</f>
        <v>15:37:50.273</v>
      </c>
      <c r="T86" t="str">
        <f t="shared" si="10"/>
        <v>15:37:50.273</v>
      </c>
      <c r="U86" t="str">
        <f t="shared" si="6"/>
        <v>A55E09</v>
      </c>
      <c r="V86">
        <v>0</v>
      </c>
      <c r="W86">
        <v>0</v>
      </c>
      <c r="X86">
        <v>2</v>
      </c>
      <c r="Y86">
        <v>0</v>
      </c>
      <c r="AA86">
        <v>0</v>
      </c>
      <c r="AB86">
        <v>9</v>
      </c>
      <c r="AC86">
        <v>3</v>
      </c>
      <c r="AD86">
        <v>0</v>
      </c>
      <c r="AE86">
        <v>9</v>
      </c>
      <c r="AF86" t="s">
        <v>128</v>
      </c>
      <c r="AG86">
        <v>0</v>
      </c>
      <c r="AH86">
        <v>0</v>
      </c>
      <c r="AI86">
        <v>1</v>
      </c>
      <c r="AJ86">
        <v>0</v>
      </c>
      <c r="AK86" t="s">
        <v>176</v>
      </c>
      <c r="AL86">
        <v>33.662925000000001</v>
      </c>
      <c r="AM86" t="s">
        <v>177</v>
      </c>
      <c r="AN86">
        <v>-101.201184</v>
      </c>
      <c r="AO86">
        <v>100</v>
      </c>
      <c r="AP86">
        <v>3300</v>
      </c>
      <c r="AQ86" t="s">
        <v>131</v>
      </c>
      <c r="AR86">
        <v>-18</v>
      </c>
      <c r="AS86">
        <v>63</v>
      </c>
      <c r="AT86">
        <v>128</v>
      </c>
      <c r="BB86" t="str">
        <f t="shared" si="7"/>
        <v>1200</v>
      </c>
      <c r="BC86">
        <v>1</v>
      </c>
      <c r="BD86" t="str">
        <f t="shared" si="8"/>
        <v xml:space="preserve">N445JS  </v>
      </c>
      <c r="BE86">
        <v>7</v>
      </c>
      <c r="BG86">
        <v>0</v>
      </c>
      <c r="BH86">
        <v>0</v>
      </c>
      <c r="BI86">
        <v>0</v>
      </c>
      <c r="BJ86">
        <v>3075</v>
      </c>
      <c r="BK86">
        <v>-225</v>
      </c>
      <c r="BL86" t="s">
        <v>132</v>
      </c>
      <c r="BM86">
        <v>1</v>
      </c>
      <c r="BN86">
        <v>1</v>
      </c>
      <c r="BO86">
        <v>1</v>
      </c>
      <c r="BP86">
        <v>0</v>
      </c>
      <c r="BT86">
        <v>0</v>
      </c>
      <c r="BU86">
        <v>0</v>
      </c>
      <c r="CE86" t="str">
        <f>"15:37:50.276"</f>
        <v>15:37:50.276</v>
      </c>
      <c r="CF86">
        <v>276312455</v>
      </c>
      <c r="CS86">
        <v>0</v>
      </c>
      <c r="CT86">
        <v>2</v>
      </c>
      <c r="CU86">
        <v>0</v>
      </c>
      <c r="CV86">
        <v>2</v>
      </c>
      <c r="CW86">
        <v>0</v>
      </c>
      <c r="CX86">
        <v>7</v>
      </c>
      <c r="CY86">
        <v>7</v>
      </c>
      <c r="CZ86" t="s">
        <v>133</v>
      </c>
      <c r="DA86">
        <v>125</v>
      </c>
      <c r="DB86">
        <v>1</v>
      </c>
      <c r="DC86" t="s">
        <v>134</v>
      </c>
      <c r="DD86" t="s">
        <v>135</v>
      </c>
      <c r="DG86">
        <v>2460999</v>
      </c>
      <c r="DI86">
        <v>0</v>
      </c>
      <c r="DJ86">
        <v>0</v>
      </c>
      <c r="DK86">
        <v>0</v>
      </c>
      <c r="DL86">
        <v>0</v>
      </c>
      <c r="DM86">
        <v>0</v>
      </c>
      <c r="DN86">
        <v>0</v>
      </c>
      <c r="DO86">
        <v>0</v>
      </c>
      <c r="DP86">
        <v>0</v>
      </c>
      <c r="DQ86">
        <v>0</v>
      </c>
      <c r="DR86">
        <v>0</v>
      </c>
      <c r="DS86">
        <v>0</v>
      </c>
    </row>
    <row r="87" spans="1:123" x14ac:dyDescent="0.25">
      <c r="A87" t="str">
        <f>"04/17/2026 15:37:50.579"</f>
        <v>04/17/2026 15:37:50.579</v>
      </c>
      <c r="C87" t="str">
        <f t="shared" si="5"/>
        <v>FFDFD3C0</v>
      </c>
      <c r="D87" t="s">
        <v>124</v>
      </c>
      <c r="E87" t="str">
        <f>"03"</f>
        <v>03</v>
      </c>
      <c r="H87">
        <v>160</v>
      </c>
      <c r="I87" t="s">
        <v>125</v>
      </c>
      <c r="J87" t="s">
        <v>126</v>
      </c>
      <c r="K87">
        <v>0</v>
      </c>
      <c r="L87">
        <v>3</v>
      </c>
      <c r="M87">
        <v>0</v>
      </c>
      <c r="N87">
        <v>2</v>
      </c>
      <c r="O87">
        <v>1</v>
      </c>
      <c r="P87">
        <v>0</v>
      </c>
      <c r="Q87">
        <v>0</v>
      </c>
      <c r="R87" t="s">
        <v>127</v>
      </c>
      <c r="S87" t="str">
        <f t="shared" si="10"/>
        <v>15:37:50.273</v>
      </c>
      <c r="T87" t="str">
        <f t="shared" si="10"/>
        <v>15:37:50.273</v>
      </c>
      <c r="U87" t="str">
        <f t="shared" si="6"/>
        <v>A55E09</v>
      </c>
      <c r="V87">
        <v>0</v>
      </c>
      <c r="W87">
        <v>0</v>
      </c>
      <c r="X87">
        <v>2</v>
      </c>
      <c r="Y87">
        <v>0</v>
      </c>
      <c r="AA87">
        <v>0</v>
      </c>
      <c r="AB87">
        <v>9</v>
      </c>
      <c r="AC87">
        <v>3</v>
      </c>
      <c r="AD87">
        <v>0</v>
      </c>
      <c r="AE87">
        <v>9</v>
      </c>
      <c r="AF87" t="s">
        <v>128</v>
      </c>
      <c r="AG87">
        <v>0</v>
      </c>
      <c r="AH87">
        <v>0</v>
      </c>
      <c r="AI87">
        <v>1</v>
      </c>
      <c r="AJ87">
        <v>0</v>
      </c>
      <c r="AK87" t="s">
        <v>176</v>
      </c>
      <c r="AL87">
        <v>33.662925000000001</v>
      </c>
      <c r="AM87" t="s">
        <v>177</v>
      </c>
      <c r="AN87">
        <v>-101.201184</v>
      </c>
      <c r="AO87">
        <v>100</v>
      </c>
      <c r="AP87">
        <v>3300</v>
      </c>
      <c r="AQ87" t="s">
        <v>131</v>
      </c>
      <c r="AR87">
        <v>-18</v>
      </c>
      <c r="AS87">
        <v>63</v>
      </c>
      <c r="AT87">
        <v>128</v>
      </c>
      <c r="BB87" t="str">
        <f t="shared" si="7"/>
        <v>1200</v>
      </c>
      <c r="BC87">
        <v>1</v>
      </c>
      <c r="BD87" t="str">
        <f t="shared" si="8"/>
        <v xml:space="preserve">N445JS  </v>
      </c>
      <c r="BE87">
        <v>7</v>
      </c>
      <c r="BG87">
        <v>0</v>
      </c>
      <c r="BH87">
        <v>0</v>
      </c>
      <c r="BI87">
        <v>0</v>
      </c>
      <c r="BJ87">
        <v>3075</v>
      </c>
      <c r="BK87">
        <v>-225</v>
      </c>
      <c r="BL87" t="s">
        <v>132</v>
      </c>
      <c r="BM87">
        <v>1</v>
      </c>
      <c r="BN87">
        <v>1</v>
      </c>
      <c r="BO87">
        <v>1</v>
      </c>
      <c r="BP87">
        <v>0</v>
      </c>
      <c r="BT87">
        <v>0</v>
      </c>
      <c r="BU87">
        <v>0</v>
      </c>
      <c r="CE87" t="str">
        <f>"15:37:50.276"</f>
        <v>15:37:50.276</v>
      </c>
      <c r="CF87">
        <v>276312455</v>
      </c>
      <c r="CS87">
        <v>0</v>
      </c>
      <c r="CT87">
        <v>2</v>
      </c>
      <c r="CU87">
        <v>0</v>
      </c>
      <c r="CV87">
        <v>2</v>
      </c>
      <c r="CW87">
        <v>0</v>
      </c>
      <c r="CX87">
        <v>7</v>
      </c>
      <c r="CY87">
        <v>7</v>
      </c>
      <c r="CZ87" t="s">
        <v>133</v>
      </c>
      <c r="DA87">
        <v>125</v>
      </c>
      <c r="DB87">
        <v>1</v>
      </c>
      <c r="DC87" t="s">
        <v>134</v>
      </c>
      <c r="DD87" t="s">
        <v>135</v>
      </c>
      <c r="DG87">
        <v>2460999</v>
      </c>
      <c r="DI87">
        <v>0</v>
      </c>
      <c r="DJ87">
        <v>0</v>
      </c>
      <c r="DK87">
        <v>1</v>
      </c>
      <c r="DL87">
        <v>0</v>
      </c>
      <c r="DM87">
        <v>0</v>
      </c>
      <c r="DN87">
        <v>0</v>
      </c>
      <c r="DO87">
        <v>0</v>
      </c>
      <c r="DP87">
        <v>0</v>
      </c>
      <c r="DQ87">
        <v>0</v>
      </c>
      <c r="DR87">
        <v>0</v>
      </c>
      <c r="DS87">
        <v>0</v>
      </c>
    </row>
    <row r="88" spans="1:123" x14ac:dyDescent="0.25">
      <c r="A88" t="str">
        <f>"04/17/2026 15:37:50.580"</f>
        <v>04/17/2026 15:37:50.580</v>
      </c>
      <c r="C88" t="str">
        <f t="shared" si="5"/>
        <v>FFDFD3C0</v>
      </c>
      <c r="D88" t="s">
        <v>136</v>
      </c>
      <c r="E88" t="str">
        <f>"0E"</f>
        <v>0E</v>
      </c>
      <c r="F88">
        <v>1014</v>
      </c>
      <c r="G88" t="s">
        <v>125</v>
      </c>
      <c r="J88" t="s">
        <v>137</v>
      </c>
      <c r="K88">
        <v>0</v>
      </c>
      <c r="L88">
        <v>3</v>
      </c>
      <c r="M88">
        <v>0</v>
      </c>
      <c r="N88">
        <v>2</v>
      </c>
      <c r="O88">
        <v>1</v>
      </c>
      <c r="P88">
        <v>0</v>
      </c>
      <c r="Q88">
        <v>0</v>
      </c>
      <c r="R88" t="s">
        <v>127</v>
      </c>
      <c r="S88" t="str">
        <f t="shared" si="10"/>
        <v>15:37:50.273</v>
      </c>
      <c r="T88" t="str">
        <f t="shared" si="10"/>
        <v>15:37:50.273</v>
      </c>
      <c r="U88" t="str">
        <f t="shared" si="6"/>
        <v>A55E09</v>
      </c>
      <c r="V88">
        <v>0</v>
      </c>
      <c r="W88">
        <v>0</v>
      </c>
      <c r="X88">
        <v>2</v>
      </c>
      <c r="Y88">
        <v>0</v>
      </c>
      <c r="AA88">
        <v>0</v>
      </c>
      <c r="AB88">
        <v>9</v>
      </c>
      <c r="AC88">
        <v>3</v>
      </c>
      <c r="AD88">
        <v>0</v>
      </c>
      <c r="AE88">
        <v>9</v>
      </c>
      <c r="AF88" t="s">
        <v>128</v>
      </c>
      <c r="AG88">
        <v>0</v>
      </c>
      <c r="AH88">
        <v>0</v>
      </c>
      <c r="AI88">
        <v>1</v>
      </c>
      <c r="AJ88">
        <v>0</v>
      </c>
      <c r="AK88" t="s">
        <v>176</v>
      </c>
      <c r="AL88">
        <v>33.662925000000001</v>
      </c>
      <c r="AM88" t="s">
        <v>177</v>
      </c>
      <c r="AN88">
        <v>-101.201184</v>
      </c>
      <c r="AO88">
        <v>100</v>
      </c>
      <c r="AP88">
        <v>3300</v>
      </c>
      <c r="AQ88" t="s">
        <v>131</v>
      </c>
      <c r="AR88">
        <v>-18</v>
      </c>
      <c r="AS88">
        <v>63</v>
      </c>
      <c r="AT88">
        <v>128</v>
      </c>
      <c r="BB88" t="str">
        <f t="shared" si="7"/>
        <v>1200</v>
      </c>
      <c r="BC88">
        <v>1</v>
      </c>
      <c r="BD88" t="str">
        <f t="shared" si="8"/>
        <v xml:space="preserve">N445JS  </v>
      </c>
      <c r="BE88">
        <v>7</v>
      </c>
      <c r="BG88">
        <v>0</v>
      </c>
      <c r="BH88">
        <v>0</v>
      </c>
      <c r="BI88">
        <v>0</v>
      </c>
      <c r="BJ88">
        <v>3075</v>
      </c>
      <c r="BK88">
        <v>-225</v>
      </c>
      <c r="BL88" t="s">
        <v>132</v>
      </c>
      <c r="BM88">
        <v>1</v>
      </c>
      <c r="BN88">
        <v>1</v>
      </c>
      <c r="BO88">
        <v>1</v>
      </c>
      <c r="BP88">
        <v>0</v>
      </c>
      <c r="BT88">
        <v>0</v>
      </c>
      <c r="BU88">
        <v>0</v>
      </c>
      <c r="CE88" t="str">
        <f>"15:37:50.276"</f>
        <v>15:37:50.276</v>
      </c>
      <c r="CF88">
        <v>276312455</v>
      </c>
      <c r="CS88">
        <v>0</v>
      </c>
      <c r="CT88">
        <v>2</v>
      </c>
      <c r="CU88">
        <v>0</v>
      </c>
      <c r="CV88">
        <v>2</v>
      </c>
      <c r="CW88">
        <v>0</v>
      </c>
      <c r="CX88">
        <v>7</v>
      </c>
      <c r="CY88">
        <v>7</v>
      </c>
      <c r="CZ88" t="s">
        <v>133</v>
      </c>
      <c r="DA88">
        <v>125</v>
      </c>
      <c r="DB88">
        <v>1</v>
      </c>
      <c r="DC88" t="s">
        <v>134</v>
      </c>
      <c r="DD88" t="s">
        <v>135</v>
      </c>
      <c r="DG88">
        <v>2460999</v>
      </c>
      <c r="DI88">
        <v>0</v>
      </c>
      <c r="DJ88">
        <v>0</v>
      </c>
      <c r="DK88">
        <v>1</v>
      </c>
      <c r="DL88">
        <v>0</v>
      </c>
      <c r="DM88">
        <v>0</v>
      </c>
      <c r="DN88">
        <v>0</v>
      </c>
      <c r="DO88">
        <v>0</v>
      </c>
      <c r="DP88">
        <v>0</v>
      </c>
      <c r="DQ88">
        <v>0</v>
      </c>
      <c r="DR88">
        <v>0</v>
      </c>
      <c r="DS88">
        <v>0</v>
      </c>
    </row>
    <row r="89" spans="1:123" x14ac:dyDescent="0.25">
      <c r="A89" t="str">
        <f>"04/17/2026 15:37:50.581"</f>
        <v>04/17/2026 15:37:50.581</v>
      </c>
      <c r="C89" t="str">
        <f t="shared" si="5"/>
        <v>FFDFD3C0</v>
      </c>
      <c r="D89" t="s">
        <v>136</v>
      </c>
      <c r="E89" t="str">
        <f>"0F"</f>
        <v>0F</v>
      </c>
      <c r="F89">
        <v>1015</v>
      </c>
      <c r="G89" t="s">
        <v>138</v>
      </c>
      <c r="J89" t="s">
        <v>137</v>
      </c>
      <c r="K89">
        <v>0</v>
      </c>
      <c r="L89">
        <v>3</v>
      </c>
      <c r="M89">
        <v>0</v>
      </c>
      <c r="N89">
        <v>2</v>
      </c>
      <c r="O89">
        <v>1</v>
      </c>
      <c r="P89">
        <v>0</v>
      </c>
      <c r="Q89">
        <v>0</v>
      </c>
      <c r="R89" t="s">
        <v>127</v>
      </c>
      <c r="S89" t="str">
        <f t="shared" si="10"/>
        <v>15:37:50.273</v>
      </c>
      <c r="T89" t="str">
        <f t="shared" si="10"/>
        <v>15:37:50.273</v>
      </c>
      <c r="U89" t="str">
        <f t="shared" si="6"/>
        <v>A55E09</v>
      </c>
      <c r="V89">
        <v>0</v>
      </c>
      <c r="W89">
        <v>0</v>
      </c>
      <c r="X89">
        <v>2</v>
      </c>
      <c r="Y89">
        <v>0</v>
      </c>
      <c r="AA89">
        <v>0</v>
      </c>
      <c r="AB89">
        <v>9</v>
      </c>
      <c r="AC89">
        <v>3</v>
      </c>
      <c r="AD89">
        <v>0</v>
      </c>
      <c r="AE89">
        <v>9</v>
      </c>
      <c r="AF89" t="s">
        <v>128</v>
      </c>
      <c r="AG89">
        <v>0</v>
      </c>
      <c r="AH89">
        <v>0</v>
      </c>
      <c r="AI89">
        <v>1</v>
      </c>
      <c r="AJ89">
        <v>0</v>
      </c>
      <c r="AK89" t="s">
        <v>176</v>
      </c>
      <c r="AL89">
        <v>33.662925000000001</v>
      </c>
      <c r="AM89" t="s">
        <v>177</v>
      </c>
      <c r="AN89">
        <v>-101.201184</v>
      </c>
      <c r="AO89">
        <v>100</v>
      </c>
      <c r="AP89">
        <v>3300</v>
      </c>
      <c r="AQ89" t="s">
        <v>131</v>
      </c>
      <c r="AR89">
        <v>-18</v>
      </c>
      <c r="AS89">
        <v>63</v>
      </c>
      <c r="AT89">
        <v>128</v>
      </c>
      <c r="BB89" t="str">
        <f t="shared" si="7"/>
        <v>1200</v>
      </c>
      <c r="BC89">
        <v>1</v>
      </c>
      <c r="BD89" t="str">
        <f t="shared" si="8"/>
        <v xml:space="preserve">N445JS  </v>
      </c>
      <c r="BE89">
        <v>7</v>
      </c>
      <c r="BG89">
        <v>0</v>
      </c>
      <c r="BH89">
        <v>0</v>
      </c>
      <c r="BI89">
        <v>0</v>
      </c>
      <c r="BJ89">
        <v>3075</v>
      </c>
      <c r="BK89">
        <v>-225</v>
      </c>
      <c r="BL89" t="s">
        <v>132</v>
      </c>
      <c r="BM89">
        <v>1</v>
      </c>
      <c r="BN89">
        <v>1</v>
      </c>
      <c r="BO89">
        <v>1</v>
      </c>
      <c r="BP89">
        <v>0</v>
      </c>
      <c r="BT89">
        <v>0</v>
      </c>
      <c r="BU89">
        <v>0</v>
      </c>
      <c r="CE89" t="str">
        <f>"15:37:50.276"</f>
        <v>15:37:50.276</v>
      </c>
      <c r="CF89">
        <v>276312455</v>
      </c>
      <c r="CS89">
        <v>0</v>
      </c>
      <c r="CT89">
        <v>2</v>
      </c>
      <c r="CU89">
        <v>0</v>
      </c>
      <c r="CV89">
        <v>2</v>
      </c>
      <c r="CW89">
        <v>0</v>
      </c>
      <c r="CX89">
        <v>7</v>
      </c>
      <c r="CY89">
        <v>7</v>
      </c>
      <c r="CZ89" t="s">
        <v>133</v>
      </c>
      <c r="DA89">
        <v>125</v>
      </c>
      <c r="DB89">
        <v>1</v>
      </c>
      <c r="DC89" t="s">
        <v>134</v>
      </c>
      <c r="DD89" t="s">
        <v>135</v>
      </c>
      <c r="DG89">
        <v>2460999</v>
      </c>
      <c r="DI89">
        <v>0</v>
      </c>
      <c r="DJ89">
        <v>0</v>
      </c>
      <c r="DK89">
        <v>1</v>
      </c>
      <c r="DL89">
        <v>0</v>
      </c>
      <c r="DM89">
        <v>0</v>
      </c>
      <c r="DN89">
        <v>0</v>
      </c>
      <c r="DO89">
        <v>0</v>
      </c>
      <c r="DP89">
        <v>0</v>
      </c>
      <c r="DQ89">
        <v>0</v>
      </c>
      <c r="DR89">
        <v>0</v>
      </c>
      <c r="DS89">
        <v>0</v>
      </c>
    </row>
    <row r="90" spans="1:123" x14ac:dyDescent="0.25">
      <c r="A90" t="str">
        <f>"04/17/2026 15:37:51.630"</f>
        <v>04/17/2026 15:37:51.630</v>
      </c>
      <c r="C90" t="str">
        <f t="shared" si="5"/>
        <v>FFDFD3C0</v>
      </c>
      <c r="D90" t="s">
        <v>124</v>
      </c>
      <c r="E90" t="str">
        <f>"03"</f>
        <v>03</v>
      </c>
      <c r="H90">
        <v>160</v>
      </c>
      <c r="I90" t="s">
        <v>125</v>
      </c>
      <c r="J90" t="s">
        <v>126</v>
      </c>
      <c r="K90">
        <v>0</v>
      </c>
      <c r="L90">
        <v>3</v>
      </c>
      <c r="M90">
        <v>0</v>
      </c>
      <c r="N90">
        <v>2</v>
      </c>
      <c r="O90">
        <v>1</v>
      </c>
      <c r="P90">
        <v>0</v>
      </c>
      <c r="Q90">
        <v>0</v>
      </c>
      <c r="R90" t="s">
        <v>127</v>
      </c>
      <c r="S90" t="str">
        <f>"15:37:51.352"</f>
        <v>15:37:51.352</v>
      </c>
      <c r="T90" t="str">
        <f>"15:37:51.152"</f>
        <v>15:37:51.152</v>
      </c>
      <c r="U90" t="str">
        <f t="shared" si="6"/>
        <v>A55E09</v>
      </c>
      <c r="V90">
        <v>0</v>
      </c>
      <c r="W90">
        <v>0</v>
      </c>
      <c r="X90">
        <v>2</v>
      </c>
      <c r="Y90">
        <v>0</v>
      </c>
      <c r="AA90">
        <v>0</v>
      </c>
      <c r="AB90">
        <v>9</v>
      </c>
      <c r="AC90">
        <v>3</v>
      </c>
      <c r="AD90">
        <v>0</v>
      </c>
      <c r="AE90">
        <v>9</v>
      </c>
      <c r="AF90" t="s">
        <v>128</v>
      </c>
      <c r="AG90">
        <v>0</v>
      </c>
      <c r="AH90">
        <v>0</v>
      </c>
      <c r="AI90">
        <v>1</v>
      </c>
      <c r="AJ90">
        <v>0</v>
      </c>
      <c r="AK90" t="s">
        <v>178</v>
      </c>
      <c r="AL90">
        <v>33.663290000000003</v>
      </c>
      <c r="AM90" t="s">
        <v>179</v>
      </c>
      <c r="AN90">
        <v>-101.201227</v>
      </c>
      <c r="AO90">
        <v>100</v>
      </c>
      <c r="AP90">
        <v>3300</v>
      </c>
      <c r="AQ90" t="s">
        <v>131</v>
      </c>
      <c r="AR90">
        <v>-15</v>
      </c>
      <c r="AS90">
        <v>66</v>
      </c>
      <c r="AT90">
        <v>128</v>
      </c>
      <c r="BB90" t="str">
        <f t="shared" si="7"/>
        <v>1200</v>
      </c>
      <c r="BC90">
        <v>1</v>
      </c>
      <c r="BD90" t="str">
        <f t="shared" si="8"/>
        <v xml:space="preserve">N445JS  </v>
      </c>
      <c r="BE90">
        <v>7</v>
      </c>
      <c r="BG90">
        <v>0</v>
      </c>
      <c r="BH90">
        <v>0</v>
      </c>
      <c r="BI90">
        <v>0</v>
      </c>
      <c r="BJ90">
        <v>3075</v>
      </c>
      <c r="BK90">
        <v>-225</v>
      </c>
      <c r="BL90" t="s">
        <v>132</v>
      </c>
      <c r="BM90">
        <v>1</v>
      </c>
      <c r="BN90">
        <v>1</v>
      </c>
      <c r="BO90">
        <v>1</v>
      </c>
      <c r="BP90">
        <v>0</v>
      </c>
      <c r="BT90">
        <v>0</v>
      </c>
      <c r="BU90">
        <v>0</v>
      </c>
      <c r="CE90" t="str">
        <f>"15:37:51.356"</f>
        <v>15:37:51.356</v>
      </c>
      <c r="CF90">
        <v>356206574</v>
      </c>
      <c r="CS90">
        <v>0</v>
      </c>
      <c r="CT90">
        <v>2</v>
      </c>
      <c r="CU90">
        <v>0</v>
      </c>
      <c r="CV90">
        <v>2</v>
      </c>
      <c r="CW90">
        <v>0</v>
      </c>
      <c r="CX90">
        <v>7</v>
      </c>
      <c r="CY90">
        <v>7</v>
      </c>
      <c r="CZ90" t="s">
        <v>133</v>
      </c>
      <c r="DA90">
        <v>125</v>
      </c>
      <c r="DB90">
        <v>1</v>
      </c>
      <c r="DC90" t="s">
        <v>134</v>
      </c>
      <c r="DD90" t="s">
        <v>135</v>
      </c>
      <c r="DG90">
        <v>2461990</v>
      </c>
      <c r="DI90">
        <v>0</v>
      </c>
      <c r="DJ90">
        <v>0</v>
      </c>
      <c r="DK90">
        <v>0</v>
      </c>
      <c r="DL90">
        <v>0</v>
      </c>
      <c r="DM90">
        <v>0</v>
      </c>
      <c r="DN90">
        <v>0</v>
      </c>
      <c r="DO90">
        <v>0</v>
      </c>
      <c r="DP90">
        <v>0</v>
      </c>
      <c r="DQ90">
        <v>0</v>
      </c>
      <c r="DR90">
        <v>0</v>
      </c>
      <c r="DS90">
        <v>0</v>
      </c>
    </row>
    <row r="91" spans="1:123" x14ac:dyDescent="0.25">
      <c r="A91" t="str">
        <f>"04/17/2026 15:37:51.632"</f>
        <v>04/17/2026 15:37:51.632</v>
      </c>
      <c r="C91" t="str">
        <f t="shared" si="5"/>
        <v>FFDFD3C0</v>
      </c>
      <c r="D91" t="s">
        <v>136</v>
      </c>
      <c r="E91" t="str">
        <f>"0E"</f>
        <v>0E</v>
      </c>
      <c r="F91">
        <v>1014</v>
      </c>
      <c r="G91" t="s">
        <v>125</v>
      </c>
      <c r="J91" t="s">
        <v>137</v>
      </c>
      <c r="K91">
        <v>0</v>
      </c>
      <c r="L91">
        <v>3</v>
      </c>
      <c r="M91">
        <v>0</v>
      </c>
      <c r="N91">
        <v>2</v>
      </c>
      <c r="O91">
        <v>1</v>
      </c>
      <c r="P91">
        <v>0</v>
      </c>
      <c r="Q91">
        <v>0</v>
      </c>
      <c r="R91" t="s">
        <v>127</v>
      </c>
      <c r="S91" t="str">
        <f>"15:37:51.352"</f>
        <v>15:37:51.352</v>
      </c>
      <c r="T91" t="str">
        <f>"15:37:51.152"</f>
        <v>15:37:51.152</v>
      </c>
      <c r="U91" t="str">
        <f t="shared" si="6"/>
        <v>A55E09</v>
      </c>
      <c r="V91">
        <v>0</v>
      </c>
      <c r="W91">
        <v>0</v>
      </c>
      <c r="X91">
        <v>2</v>
      </c>
      <c r="Y91">
        <v>0</v>
      </c>
      <c r="AA91">
        <v>0</v>
      </c>
      <c r="AB91">
        <v>9</v>
      </c>
      <c r="AC91">
        <v>3</v>
      </c>
      <c r="AD91">
        <v>0</v>
      </c>
      <c r="AE91">
        <v>9</v>
      </c>
      <c r="AF91" t="s">
        <v>128</v>
      </c>
      <c r="AG91">
        <v>0</v>
      </c>
      <c r="AH91">
        <v>0</v>
      </c>
      <c r="AI91">
        <v>1</v>
      </c>
      <c r="AJ91">
        <v>0</v>
      </c>
      <c r="AK91" t="s">
        <v>178</v>
      </c>
      <c r="AL91">
        <v>33.663290000000003</v>
      </c>
      <c r="AM91" t="s">
        <v>179</v>
      </c>
      <c r="AN91">
        <v>-101.201227</v>
      </c>
      <c r="AO91">
        <v>100</v>
      </c>
      <c r="AP91">
        <v>3300</v>
      </c>
      <c r="AQ91" t="s">
        <v>131</v>
      </c>
      <c r="AR91">
        <v>-15</v>
      </c>
      <c r="AS91">
        <v>66</v>
      </c>
      <c r="AT91">
        <v>128</v>
      </c>
      <c r="BB91" t="str">
        <f t="shared" si="7"/>
        <v>1200</v>
      </c>
      <c r="BC91">
        <v>1</v>
      </c>
      <c r="BD91" t="str">
        <f t="shared" si="8"/>
        <v xml:space="preserve">N445JS  </v>
      </c>
      <c r="BE91">
        <v>7</v>
      </c>
      <c r="BG91">
        <v>0</v>
      </c>
      <c r="BH91">
        <v>0</v>
      </c>
      <c r="BI91">
        <v>0</v>
      </c>
      <c r="BJ91">
        <v>3075</v>
      </c>
      <c r="BK91">
        <v>-225</v>
      </c>
      <c r="BL91" t="s">
        <v>132</v>
      </c>
      <c r="BM91">
        <v>1</v>
      </c>
      <c r="BN91">
        <v>1</v>
      </c>
      <c r="BO91">
        <v>1</v>
      </c>
      <c r="BP91">
        <v>0</v>
      </c>
      <c r="BT91">
        <v>0</v>
      </c>
      <c r="BU91">
        <v>0</v>
      </c>
      <c r="CE91" t="str">
        <f>"15:37:51.356"</f>
        <v>15:37:51.356</v>
      </c>
      <c r="CF91">
        <v>356206574</v>
      </c>
      <c r="CS91">
        <v>0</v>
      </c>
      <c r="CT91">
        <v>2</v>
      </c>
      <c r="CU91">
        <v>0</v>
      </c>
      <c r="CV91">
        <v>2</v>
      </c>
      <c r="CW91">
        <v>0</v>
      </c>
      <c r="CX91">
        <v>7</v>
      </c>
      <c r="CY91">
        <v>7</v>
      </c>
      <c r="CZ91" t="s">
        <v>133</v>
      </c>
      <c r="DA91">
        <v>125</v>
      </c>
      <c r="DB91">
        <v>1</v>
      </c>
      <c r="DC91" t="s">
        <v>134</v>
      </c>
      <c r="DD91" t="s">
        <v>135</v>
      </c>
      <c r="DG91">
        <v>2461990</v>
      </c>
      <c r="DI91">
        <v>0</v>
      </c>
      <c r="DJ91">
        <v>0</v>
      </c>
      <c r="DK91">
        <v>1</v>
      </c>
      <c r="DL91">
        <v>0</v>
      </c>
      <c r="DM91">
        <v>0</v>
      </c>
      <c r="DN91">
        <v>0</v>
      </c>
      <c r="DO91">
        <v>0</v>
      </c>
      <c r="DP91">
        <v>0</v>
      </c>
      <c r="DQ91">
        <v>0</v>
      </c>
      <c r="DR91">
        <v>0</v>
      </c>
      <c r="DS91">
        <v>0</v>
      </c>
    </row>
    <row r="92" spans="1:123" x14ac:dyDescent="0.25">
      <c r="A92" t="str">
        <f>"04/17/2026 15:37:51.632"</f>
        <v>04/17/2026 15:37:51.632</v>
      </c>
      <c r="C92" t="str">
        <f t="shared" si="5"/>
        <v>FFDFD3C0</v>
      </c>
      <c r="D92" t="s">
        <v>136</v>
      </c>
      <c r="E92" t="str">
        <f>"0F"</f>
        <v>0F</v>
      </c>
      <c r="F92">
        <v>1015</v>
      </c>
      <c r="G92" t="s">
        <v>138</v>
      </c>
      <c r="J92" t="s">
        <v>137</v>
      </c>
      <c r="K92">
        <v>0</v>
      </c>
      <c r="L92">
        <v>3</v>
      </c>
      <c r="M92">
        <v>0</v>
      </c>
      <c r="N92">
        <v>2</v>
      </c>
      <c r="O92">
        <v>1</v>
      </c>
      <c r="P92">
        <v>0</v>
      </c>
      <c r="Q92">
        <v>0</v>
      </c>
      <c r="R92" t="s">
        <v>127</v>
      </c>
      <c r="S92" t="str">
        <f>"15:37:51.352"</f>
        <v>15:37:51.352</v>
      </c>
      <c r="T92" t="str">
        <f>"15:37:51.152"</f>
        <v>15:37:51.152</v>
      </c>
      <c r="U92" t="str">
        <f t="shared" si="6"/>
        <v>A55E09</v>
      </c>
      <c r="V92">
        <v>0</v>
      </c>
      <c r="W92">
        <v>0</v>
      </c>
      <c r="X92">
        <v>2</v>
      </c>
      <c r="Y92">
        <v>0</v>
      </c>
      <c r="AA92">
        <v>0</v>
      </c>
      <c r="AB92">
        <v>9</v>
      </c>
      <c r="AC92">
        <v>3</v>
      </c>
      <c r="AD92">
        <v>0</v>
      </c>
      <c r="AE92">
        <v>9</v>
      </c>
      <c r="AF92" t="s">
        <v>128</v>
      </c>
      <c r="AG92">
        <v>0</v>
      </c>
      <c r="AH92">
        <v>0</v>
      </c>
      <c r="AI92">
        <v>1</v>
      </c>
      <c r="AJ92">
        <v>0</v>
      </c>
      <c r="AK92" t="s">
        <v>178</v>
      </c>
      <c r="AL92">
        <v>33.663290000000003</v>
      </c>
      <c r="AM92" t="s">
        <v>179</v>
      </c>
      <c r="AN92">
        <v>-101.201227</v>
      </c>
      <c r="AO92">
        <v>100</v>
      </c>
      <c r="AP92">
        <v>3300</v>
      </c>
      <c r="AQ92" t="s">
        <v>131</v>
      </c>
      <c r="AR92">
        <v>-15</v>
      </c>
      <c r="AS92">
        <v>66</v>
      </c>
      <c r="AT92">
        <v>128</v>
      </c>
      <c r="BB92" t="str">
        <f t="shared" si="7"/>
        <v>1200</v>
      </c>
      <c r="BC92">
        <v>1</v>
      </c>
      <c r="BD92" t="str">
        <f t="shared" si="8"/>
        <v xml:space="preserve">N445JS  </v>
      </c>
      <c r="BE92">
        <v>7</v>
      </c>
      <c r="BG92">
        <v>0</v>
      </c>
      <c r="BH92">
        <v>0</v>
      </c>
      <c r="BI92">
        <v>0</v>
      </c>
      <c r="BJ92">
        <v>3075</v>
      </c>
      <c r="BK92">
        <v>-225</v>
      </c>
      <c r="BL92" t="s">
        <v>132</v>
      </c>
      <c r="BM92">
        <v>1</v>
      </c>
      <c r="BN92">
        <v>1</v>
      </c>
      <c r="BO92">
        <v>1</v>
      </c>
      <c r="BP92">
        <v>0</v>
      </c>
      <c r="BT92">
        <v>0</v>
      </c>
      <c r="BU92">
        <v>0</v>
      </c>
      <c r="CE92" t="str">
        <f>"15:37:51.356"</f>
        <v>15:37:51.356</v>
      </c>
      <c r="CF92">
        <v>356206574</v>
      </c>
      <c r="CS92">
        <v>0</v>
      </c>
      <c r="CT92">
        <v>2</v>
      </c>
      <c r="CU92">
        <v>0</v>
      </c>
      <c r="CV92">
        <v>2</v>
      </c>
      <c r="CW92">
        <v>0</v>
      </c>
      <c r="CX92">
        <v>7</v>
      </c>
      <c r="CY92">
        <v>7</v>
      </c>
      <c r="CZ92" t="s">
        <v>133</v>
      </c>
      <c r="DA92">
        <v>125</v>
      </c>
      <c r="DB92">
        <v>1</v>
      </c>
      <c r="DC92" t="s">
        <v>134</v>
      </c>
      <c r="DD92" t="s">
        <v>135</v>
      </c>
      <c r="DG92">
        <v>2461990</v>
      </c>
      <c r="DI92">
        <v>0</v>
      </c>
      <c r="DJ92">
        <v>0</v>
      </c>
      <c r="DK92">
        <v>1</v>
      </c>
      <c r="DL92">
        <v>0</v>
      </c>
      <c r="DM92">
        <v>0</v>
      </c>
      <c r="DN92">
        <v>0</v>
      </c>
      <c r="DO92">
        <v>0</v>
      </c>
      <c r="DP92">
        <v>0</v>
      </c>
      <c r="DQ92">
        <v>0</v>
      </c>
      <c r="DR92">
        <v>0</v>
      </c>
      <c r="DS92">
        <v>0</v>
      </c>
    </row>
    <row r="93" spans="1:123" x14ac:dyDescent="0.25">
      <c r="A93" t="str">
        <f>"04/17/2026 15:37:51.654"</f>
        <v>04/17/2026 15:37:51.654</v>
      </c>
      <c r="C93" t="str">
        <f t="shared" si="5"/>
        <v>FFDFD3C0</v>
      </c>
      <c r="D93" t="s">
        <v>139</v>
      </c>
      <c r="E93" t="str">
        <f>"28"</f>
        <v>28</v>
      </c>
      <c r="H93">
        <v>140</v>
      </c>
      <c r="I93" t="s">
        <v>140</v>
      </c>
      <c r="J93" t="s">
        <v>141</v>
      </c>
      <c r="K93">
        <v>0</v>
      </c>
      <c r="L93">
        <v>3</v>
      </c>
      <c r="M93">
        <v>0</v>
      </c>
      <c r="N93">
        <v>2</v>
      </c>
      <c r="O93">
        <v>1</v>
      </c>
      <c r="P93">
        <v>0</v>
      </c>
      <c r="Q93">
        <v>0</v>
      </c>
      <c r="R93" t="s">
        <v>127</v>
      </c>
      <c r="S93" t="str">
        <f>"15:37:51.352"</f>
        <v>15:37:51.352</v>
      </c>
      <c r="T93" t="str">
        <f>"15:37:51.152"</f>
        <v>15:37:51.152</v>
      </c>
      <c r="U93" t="str">
        <f t="shared" si="6"/>
        <v>A55E09</v>
      </c>
      <c r="V93">
        <v>0</v>
      </c>
      <c r="W93">
        <v>0</v>
      </c>
      <c r="X93">
        <v>2</v>
      </c>
      <c r="Y93">
        <v>0</v>
      </c>
      <c r="AA93">
        <v>0</v>
      </c>
      <c r="AB93">
        <v>9</v>
      </c>
      <c r="AC93">
        <v>3</v>
      </c>
      <c r="AD93">
        <v>0</v>
      </c>
      <c r="AE93">
        <v>9</v>
      </c>
      <c r="AF93" t="s">
        <v>128</v>
      </c>
      <c r="AG93">
        <v>0</v>
      </c>
      <c r="AH93">
        <v>0</v>
      </c>
      <c r="AI93">
        <v>1</v>
      </c>
      <c r="AJ93">
        <v>0</v>
      </c>
      <c r="AK93" t="s">
        <v>178</v>
      </c>
      <c r="AL93">
        <v>33.663290000000003</v>
      </c>
      <c r="AM93" t="s">
        <v>179</v>
      </c>
      <c r="AN93">
        <v>-101.201227</v>
      </c>
      <c r="AO93">
        <v>100</v>
      </c>
      <c r="AP93">
        <v>3300</v>
      </c>
      <c r="AQ93" t="s">
        <v>131</v>
      </c>
      <c r="AR93">
        <v>-15</v>
      </c>
      <c r="AS93">
        <v>66</v>
      </c>
      <c r="AT93">
        <v>128</v>
      </c>
      <c r="BB93" t="str">
        <f t="shared" si="7"/>
        <v>1200</v>
      </c>
      <c r="BC93">
        <v>1</v>
      </c>
      <c r="BD93" t="str">
        <f t="shared" si="8"/>
        <v xml:space="preserve">N445JS  </v>
      </c>
      <c r="BE93">
        <v>7</v>
      </c>
      <c r="BG93">
        <v>0</v>
      </c>
      <c r="BH93">
        <v>0</v>
      </c>
      <c r="BI93">
        <v>0</v>
      </c>
      <c r="BJ93">
        <v>3075</v>
      </c>
      <c r="BK93">
        <v>-225</v>
      </c>
      <c r="BL93" t="s">
        <v>132</v>
      </c>
      <c r="BM93">
        <v>1</v>
      </c>
      <c r="BN93">
        <v>1</v>
      </c>
      <c r="BO93">
        <v>1</v>
      </c>
      <c r="BP93">
        <v>0</v>
      </c>
      <c r="BT93">
        <v>0</v>
      </c>
      <c r="BU93">
        <v>0</v>
      </c>
      <c r="CE93" t="str">
        <f>"15:37:51.356"</f>
        <v>15:37:51.356</v>
      </c>
      <c r="CF93">
        <v>356206574</v>
      </c>
      <c r="CS93">
        <v>0</v>
      </c>
      <c r="CT93">
        <v>2</v>
      </c>
      <c r="CU93">
        <v>0</v>
      </c>
      <c r="CV93">
        <v>2</v>
      </c>
      <c r="CW93">
        <v>0</v>
      </c>
      <c r="CX93">
        <v>7</v>
      </c>
      <c r="CY93">
        <v>7</v>
      </c>
      <c r="CZ93" t="s">
        <v>133</v>
      </c>
      <c r="DA93">
        <v>125</v>
      </c>
      <c r="DB93">
        <v>1</v>
      </c>
      <c r="DC93" t="s">
        <v>134</v>
      </c>
      <c r="DD93" t="s">
        <v>135</v>
      </c>
      <c r="DG93">
        <v>2461990</v>
      </c>
      <c r="DI93">
        <v>0</v>
      </c>
      <c r="DJ93">
        <v>0</v>
      </c>
      <c r="DK93">
        <v>1</v>
      </c>
      <c r="DL93">
        <v>0</v>
      </c>
      <c r="DM93">
        <v>0</v>
      </c>
      <c r="DN93">
        <v>0</v>
      </c>
      <c r="DO93">
        <v>0</v>
      </c>
      <c r="DP93">
        <v>0</v>
      </c>
      <c r="DQ93">
        <v>0</v>
      </c>
      <c r="DR93">
        <v>0</v>
      </c>
      <c r="DS93">
        <v>0</v>
      </c>
    </row>
    <row r="94" spans="1:123" x14ac:dyDescent="0.25">
      <c r="A94" t="str">
        <f>"04/17/2026 15:37:52.782"</f>
        <v>04/17/2026 15:37:52.782</v>
      </c>
      <c r="C94" t="str">
        <f t="shared" si="5"/>
        <v>FFDFD3C0</v>
      </c>
      <c r="D94" t="s">
        <v>124</v>
      </c>
      <c r="E94" t="str">
        <f>"03"</f>
        <v>03</v>
      </c>
      <c r="H94">
        <v>160</v>
      </c>
      <c r="I94" t="s">
        <v>125</v>
      </c>
      <c r="J94" t="s">
        <v>126</v>
      </c>
      <c r="K94">
        <v>0</v>
      </c>
      <c r="L94">
        <v>3</v>
      </c>
      <c r="M94">
        <v>0</v>
      </c>
      <c r="N94">
        <v>2</v>
      </c>
      <c r="O94">
        <v>1</v>
      </c>
      <c r="P94">
        <v>0</v>
      </c>
      <c r="Q94">
        <v>0</v>
      </c>
      <c r="R94" t="s">
        <v>127</v>
      </c>
      <c r="S94" t="str">
        <f>"15:37:52.492"</f>
        <v>15:37:52.492</v>
      </c>
      <c r="T94" t="str">
        <f>"15:37:52.092"</f>
        <v>15:37:52.092</v>
      </c>
      <c r="U94" t="str">
        <f t="shared" si="6"/>
        <v>A55E09</v>
      </c>
      <c r="V94">
        <v>0</v>
      </c>
      <c r="W94">
        <v>0</v>
      </c>
      <c r="X94">
        <v>2</v>
      </c>
      <c r="Y94">
        <v>0</v>
      </c>
      <c r="AA94">
        <v>0</v>
      </c>
      <c r="AB94">
        <v>9</v>
      </c>
      <c r="AC94">
        <v>3</v>
      </c>
      <c r="AD94">
        <v>0</v>
      </c>
      <c r="AE94">
        <v>9</v>
      </c>
      <c r="AF94" t="s">
        <v>128</v>
      </c>
      <c r="AG94">
        <v>0</v>
      </c>
      <c r="AH94">
        <v>0</v>
      </c>
      <c r="AI94">
        <v>1</v>
      </c>
      <c r="AJ94">
        <v>0</v>
      </c>
      <c r="AK94" t="s">
        <v>180</v>
      </c>
      <c r="AL94">
        <v>33.663654000000001</v>
      </c>
      <c r="AM94" t="s">
        <v>181</v>
      </c>
      <c r="AN94">
        <v>-101.201313</v>
      </c>
      <c r="AO94">
        <v>100</v>
      </c>
      <c r="AP94">
        <v>3300</v>
      </c>
      <c r="AQ94" t="s">
        <v>131</v>
      </c>
      <c r="AR94">
        <v>-13</v>
      </c>
      <c r="AS94">
        <v>69</v>
      </c>
      <c r="AT94">
        <v>128</v>
      </c>
      <c r="BB94" t="str">
        <f t="shared" si="7"/>
        <v>1200</v>
      </c>
      <c r="BC94">
        <v>1</v>
      </c>
      <c r="BD94" t="str">
        <f t="shared" si="8"/>
        <v xml:space="preserve">N445JS  </v>
      </c>
      <c r="BE94">
        <v>7</v>
      </c>
      <c r="BG94">
        <v>0</v>
      </c>
      <c r="BH94">
        <v>0</v>
      </c>
      <c r="BI94">
        <v>0</v>
      </c>
      <c r="BJ94">
        <v>3075</v>
      </c>
      <c r="BK94">
        <v>-225</v>
      </c>
      <c r="BL94" t="s">
        <v>132</v>
      </c>
      <c r="BM94">
        <v>1</v>
      </c>
      <c r="BN94">
        <v>1</v>
      </c>
      <c r="BO94">
        <v>1</v>
      </c>
      <c r="BP94">
        <v>0</v>
      </c>
      <c r="BT94">
        <v>0</v>
      </c>
      <c r="BU94">
        <v>0</v>
      </c>
      <c r="CE94" t="str">
        <f>"15:37:52.496"</f>
        <v>15:37:52.496</v>
      </c>
      <c r="CF94">
        <v>496094833</v>
      </c>
      <c r="CS94">
        <v>0</v>
      </c>
      <c r="CT94">
        <v>2</v>
      </c>
      <c r="CU94">
        <v>0</v>
      </c>
      <c r="CV94">
        <v>2</v>
      </c>
      <c r="CW94">
        <v>0</v>
      </c>
      <c r="CX94">
        <v>7</v>
      </c>
      <c r="CY94">
        <v>7</v>
      </c>
      <c r="CZ94" t="s">
        <v>133</v>
      </c>
      <c r="DA94">
        <v>125</v>
      </c>
      <c r="DB94">
        <v>1</v>
      </c>
      <c r="DC94" t="s">
        <v>134</v>
      </c>
      <c r="DD94" t="s">
        <v>135</v>
      </c>
      <c r="DG94">
        <v>2463111</v>
      </c>
      <c r="DI94">
        <v>0</v>
      </c>
      <c r="DJ94">
        <v>0</v>
      </c>
      <c r="DK94">
        <v>0</v>
      </c>
      <c r="DL94">
        <v>0</v>
      </c>
      <c r="DM94">
        <v>0</v>
      </c>
      <c r="DN94">
        <v>0</v>
      </c>
      <c r="DO94">
        <v>0</v>
      </c>
      <c r="DP94">
        <v>0</v>
      </c>
      <c r="DQ94">
        <v>0</v>
      </c>
      <c r="DR94">
        <v>0</v>
      </c>
      <c r="DS94">
        <v>0</v>
      </c>
    </row>
    <row r="95" spans="1:123" x14ac:dyDescent="0.25">
      <c r="A95" t="str">
        <f>"04/17/2026 15:37:52.784"</f>
        <v>04/17/2026 15:37:52.784</v>
      </c>
      <c r="C95" t="str">
        <f t="shared" si="5"/>
        <v>FFDFD3C0</v>
      </c>
      <c r="D95" t="s">
        <v>136</v>
      </c>
      <c r="E95" t="str">
        <f>"0F"</f>
        <v>0F</v>
      </c>
      <c r="F95">
        <v>1015</v>
      </c>
      <c r="G95" t="s">
        <v>138</v>
      </c>
      <c r="J95" t="s">
        <v>137</v>
      </c>
      <c r="K95">
        <v>0</v>
      </c>
      <c r="L95">
        <v>3</v>
      </c>
      <c r="M95">
        <v>0</v>
      </c>
      <c r="N95">
        <v>2</v>
      </c>
      <c r="O95">
        <v>1</v>
      </c>
      <c r="P95">
        <v>0</v>
      </c>
      <c r="Q95">
        <v>0</v>
      </c>
      <c r="R95" t="s">
        <v>127</v>
      </c>
      <c r="S95" t="str">
        <f>"15:37:52.492"</f>
        <v>15:37:52.492</v>
      </c>
      <c r="T95" t="str">
        <f>"15:37:52.092"</f>
        <v>15:37:52.092</v>
      </c>
      <c r="U95" t="str">
        <f t="shared" si="6"/>
        <v>A55E09</v>
      </c>
      <c r="V95">
        <v>0</v>
      </c>
      <c r="W95">
        <v>0</v>
      </c>
      <c r="X95">
        <v>2</v>
      </c>
      <c r="Y95">
        <v>0</v>
      </c>
      <c r="AA95">
        <v>0</v>
      </c>
      <c r="AB95">
        <v>9</v>
      </c>
      <c r="AC95">
        <v>3</v>
      </c>
      <c r="AD95">
        <v>0</v>
      </c>
      <c r="AE95">
        <v>9</v>
      </c>
      <c r="AF95" t="s">
        <v>128</v>
      </c>
      <c r="AG95">
        <v>0</v>
      </c>
      <c r="AH95">
        <v>0</v>
      </c>
      <c r="AI95">
        <v>1</v>
      </c>
      <c r="AJ95">
        <v>0</v>
      </c>
      <c r="AK95" t="s">
        <v>180</v>
      </c>
      <c r="AL95">
        <v>33.663654000000001</v>
      </c>
      <c r="AM95" t="s">
        <v>181</v>
      </c>
      <c r="AN95">
        <v>-101.201313</v>
      </c>
      <c r="AO95">
        <v>100</v>
      </c>
      <c r="AP95">
        <v>3300</v>
      </c>
      <c r="AQ95" t="s">
        <v>131</v>
      </c>
      <c r="AR95">
        <v>-13</v>
      </c>
      <c r="AS95">
        <v>69</v>
      </c>
      <c r="AT95">
        <v>128</v>
      </c>
      <c r="BB95" t="str">
        <f t="shared" si="7"/>
        <v>1200</v>
      </c>
      <c r="BC95">
        <v>1</v>
      </c>
      <c r="BD95" t="str">
        <f t="shared" si="8"/>
        <v xml:space="preserve">N445JS  </v>
      </c>
      <c r="BE95">
        <v>7</v>
      </c>
      <c r="BG95">
        <v>0</v>
      </c>
      <c r="BH95">
        <v>0</v>
      </c>
      <c r="BI95">
        <v>0</v>
      </c>
      <c r="BJ95">
        <v>3075</v>
      </c>
      <c r="BK95">
        <v>-225</v>
      </c>
      <c r="BL95" t="s">
        <v>132</v>
      </c>
      <c r="BM95">
        <v>1</v>
      </c>
      <c r="BN95">
        <v>1</v>
      </c>
      <c r="BO95">
        <v>1</v>
      </c>
      <c r="BP95">
        <v>0</v>
      </c>
      <c r="BT95">
        <v>0</v>
      </c>
      <c r="BU95">
        <v>0</v>
      </c>
      <c r="CE95" t="str">
        <f>"15:37:52.496"</f>
        <v>15:37:52.496</v>
      </c>
      <c r="CF95">
        <v>496094833</v>
      </c>
      <c r="CS95">
        <v>0</v>
      </c>
      <c r="CT95">
        <v>2</v>
      </c>
      <c r="CU95">
        <v>0</v>
      </c>
      <c r="CV95">
        <v>2</v>
      </c>
      <c r="CW95">
        <v>0</v>
      </c>
      <c r="CX95">
        <v>7</v>
      </c>
      <c r="CY95">
        <v>7</v>
      </c>
      <c r="CZ95" t="s">
        <v>133</v>
      </c>
      <c r="DA95">
        <v>125</v>
      </c>
      <c r="DB95">
        <v>1</v>
      </c>
      <c r="DC95" t="s">
        <v>134</v>
      </c>
      <c r="DD95" t="s">
        <v>135</v>
      </c>
      <c r="DG95">
        <v>2463111</v>
      </c>
      <c r="DI95">
        <v>0</v>
      </c>
      <c r="DJ95">
        <v>0</v>
      </c>
      <c r="DK95">
        <v>1</v>
      </c>
      <c r="DL95">
        <v>0</v>
      </c>
      <c r="DM95">
        <v>0</v>
      </c>
      <c r="DN95">
        <v>0</v>
      </c>
      <c r="DO95">
        <v>0</v>
      </c>
      <c r="DP95">
        <v>0</v>
      </c>
      <c r="DQ95">
        <v>0</v>
      </c>
      <c r="DR95">
        <v>0</v>
      </c>
      <c r="DS95">
        <v>0</v>
      </c>
    </row>
    <row r="96" spans="1:123" x14ac:dyDescent="0.25">
      <c r="A96" t="str">
        <f>"04/17/2026 15:37:52.783"</f>
        <v>04/17/2026 15:37:52.783</v>
      </c>
      <c r="C96" t="str">
        <f t="shared" si="5"/>
        <v>FFDFD3C0</v>
      </c>
      <c r="D96" t="s">
        <v>136</v>
      </c>
      <c r="E96" t="str">
        <f>"0E"</f>
        <v>0E</v>
      </c>
      <c r="F96">
        <v>1014</v>
      </c>
      <c r="G96" t="s">
        <v>125</v>
      </c>
      <c r="J96" t="s">
        <v>137</v>
      </c>
      <c r="K96">
        <v>0</v>
      </c>
      <c r="L96">
        <v>3</v>
      </c>
      <c r="M96">
        <v>0</v>
      </c>
      <c r="N96">
        <v>2</v>
      </c>
      <c r="O96">
        <v>1</v>
      </c>
      <c r="P96">
        <v>0</v>
      </c>
      <c r="Q96">
        <v>0</v>
      </c>
      <c r="R96" t="s">
        <v>127</v>
      </c>
      <c r="S96" t="str">
        <f>"15:37:52.492"</f>
        <v>15:37:52.492</v>
      </c>
      <c r="T96" t="str">
        <f>"15:37:52.092"</f>
        <v>15:37:52.092</v>
      </c>
      <c r="U96" t="str">
        <f t="shared" si="6"/>
        <v>A55E09</v>
      </c>
      <c r="V96">
        <v>0</v>
      </c>
      <c r="W96">
        <v>0</v>
      </c>
      <c r="X96">
        <v>2</v>
      </c>
      <c r="Y96">
        <v>0</v>
      </c>
      <c r="AA96">
        <v>0</v>
      </c>
      <c r="AB96">
        <v>9</v>
      </c>
      <c r="AC96">
        <v>3</v>
      </c>
      <c r="AD96">
        <v>0</v>
      </c>
      <c r="AE96">
        <v>9</v>
      </c>
      <c r="AF96" t="s">
        <v>128</v>
      </c>
      <c r="AG96">
        <v>0</v>
      </c>
      <c r="AH96">
        <v>0</v>
      </c>
      <c r="AI96">
        <v>1</v>
      </c>
      <c r="AJ96">
        <v>0</v>
      </c>
      <c r="AK96" t="s">
        <v>180</v>
      </c>
      <c r="AL96">
        <v>33.663654000000001</v>
      </c>
      <c r="AM96" t="s">
        <v>181</v>
      </c>
      <c r="AN96">
        <v>-101.201313</v>
      </c>
      <c r="AO96">
        <v>100</v>
      </c>
      <c r="AP96">
        <v>3300</v>
      </c>
      <c r="AQ96" t="s">
        <v>131</v>
      </c>
      <c r="AR96">
        <v>-13</v>
      </c>
      <c r="AS96">
        <v>69</v>
      </c>
      <c r="AT96">
        <v>128</v>
      </c>
      <c r="BB96" t="str">
        <f t="shared" si="7"/>
        <v>1200</v>
      </c>
      <c r="BC96">
        <v>1</v>
      </c>
      <c r="BD96" t="str">
        <f t="shared" si="8"/>
        <v xml:space="preserve">N445JS  </v>
      </c>
      <c r="BE96">
        <v>7</v>
      </c>
      <c r="BG96">
        <v>0</v>
      </c>
      <c r="BH96">
        <v>0</v>
      </c>
      <c r="BI96">
        <v>0</v>
      </c>
      <c r="BJ96">
        <v>3075</v>
      </c>
      <c r="BK96">
        <v>-225</v>
      </c>
      <c r="BL96" t="s">
        <v>132</v>
      </c>
      <c r="BM96">
        <v>1</v>
      </c>
      <c r="BN96">
        <v>1</v>
      </c>
      <c r="BO96">
        <v>1</v>
      </c>
      <c r="BP96">
        <v>0</v>
      </c>
      <c r="BT96">
        <v>0</v>
      </c>
      <c r="BU96">
        <v>0</v>
      </c>
      <c r="CE96" t="str">
        <f>"15:37:52.496"</f>
        <v>15:37:52.496</v>
      </c>
      <c r="CF96">
        <v>496094833</v>
      </c>
      <c r="CS96">
        <v>0</v>
      </c>
      <c r="CT96">
        <v>2</v>
      </c>
      <c r="CU96">
        <v>0</v>
      </c>
      <c r="CV96">
        <v>2</v>
      </c>
      <c r="CW96">
        <v>0</v>
      </c>
      <c r="CX96">
        <v>7</v>
      </c>
      <c r="CY96">
        <v>7</v>
      </c>
      <c r="CZ96" t="s">
        <v>133</v>
      </c>
      <c r="DA96">
        <v>125</v>
      </c>
      <c r="DB96">
        <v>1</v>
      </c>
      <c r="DC96" t="s">
        <v>134</v>
      </c>
      <c r="DD96" t="s">
        <v>135</v>
      </c>
      <c r="DG96">
        <v>2463111</v>
      </c>
      <c r="DI96">
        <v>0</v>
      </c>
      <c r="DJ96">
        <v>0</v>
      </c>
      <c r="DK96">
        <v>1</v>
      </c>
      <c r="DL96">
        <v>0</v>
      </c>
      <c r="DM96">
        <v>0</v>
      </c>
      <c r="DN96">
        <v>0</v>
      </c>
      <c r="DO96">
        <v>0</v>
      </c>
      <c r="DP96">
        <v>0</v>
      </c>
      <c r="DQ96">
        <v>0</v>
      </c>
      <c r="DR96">
        <v>0</v>
      </c>
      <c r="DS96">
        <v>0</v>
      </c>
    </row>
    <row r="97" spans="1:123" x14ac:dyDescent="0.25">
      <c r="A97" t="str">
        <f>"04/17/2026 15:37:52.807"</f>
        <v>04/17/2026 15:37:52.807</v>
      </c>
      <c r="C97" t="str">
        <f t="shared" si="5"/>
        <v>FFDFD3C0</v>
      </c>
      <c r="D97" t="s">
        <v>139</v>
      </c>
      <c r="E97" t="str">
        <f>"28"</f>
        <v>28</v>
      </c>
      <c r="H97">
        <v>140</v>
      </c>
      <c r="I97" t="s">
        <v>140</v>
      </c>
      <c r="J97" t="s">
        <v>141</v>
      </c>
      <c r="K97">
        <v>0</v>
      </c>
      <c r="L97">
        <v>3</v>
      </c>
      <c r="M97">
        <v>0</v>
      </c>
      <c r="N97">
        <v>2</v>
      </c>
      <c r="O97">
        <v>1</v>
      </c>
      <c r="P97">
        <v>0</v>
      </c>
      <c r="Q97">
        <v>0</v>
      </c>
      <c r="R97" t="s">
        <v>127</v>
      </c>
      <c r="S97" t="str">
        <f>"15:37:52.492"</f>
        <v>15:37:52.492</v>
      </c>
      <c r="T97" t="str">
        <f>"15:37:52.092"</f>
        <v>15:37:52.092</v>
      </c>
      <c r="U97" t="str">
        <f t="shared" si="6"/>
        <v>A55E09</v>
      </c>
      <c r="V97">
        <v>0</v>
      </c>
      <c r="W97">
        <v>0</v>
      </c>
      <c r="X97">
        <v>2</v>
      </c>
      <c r="Y97">
        <v>0</v>
      </c>
      <c r="AA97">
        <v>0</v>
      </c>
      <c r="AB97">
        <v>9</v>
      </c>
      <c r="AC97">
        <v>3</v>
      </c>
      <c r="AD97">
        <v>0</v>
      </c>
      <c r="AE97">
        <v>9</v>
      </c>
      <c r="AF97" t="s">
        <v>128</v>
      </c>
      <c r="AG97">
        <v>0</v>
      </c>
      <c r="AH97">
        <v>0</v>
      </c>
      <c r="AI97">
        <v>1</v>
      </c>
      <c r="AJ97">
        <v>0</v>
      </c>
      <c r="AK97" t="s">
        <v>180</v>
      </c>
      <c r="AL97">
        <v>33.663654000000001</v>
      </c>
      <c r="AM97" t="s">
        <v>181</v>
      </c>
      <c r="AN97">
        <v>-101.201313</v>
      </c>
      <c r="AO97">
        <v>100</v>
      </c>
      <c r="AP97">
        <v>3300</v>
      </c>
      <c r="AQ97" t="s">
        <v>131</v>
      </c>
      <c r="AR97">
        <v>-13</v>
      </c>
      <c r="AS97">
        <v>69</v>
      </c>
      <c r="AT97">
        <v>128</v>
      </c>
      <c r="BB97" t="str">
        <f t="shared" si="7"/>
        <v>1200</v>
      </c>
      <c r="BC97">
        <v>1</v>
      </c>
      <c r="BD97" t="str">
        <f t="shared" si="8"/>
        <v xml:space="preserve">N445JS  </v>
      </c>
      <c r="BE97">
        <v>7</v>
      </c>
      <c r="BG97">
        <v>0</v>
      </c>
      <c r="BH97">
        <v>0</v>
      </c>
      <c r="BI97">
        <v>0</v>
      </c>
      <c r="BJ97">
        <v>3075</v>
      </c>
      <c r="BK97">
        <v>-225</v>
      </c>
      <c r="BL97" t="s">
        <v>132</v>
      </c>
      <c r="BM97">
        <v>1</v>
      </c>
      <c r="BN97">
        <v>1</v>
      </c>
      <c r="BO97">
        <v>1</v>
      </c>
      <c r="BP97">
        <v>0</v>
      </c>
      <c r="BT97">
        <v>0</v>
      </c>
      <c r="BU97">
        <v>0</v>
      </c>
      <c r="CE97" t="str">
        <f>"15:37:52.496"</f>
        <v>15:37:52.496</v>
      </c>
      <c r="CF97">
        <v>496094833</v>
      </c>
      <c r="CS97">
        <v>0</v>
      </c>
      <c r="CT97">
        <v>2</v>
      </c>
      <c r="CU97">
        <v>0</v>
      </c>
      <c r="CV97">
        <v>2</v>
      </c>
      <c r="CW97">
        <v>0</v>
      </c>
      <c r="CX97">
        <v>7</v>
      </c>
      <c r="CY97">
        <v>7</v>
      </c>
      <c r="CZ97" t="s">
        <v>133</v>
      </c>
      <c r="DA97">
        <v>125</v>
      </c>
      <c r="DB97">
        <v>1</v>
      </c>
      <c r="DC97" t="s">
        <v>134</v>
      </c>
      <c r="DD97" t="s">
        <v>135</v>
      </c>
      <c r="DG97">
        <v>2463111</v>
      </c>
      <c r="DI97">
        <v>0</v>
      </c>
      <c r="DJ97">
        <v>0</v>
      </c>
      <c r="DK97">
        <v>1</v>
      </c>
      <c r="DL97">
        <v>0</v>
      </c>
      <c r="DM97">
        <v>0</v>
      </c>
      <c r="DN97">
        <v>0</v>
      </c>
      <c r="DO97">
        <v>0</v>
      </c>
      <c r="DP97">
        <v>0</v>
      </c>
      <c r="DQ97">
        <v>0</v>
      </c>
      <c r="DR97">
        <v>0</v>
      </c>
      <c r="DS97">
        <v>0</v>
      </c>
    </row>
    <row r="98" spans="1:123" x14ac:dyDescent="0.25">
      <c r="A98" t="str">
        <f>"04/17/2026 15:37:53.809"</f>
        <v>04/17/2026 15:37:53.809</v>
      </c>
      <c r="C98" t="str">
        <f t="shared" si="5"/>
        <v>FFDFD3C0</v>
      </c>
      <c r="D98" t="s">
        <v>139</v>
      </c>
      <c r="E98" t="str">
        <f>"28"</f>
        <v>28</v>
      </c>
      <c r="H98">
        <v>140</v>
      </c>
      <c r="I98" t="s">
        <v>140</v>
      </c>
      <c r="J98" t="s">
        <v>141</v>
      </c>
      <c r="K98">
        <v>0</v>
      </c>
      <c r="L98">
        <v>3</v>
      </c>
      <c r="M98">
        <v>0</v>
      </c>
      <c r="N98">
        <v>2</v>
      </c>
      <c r="O98">
        <v>1</v>
      </c>
      <c r="P98">
        <v>0</v>
      </c>
      <c r="Q98">
        <v>0</v>
      </c>
      <c r="R98" t="s">
        <v>127</v>
      </c>
      <c r="S98" t="str">
        <f>"15:37:53.523"</f>
        <v>15:37:53.523</v>
      </c>
      <c r="T98" t="str">
        <f>"15:37:53.223"</f>
        <v>15:37:53.223</v>
      </c>
      <c r="U98" t="str">
        <f t="shared" si="6"/>
        <v>A55E09</v>
      </c>
      <c r="V98">
        <v>0</v>
      </c>
      <c r="W98">
        <v>0</v>
      </c>
      <c r="X98">
        <v>2</v>
      </c>
      <c r="Y98">
        <v>0</v>
      </c>
      <c r="AA98">
        <v>0</v>
      </c>
      <c r="AB98">
        <v>9</v>
      </c>
      <c r="AC98">
        <v>3</v>
      </c>
      <c r="AD98">
        <v>0</v>
      </c>
      <c r="AE98">
        <v>9</v>
      </c>
      <c r="AF98" t="s">
        <v>128</v>
      </c>
      <c r="AG98">
        <v>0</v>
      </c>
      <c r="AH98">
        <v>0</v>
      </c>
      <c r="AI98">
        <v>1</v>
      </c>
      <c r="AJ98">
        <v>0</v>
      </c>
      <c r="AK98" t="s">
        <v>182</v>
      </c>
      <c r="AL98">
        <v>33.664040999999997</v>
      </c>
      <c r="AM98" t="s">
        <v>183</v>
      </c>
      <c r="AN98">
        <v>-101.201398</v>
      </c>
      <c r="AO98">
        <v>100</v>
      </c>
      <c r="AP98">
        <v>3300</v>
      </c>
      <c r="AQ98" t="s">
        <v>131</v>
      </c>
      <c r="AR98">
        <v>-11</v>
      </c>
      <c r="AS98">
        <v>72</v>
      </c>
      <c r="AT98">
        <v>0</v>
      </c>
      <c r="BB98" t="str">
        <f t="shared" si="7"/>
        <v>1200</v>
      </c>
      <c r="BC98">
        <v>1</v>
      </c>
      <c r="BD98" t="str">
        <f t="shared" si="8"/>
        <v xml:space="preserve">N445JS  </v>
      </c>
      <c r="BE98">
        <v>7</v>
      </c>
      <c r="BG98">
        <v>0</v>
      </c>
      <c r="BH98">
        <v>0</v>
      </c>
      <c r="BI98">
        <v>0</v>
      </c>
      <c r="BJ98">
        <v>3075</v>
      </c>
      <c r="BK98">
        <v>-225</v>
      </c>
      <c r="BL98" t="s">
        <v>132</v>
      </c>
      <c r="BM98">
        <v>1</v>
      </c>
      <c r="BN98">
        <v>1</v>
      </c>
      <c r="BO98">
        <v>1</v>
      </c>
      <c r="BP98">
        <v>0</v>
      </c>
      <c r="BT98">
        <v>0</v>
      </c>
      <c r="BU98">
        <v>0</v>
      </c>
      <c r="CE98" t="str">
        <f>"15:37:53.531"</f>
        <v>15:37:53.531</v>
      </c>
      <c r="CF98">
        <v>530993373</v>
      </c>
      <c r="CS98">
        <v>0</v>
      </c>
      <c r="CT98">
        <v>2</v>
      </c>
      <c r="CU98">
        <v>0</v>
      </c>
      <c r="CV98">
        <v>2</v>
      </c>
      <c r="CW98">
        <v>0</v>
      </c>
      <c r="CX98">
        <v>7</v>
      </c>
      <c r="CY98">
        <v>7</v>
      </c>
      <c r="CZ98" t="s">
        <v>133</v>
      </c>
      <c r="DA98">
        <v>125</v>
      </c>
      <c r="DB98">
        <v>1</v>
      </c>
      <c r="DC98" t="s">
        <v>134</v>
      </c>
      <c r="DD98" t="s">
        <v>135</v>
      </c>
      <c r="DG98">
        <v>2464129</v>
      </c>
      <c r="DI98">
        <v>0</v>
      </c>
      <c r="DJ98">
        <v>0</v>
      </c>
      <c r="DK98">
        <v>0</v>
      </c>
      <c r="DL98">
        <v>0</v>
      </c>
      <c r="DM98">
        <v>0</v>
      </c>
      <c r="DN98">
        <v>0</v>
      </c>
      <c r="DO98">
        <v>0</v>
      </c>
      <c r="DP98">
        <v>0</v>
      </c>
      <c r="DQ98">
        <v>0</v>
      </c>
      <c r="DR98">
        <v>0</v>
      </c>
      <c r="DS98">
        <v>0</v>
      </c>
    </row>
    <row r="99" spans="1:123" x14ac:dyDescent="0.25">
      <c r="A99" t="str">
        <f>"04/17/2026 15:37:53.835"</f>
        <v>04/17/2026 15:37:53.835</v>
      </c>
      <c r="C99" t="str">
        <f t="shared" si="5"/>
        <v>FFDFD3C0</v>
      </c>
      <c r="D99" t="s">
        <v>136</v>
      </c>
      <c r="E99" t="str">
        <f>"0E"</f>
        <v>0E</v>
      </c>
      <c r="F99">
        <v>1014</v>
      </c>
      <c r="G99" t="s">
        <v>125</v>
      </c>
      <c r="J99" t="s">
        <v>137</v>
      </c>
      <c r="K99">
        <v>0</v>
      </c>
      <c r="L99">
        <v>3</v>
      </c>
      <c r="M99">
        <v>0</v>
      </c>
      <c r="N99">
        <v>2</v>
      </c>
      <c r="O99">
        <v>1</v>
      </c>
      <c r="P99">
        <v>0</v>
      </c>
      <c r="Q99">
        <v>0</v>
      </c>
      <c r="R99" t="s">
        <v>127</v>
      </c>
      <c r="S99" t="str">
        <f>"15:37:53.523"</f>
        <v>15:37:53.523</v>
      </c>
      <c r="T99" t="str">
        <f>"15:37:53.223"</f>
        <v>15:37:53.223</v>
      </c>
      <c r="U99" t="str">
        <f t="shared" si="6"/>
        <v>A55E09</v>
      </c>
      <c r="V99">
        <v>0</v>
      </c>
      <c r="W99">
        <v>0</v>
      </c>
      <c r="X99">
        <v>2</v>
      </c>
      <c r="Y99">
        <v>0</v>
      </c>
      <c r="AA99">
        <v>0</v>
      </c>
      <c r="AB99">
        <v>9</v>
      </c>
      <c r="AC99">
        <v>3</v>
      </c>
      <c r="AD99">
        <v>0</v>
      </c>
      <c r="AE99">
        <v>9</v>
      </c>
      <c r="AF99" t="s">
        <v>128</v>
      </c>
      <c r="AG99">
        <v>0</v>
      </c>
      <c r="AH99">
        <v>0</v>
      </c>
      <c r="AI99">
        <v>1</v>
      </c>
      <c r="AJ99">
        <v>0</v>
      </c>
      <c r="AK99" t="s">
        <v>182</v>
      </c>
      <c r="AL99">
        <v>33.664040999999997</v>
      </c>
      <c r="AM99" t="s">
        <v>183</v>
      </c>
      <c r="AN99">
        <v>-101.201398</v>
      </c>
      <c r="AO99">
        <v>100</v>
      </c>
      <c r="AP99">
        <v>3300</v>
      </c>
      <c r="AQ99" t="s">
        <v>131</v>
      </c>
      <c r="AR99">
        <v>-11</v>
      </c>
      <c r="AS99">
        <v>72</v>
      </c>
      <c r="AT99">
        <v>0</v>
      </c>
      <c r="BB99" t="str">
        <f t="shared" si="7"/>
        <v>1200</v>
      </c>
      <c r="BC99">
        <v>1</v>
      </c>
      <c r="BD99" t="str">
        <f t="shared" si="8"/>
        <v xml:space="preserve">N445JS  </v>
      </c>
      <c r="BE99">
        <v>7</v>
      </c>
      <c r="BG99">
        <v>0</v>
      </c>
      <c r="BH99">
        <v>0</v>
      </c>
      <c r="BI99">
        <v>0</v>
      </c>
      <c r="BJ99">
        <v>3075</v>
      </c>
      <c r="BK99">
        <v>-225</v>
      </c>
      <c r="BL99" t="s">
        <v>132</v>
      </c>
      <c r="BM99">
        <v>1</v>
      </c>
      <c r="BN99">
        <v>1</v>
      </c>
      <c r="BO99">
        <v>1</v>
      </c>
      <c r="BP99">
        <v>0</v>
      </c>
      <c r="BT99">
        <v>0</v>
      </c>
      <c r="BU99">
        <v>0</v>
      </c>
      <c r="CE99" t="str">
        <f>"15:37:53.531"</f>
        <v>15:37:53.531</v>
      </c>
      <c r="CF99">
        <v>530993373</v>
      </c>
      <c r="CS99">
        <v>0</v>
      </c>
      <c r="CT99">
        <v>2</v>
      </c>
      <c r="CU99">
        <v>0</v>
      </c>
      <c r="CV99">
        <v>2</v>
      </c>
      <c r="CW99">
        <v>0</v>
      </c>
      <c r="CX99">
        <v>7</v>
      </c>
      <c r="CY99">
        <v>7</v>
      </c>
      <c r="CZ99" t="s">
        <v>133</v>
      </c>
      <c r="DA99">
        <v>125</v>
      </c>
      <c r="DB99">
        <v>1</v>
      </c>
      <c r="DC99" t="s">
        <v>134</v>
      </c>
      <c r="DD99" t="s">
        <v>135</v>
      </c>
      <c r="DG99">
        <v>2464129</v>
      </c>
      <c r="DI99">
        <v>0</v>
      </c>
      <c r="DJ99">
        <v>0</v>
      </c>
      <c r="DK99">
        <v>1</v>
      </c>
      <c r="DL99">
        <v>0</v>
      </c>
      <c r="DM99">
        <v>0</v>
      </c>
      <c r="DN99">
        <v>0</v>
      </c>
      <c r="DO99">
        <v>0</v>
      </c>
      <c r="DP99">
        <v>0</v>
      </c>
      <c r="DQ99">
        <v>0</v>
      </c>
      <c r="DR99">
        <v>0</v>
      </c>
      <c r="DS99">
        <v>0</v>
      </c>
    </row>
    <row r="100" spans="1:123" x14ac:dyDescent="0.25">
      <c r="A100" t="str">
        <f>"04/17/2026 15:37:53.834"</f>
        <v>04/17/2026 15:37:53.834</v>
      </c>
      <c r="C100" t="str">
        <f t="shared" si="5"/>
        <v>FFDFD3C0</v>
      </c>
      <c r="D100" t="s">
        <v>124</v>
      </c>
      <c r="E100" t="str">
        <f>"03"</f>
        <v>03</v>
      </c>
      <c r="H100">
        <v>160</v>
      </c>
      <c r="I100" t="s">
        <v>125</v>
      </c>
      <c r="J100" t="s">
        <v>126</v>
      </c>
      <c r="K100">
        <v>0</v>
      </c>
      <c r="L100">
        <v>3</v>
      </c>
      <c r="M100">
        <v>0</v>
      </c>
      <c r="N100">
        <v>2</v>
      </c>
      <c r="O100">
        <v>1</v>
      </c>
      <c r="P100">
        <v>0</v>
      </c>
      <c r="Q100">
        <v>0</v>
      </c>
      <c r="R100" t="s">
        <v>127</v>
      </c>
      <c r="S100" t="str">
        <f>"15:37:53.523"</f>
        <v>15:37:53.523</v>
      </c>
      <c r="T100" t="str">
        <f>"15:37:53.223"</f>
        <v>15:37:53.223</v>
      </c>
      <c r="U100" t="str">
        <f t="shared" si="6"/>
        <v>A55E09</v>
      </c>
      <c r="V100">
        <v>0</v>
      </c>
      <c r="W100">
        <v>0</v>
      </c>
      <c r="X100">
        <v>2</v>
      </c>
      <c r="Y100">
        <v>0</v>
      </c>
      <c r="AA100">
        <v>0</v>
      </c>
      <c r="AB100">
        <v>9</v>
      </c>
      <c r="AC100">
        <v>3</v>
      </c>
      <c r="AD100">
        <v>0</v>
      </c>
      <c r="AE100">
        <v>9</v>
      </c>
      <c r="AF100" t="s">
        <v>128</v>
      </c>
      <c r="AG100">
        <v>0</v>
      </c>
      <c r="AH100">
        <v>0</v>
      </c>
      <c r="AI100">
        <v>1</v>
      </c>
      <c r="AJ100">
        <v>0</v>
      </c>
      <c r="AK100" t="s">
        <v>182</v>
      </c>
      <c r="AL100">
        <v>33.664040999999997</v>
      </c>
      <c r="AM100" t="s">
        <v>183</v>
      </c>
      <c r="AN100">
        <v>-101.201398</v>
      </c>
      <c r="AO100">
        <v>100</v>
      </c>
      <c r="AP100">
        <v>3300</v>
      </c>
      <c r="AQ100" t="s">
        <v>131</v>
      </c>
      <c r="AR100">
        <v>-11</v>
      </c>
      <c r="AS100">
        <v>72</v>
      </c>
      <c r="AT100">
        <v>0</v>
      </c>
      <c r="BB100" t="str">
        <f t="shared" si="7"/>
        <v>1200</v>
      </c>
      <c r="BC100">
        <v>1</v>
      </c>
      <c r="BD100" t="str">
        <f t="shared" si="8"/>
        <v xml:space="preserve">N445JS  </v>
      </c>
      <c r="BE100">
        <v>7</v>
      </c>
      <c r="BG100">
        <v>0</v>
      </c>
      <c r="BH100">
        <v>0</v>
      </c>
      <c r="BI100">
        <v>0</v>
      </c>
      <c r="BJ100">
        <v>3075</v>
      </c>
      <c r="BK100">
        <v>-225</v>
      </c>
      <c r="BL100" t="s">
        <v>132</v>
      </c>
      <c r="BM100">
        <v>1</v>
      </c>
      <c r="BN100">
        <v>1</v>
      </c>
      <c r="BO100">
        <v>1</v>
      </c>
      <c r="BP100">
        <v>0</v>
      </c>
      <c r="BT100">
        <v>0</v>
      </c>
      <c r="BU100">
        <v>0</v>
      </c>
      <c r="CE100" t="str">
        <f>"15:37:53.531"</f>
        <v>15:37:53.531</v>
      </c>
      <c r="CF100">
        <v>530993373</v>
      </c>
      <c r="CS100">
        <v>0</v>
      </c>
      <c r="CT100">
        <v>2</v>
      </c>
      <c r="CU100">
        <v>0</v>
      </c>
      <c r="CV100">
        <v>2</v>
      </c>
      <c r="CW100">
        <v>0</v>
      </c>
      <c r="CX100">
        <v>7</v>
      </c>
      <c r="CY100">
        <v>7</v>
      </c>
      <c r="CZ100" t="s">
        <v>133</v>
      </c>
      <c r="DA100">
        <v>125</v>
      </c>
      <c r="DB100">
        <v>1</v>
      </c>
      <c r="DC100" t="s">
        <v>134</v>
      </c>
      <c r="DD100" t="s">
        <v>135</v>
      </c>
      <c r="DG100">
        <v>2464129</v>
      </c>
      <c r="DI100">
        <v>0</v>
      </c>
      <c r="DJ100">
        <v>0</v>
      </c>
      <c r="DK100">
        <v>1</v>
      </c>
      <c r="DL100">
        <v>0</v>
      </c>
      <c r="DM100">
        <v>0</v>
      </c>
      <c r="DN100">
        <v>0</v>
      </c>
      <c r="DO100">
        <v>0</v>
      </c>
      <c r="DP100">
        <v>0</v>
      </c>
      <c r="DQ100">
        <v>0</v>
      </c>
      <c r="DR100">
        <v>0</v>
      </c>
      <c r="DS100">
        <v>0</v>
      </c>
    </row>
    <row r="101" spans="1:123" x14ac:dyDescent="0.25">
      <c r="A101" t="str">
        <f>"04/17/2026 15:37:53.835"</f>
        <v>04/17/2026 15:37:53.835</v>
      </c>
      <c r="C101" t="str">
        <f t="shared" si="5"/>
        <v>FFDFD3C0</v>
      </c>
      <c r="D101" t="s">
        <v>136</v>
      </c>
      <c r="E101" t="str">
        <f>"0F"</f>
        <v>0F</v>
      </c>
      <c r="F101">
        <v>1015</v>
      </c>
      <c r="G101" t="s">
        <v>138</v>
      </c>
      <c r="J101" t="s">
        <v>137</v>
      </c>
      <c r="K101">
        <v>0</v>
      </c>
      <c r="L101">
        <v>3</v>
      </c>
      <c r="M101">
        <v>0</v>
      </c>
      <c r="N101">
        <v>2</v>
      </c>
      <c r="O101">
        <v>1</v>
      </c>
      <c r="P101">
        <v>0</v>
      </c>
      <c r="Q101">
        <v>0</v>
      </c>
      <c r="R101" t="s">
        <v>127</v>
      </c>
      <c r="S101" t="str">
        <f>"15:37:53.523"</f>
        <v>15:37:53.523</v>
      </c>
      <c r="T101" t="str">
        <f>"15:37:53.223"</f>
        <v>15:37:53.223</v>
      </c>
      <c r="U101" t="str">
        <f t="shared" si="6"/>
        <v>A55E09</v>
      </c>
      <c r="V101">
        <v>0</v>
      </c>
      <c r="W101">
        <v>0</v>
      </c>
      <c r="X101">
        <v>2</v>
      </c>
      <c r="Y101">
        <v>0</v>
      </c>
      <c r="AA101">
        <v>0</v>
      </c>
      <c r="AB101">
        <v>9</v>
      </c>
      <c r="AC101">
        <v>3</v>
      </c>
      <c r="AD101">
        <v>0</v>
      </c>
      <c r="AE101">
        <v>9</v>
      </c>
      <c r="AF101" t="s">
        <v>128</v>
      </c>
      <c r="AG101">
        <v>0</v>
      </c>
      <c r="AH101">
        <v>0</v>
      </c>
      <c r="AI101">
        <v>1</v>
      </c>
      <c r="AJ101">
        <v>0</v>
      </c>
      <c r="AK101" t="s">
        <v>182</v>
      </c>
      <c r="AL101">
        <v>33.664040999999997</v>
      </c>
      <c r="AM101" t="s">
        <v>183</v>
      </c>
      <c r="AN101">
        <v>-101.201398</v>
      </c>
      <c r="AO101">
        <v>100</v>
      </c>
      <c r="AP101">
        <v>3300</v>
      </c>
      <c r="AQ101" t="s">
        <v>131</v>
      </c>
      <c r="AR101">
        <v>-11</v>
      </c>
      <c r="AS101">
        <v>72</v>
      </c>
      <c r="AT101">
        <v>0</v>
      </c>
      <c r="BB101" t="str">
        <f t="shared" si="7"/>
        <v>1200</v>
      </c>
      <c r="BC101">
        <v>1</v>
      </c>
      <c r="BD101" t="str">
        <f t="shared" si="8"/>
        <v xml:space="preserve">N445JS  </v>
      </c>
      <c r="BE101">
        <v>7</v>
      </c>
      <c r="BG101">
        <v>0</v>
      </c>
      <c r="BH101">
        <v>0</v>
      </c>
      <c r="BI101">
        <v>0</v>
      </c>
      <c r="BJ101">
        <v>3075</v>
      </c>
      <c r="BK101">
        <v>-225</v>
      </c>
      <c r="BL101" t="s">
        <v>132</v>
      </c>
      <c r="BM101">
        <v>1</v>
      </c>
      <c r="BN101">
        <v>1</v>
      </c>
      <c r="BO101">
        <v>1</v>
      </c>
      <c r="BP101">
        <v>0</v>
      </c>
      <c r="BT101">
        <v>0</v>
      </c>
      <c r="BU101">
        <v>0</v>
      </c>
      <c r="CE101" t="str">
        <f>"15:37:53.531"</f>
        <v>15:37:53.531</v>
      </c>
      <c r="CF101">
        <v>530993373</v>
      </c>
      <c r="CS101">
        <v>0</v>
      </c>
      <c r="CT101">
        <v>2</v>
      </c>
      <c r="CU101">
        <v>0</v>
      </c>
      <c r="CV101">
        <v>2</v>
      </c>
      <c r="CW101">
        <v>0</v>
      </c>
      <c r="CX101">
        <v>7</v>
      </c>
      <c r="CY101">
        <v>7</v>
      </c>
      <c r="CZ101" t="s">
        <v>133</v>
      </c>
      <c r="DA101">
        <v>125</v>
      </c>
      <c r="DB101">
        <v>1</v>
      </c>
      <c r="DC101" t="s">
        <v>134</v>
      </c>
      <c r="DD101" t="s">
        <v>135</v>
      </c>
      <c r="DG101">
        <v>2464129</v>
      </c>
      <c r="DI101">
        <v>0</v>
      </c>
      <c r="DJ101">
        <v>0</v>
      </c>
      <c r="DK101">
        <v>1</v>
      </c>
      <c r="DL101">
        <v>0</v>
      </c>
      <c r="DM101">
        <v>0</v>
      </c>
      <c r="DN101">
        <v>0</v>
      </c>
      <c r="DO101">
        <v>0</v>
      </c>
      <c r="DP101">
        <v>0</v>
      </c>
      <c r="DQ101">
        <v>0</v>
      </c>
      <c r="DR101">
        <v>0</v>
      </c>
      <c r="DS101">
        <v>0</v>
      </c>
    </row>
    <row r="102" spans="1:123" x14ac:dyDescent="0.25">
      <c r="A102" t="str">
        <f>"04/17/2026 15:37:54.710"</f>
        <v>04/17/2026 15:37:54.710</v>
      </c>
      <c r="C102" t="str">
        <f t="shared" si="5"/>
        <v>FFDFD3C0</v>
      </c>
      <c r="D102" t="s">
        <v>139</v>
      </c>
      <c r="E102" t="str">
        <f>"28"</f>
        <v>28</v>
      </c>
      <c r="H102">
        <v>140</v>
      </c>
      <c r="I102" t="s">
        <v>140</v>
      </c>
      <c r="J102" t="s">
        <v>141</v>
      </c>
      <c r="K102">
        <v>0</v>
      </c>
      <c r="L102">
        <v>3</v>
      </c>
      <c r="M102">
        <v>0</v>
      </c>
      <c r="N102">
        <v>2</v>
      </c>
      <c r="O102">
        <v>1</v>
      </c>
      <c r="P102">
        <v>0</v>
      </c>
      <c r="Q102">
        <v>0</v>
      </c>
      <c r="R102" t="s">
        <v>127</v>
      </c>
      <c r="S102" t="str">
        <f>"15:37:54.469"</f>
        <v>15:37:54.469</v>
      </c>
      <c r="T102" t="str">
        <f>"15:37:54.169"</f>
        <v>15:37:54.169</v>
      </c>
      <c r="U102" t="str">
        <f t="shared" si="6"/>
        <v>A55E09</v>
      </c>
      <c r="V102">
        <v>0</v>
      </c>
      <c r="W102">
        <v>0</v>
      </c>
      <c r="X102">
        <v>2</v>
      </c>
      <c r="Y102">
        <v>0</v>
      </c>
      <c r="AA102">
        <v>0</v>
      </c>
      <c r="AB102">
        <v>9</v>
      </c>
      <c r="AC102">
        <v>3</v>
      </c>
      <c r="AD102">
        <v>0</v>
      </c>
      <c r="AE102">
        <v>9</v>
      </c>
      <c r="AF102" t="s">
        <v>128</v>
      </c>
      <c r="AG102">
        <v>0</v>
      </c>
      <c r="AH102">
        <v>0</v>
      </c>
      <c r="AI102">
        <v>1</v>
      </c>
      <c r="AJ102">
        <v>0</v>
      </c>
      <c r="AK102" t="s">
        <v>184</v>
      </c>
      <c r="AL102">
        <v>33.664341</v>
      </c>
      <c r="AM102" t="s">
        <v>185</v>
      </c>
      <c r="AN102">
        <v>-101.20142</v>
      </c>
      <c r="AO102">
        <v>100</v>
      </c>
      <c r="AP102">
        <v>3300</v>
      </c>
      <c r="AQ102" t="s">
        <v>131</v>
      </c>
      <c r="AR102">
        <v>-11</v>
      </c>
      <c r="AS102">
        <v>73</v>
      </c>
      <c r="AT102">
        <v>0</v>
      </c>
      <c r="BB102" t="str">
        <f t="shared" si="7"/>
        <v>1200</v>
      </c>
      <c r="BC102">
        <v>1</v>
      </c>
      <c r="BD102" t="str">
        <f t="shared" si="8"/>
        <v xml:space="preserve">N445JS  </v>
      </c>
      <c r="BE102">
        <v>7</v>
      </c>
      <c r="BG102">
        <v>0</v>
      </c>
      <c r="BH102">
        <v>0</v>
      </c>
      <c r="BI102">
        <v>0</v>
      </c>
      <c r="BJ102">
        <v>3075</v>
      </c>
      <c r="BK102">
        <v>-225</v>
      </c>
      <c r="BL102" t="s">
        <v>132</v>
      </c>
      <c r="BM102">
        <v>1</v>
      </c>
      <c r="BN102">
        <v>1</v>
      </c>
      <c r="BO102">
        <v>1</v>
      </c>
      <c r="BP102">
        <v>0</v>
      </c>
      <c r="BT102">
        <v>0</v>
      </c>
      <c r="BU102">
        <v>0</v>
      </c>
      <c r="CE102" t="str">
        <f>"15:37:54.476"</f>
        <v>15:37:54.476</v>
      </c>
      <c r="CF102">
        <v>475900752</v>
      </c>
      <c r="CS102">
        <v>0</v>
      </c>
      <c r="CT102">
        <v>2</v>
      </c>
      <c r="CU102">
        <v>0</v>
      </c>
      <c r="CV102">
        <v>2</v>
      </c>
      <c r="CW102">
        <v>0</v>
      </c>
      <c r="CX102">
        <v>7</v>
      </c>
      <c r="CY102">
        <v>7</v>
      </c>
      <c r="CZ102" t="s">
        <v>133</v>
      </c>
      <c r="DA102">
        <v>125</v>
      </c>
      <c r="DB102">
        <v>0</v>
      </c>
      <c r="DC102" t="s">
        <v>134</v>
      </c>
      <c r="DD102" t="s">
        <v>135</v>
      </c>
      <c r="DG102">
        <v>3418227</v>
      </c>
      <c r="DI102">
        <v>0</v>
      </c>
      <c r="DJ102">
        <v>0</v>
      </c>
      <c r="DK102">
        <v>0</v>
      </c>
      <c r="DL102">
        <v>0</v>
      </c>
      <c r="DM102">
        <v>0</v>
      </c>
      <c r="DN102">
        <v>0</v>
      </c>
      <c r="DO102">
        <v>0</v>
      </c>
      <c r="DP102">
        <v>0</v>
      </c>
      <c r="DQ102">
        <v>0</v>
      </c>
      <c r="DR102">
        <v>0</v>
      </c>
      <c r="DS102">
        <v>0</v>
      </c>
    </row>
    <row r="103" spans="1:123" x14ac:dyDescent="0.25">
      <c r="A103" t="str">
        <f>"04/17/2026 15:37:54.735"</f>
        <v>04/17/2026 15:37:54.735</v>
      </c>
      <c r="C103" t="str">
        <f t="shared" si="5"/>
        <v>FFDFD3C0</v>
      </c>
      <c r="D103" t="s">
        <v>124</v>
      </c>
      <c r="E103" t="str">
        <f>"03"</f>
        <v>03</v>
      </c>
      <c r="H103">
        <v>160</v>
      </c>
      <c r="I103" t="s">
        <v>125</v>
      </c>
      <c r="J103" t="s">
        <v>126</v>
      </c>
      <c r="K103">
        <v>0</v>
      </c>
      <c r="L103">
        <v>3</v>
      </c>
      <c r="M103">
        <v>0</v>
      </c>
      <c r="N103">
        <v>2</v>
      </c>
      <c r="O103">
        <v>1</v>
      </c>
      <c r="P103">
        <v>0</v>
      </c>
      <c r="Q103">
        <v>0</v>
      </c>
      <c r="R103" t="s">
        <v>127</v>
      </c>
      <c r="S103" t="str">
        <f>"15:37:54.469"</f>
        <v>15:37:54.469</v>
      </c>
      <c r="T103" t="str">
        <f>"15:37:54.169"</f>
        <v>15:37:54.169</v>
      </c>
      <c r="U103" t="str">
        <f t="shared" si="6"/>
        <v>A55E09</v>
      </c>
      <c r="V103">
        <v>0</v>
      </c>
      <c r="W103">
        <v>0</v>
      </c>
      <c r="X103">
        <v>2</v>
      </c>
      <c r="Y103">
        <v>0</v>
      </c>
      <c r="AA103">
        <v>0</v>
      </c>
      <c r="AB103">
        <v>9</v>
      </c>
      <c r="AC103">
        <v>3</v>
      </c>
      <c r="AD103">
        <v>0</v>
      </c>
      <c r="AE103">
        <v>9</v>
      </c>
      <c r="AF103" t="s">
        <v>128</v>
      </c>
      <c r="AG103">
        <v>0</v>
      </c>
      <c r="AH103">
        <v>0</v>
      </c>
      <c r="AI103">
        <v>1</v>
      </c>
      <c r="AJ103">
        <v>0</v>
      </c>
      <c r="AK103" t="s">
        <v>184</v>
      </c>
      <c r="AL103">
        <v>33.664341</v>
      </c>
      <c r="AM103" t="s">
        <v>185</v>
      </c>
      <c r="AN103">
        <v>-101.20142</v>
      </c>
      <c r="AO103">
        <v>100</v>
      </c>
      <c r="AP103">
        <v>3300</v>
      </c>
      <c r="AQ103" t="s">
        <v>131</v>
      </c>
      <c r="AR103">
        <v>-11</v>
      </c>
      <c r="AS103">
        <v>73</v>
      </c>
      <c r="AT103">
        <v>0</v>
      </c>
      <c r="BB103" t="str">
        <f t="shared" si="7"/>
        <v>1200</v>
      </c>
      <c r="BC103">
        <v>1</v>
      </c>
      <c r="BD103" t="str">
        <f t="shared" si="8"/>
        <v xml:space="preserve">N445JS  </v>
      </c>
      <c r="BE103">
        <v>7</v>
      </c>
      <c r="BG103">
        <v>0</v>
      </c>
      <c r="BH103">
        <v>0</v>
      </c>
      <c r="BI103">
        <v>0</v>
      </c>
      <c r="BJ103">
        <v>3075</v>
      </c>
      <c r="BK103">
        <v>-225</v>
      </c>
      <c r="BL103" t="s">
        <v>132</v>
      </c>
      <c r="BM103">
        <v>1</v>
      </c>
      <c r="BN103">
        <v>1</v>
      </c>
      <c r="BO103">
        <v>1</v>
      </c>
      <c r="BP103">
        <v>0</v>
      </c>
      <c r="BT103">
        <v>0</v>
      </c>
      <c r="BU103">
        <v>0</v>
      </c>
      <c r="CE103" t="str">
        <f>"15:37:54.476"</f>
        <v>15:37:54.476</v>
      </c>
      <c r="CF103">
        <v>475900752</v>
      </c>
      <c r="CS103">
        <v>0</v>
      </c>
      <c r="CT103">
        <v>2</v>
      </c>
      <c r="CU103">
        <v>0</v>
      </c>
      <c r="CV103">
        <v>2</v>
      </c>
      <c r="CW103">
        <v>0</v>
      </c>
      <c r="CX103">
        <v>7</v>
      </c>
      <c r="CY103">
        <v>7</v>
      </c>
      <c r="CZ103" t="s">
        <v>133</v>
      </c>
      <c r="DA103">
        <v>125</v>
      </c>
      <c r="DB103">
        <v>0</v>
      </c>
      <c r="DC103" t="s">
        <v>134</v>
      </c>
      <c r="DD103" t="s">
        <v>135</v>
      </c>
      <c r="DG103">
        <v>3418227</v>
      </c>
      <c r="DI103">
        <v>0</v>
      </c>
      <c r="DJ103">
        <v>0</v>
      </c>
      <c r="DK103">
        <v>1</v>
      </c>
      <c r="DL103">
        <v>0</v>
      </c>
      <c r="DM103">
        <v>0</v>
      </c>
      <c r="DN103">
        <v>0</v>
      </c>
      <c r="DO103">
        <v>0</v>
      </c>
      <c r="DP103">
        <v>0</v>
      </c>
      <c r="DQ103">
        <v>0</v>
      </c>
      <c r="DR103">
        <v>0</v>
      </c>
      <c r="DS103">
        <v>0</v>
      </c>
    </row>
    <row r="104" spans="1:123" x14ac:dyDescent="0.25">
      <c r="A104" t="str">
        <f>"04/17/2026 15:37:54.737"</f>
        <v>04/17/2026 15:37:54.737</v>
      </c>
      <c r="C104" t="str">
        <f t="shared" si="5"/>
        <v>FFDFD3C0</v>
      </c>
      <c r="D104" t="s">
        <v>136</v>
      </c>
      <c r="E104" t="str">
        <f>"0F"</f>
        <v>0F</v>
      </c>
      <c r="F104">
        <v>1015</v>
      </c>
      <c r="G104" t="s">
        <v>138</v>
      </c>
      <c r="J104" t="s">
        <v>137</v>
      </c>
      <c r="K104">
        <v>0</v>
      </c>
      <c r="L104">
        <v>3</v>
      </c>
      <c r="M104">
        <v>0</v>
      </c>
      <c r="N104">
        <v>2</v>
      </c>
      <c r="O104">
        <v>1</v>
      </c>
      <c r="P104">
        <v>0</v>
      </c>
      <c r="Q104">
        <v>0</v>
      </c>
      <c r="R104" t="s">
        <v>127</v>
      </c>
      <c r="S104" t="str">
        <f>"15:37:54.469"</f>
        <v>15:37:54.469</v>
      </c>
      <c r="T104" t="str">
        <f>"15:37:54.169"</f>
        <v>15:37:54.169</v>
      </c>
      <c r="U104" t="str">
        <f t="shared" si="6"/>
        <v>A55E09</v>
      </c>
      <c r="V104">
        <v>0</v>
      </c>
      <c r="W104">
        <v>0</v>
      </c>
      <c r="X104">
        <v>2</v>
      </c>
      <c r="Y104">
        <v>0</v>
      </c>
      <c r="AA104">
        <v>0</v>
      </c>
      <c r="AB104">
        <v>9</v>
      </c>
      <c r="AC104">
        <v>3</v>
      </c>
      <c r="AD104">
        <v>0</v>
      </c>
      <c r="AE104">
        <v>9</v>
      </c>
      <c r="AF104" t="s">
        <v>128</v>
      </c>
      <c r="AG104">
        <v>0</v>
      </c>
      <c r="AH104">
        <v>0</v>
      </c>
      <c r="AI104">
        <v>1</v>
      </c>
      <c r="AJ104">
        <v>0</v>
      </c>
      <c r="AK104" t="s">
        <v>184</v>
      </c>
      <c r="AL104">
        <v>33.664341</v>
      </c>
      <c r="AM104" t="s">
        <v>185</v>
      </c>
      <c r="AN104">
        <v>-101.20142</v>
      </c>
      <c r="AO104">
        <v>100</v>
      </c>
      <c r="AP104">
        <v>3300</v>
      </c>
      <c r="AQ104" t="s">
        <v>131</v>
      </c>
      <c r="AR104">
        <v>-11</v>
      </c>
      <c r="AS104">
        <v>73</v>
      </c>
      <c r="AT104">
        <v>0</v>
      </c>
      <c r="BB104" t="str">
        <f t="shared" si="7"/>
        <v>1200</v>
      </c>
      <c r="BC104">
        <v>1</v>
      </c>
      <c r="BD104" t="str">
        <f t="shared" si="8"/>
        <v xml:space="preserve">N445JS  </v>
      </c>
      <c r="BE104">
        <v>7</v>
      </c>
      <c r="BG104">
        <v>0</v>
      </c>
      <c r="BH104">
        <v>0</v>
      </c>
      <c r="BI104">
        <v>0</v>
      </c>
      <c r="BJ104">
        <v>3075</v>
      </c>
      <c r="BK104">
        <v>-225</v>
      </c>
      <c r="BL104" t="s">
        <v>132</v>
      </c>
      <c r="BM104">
        <v>1</v>
      </c>
      <c r="BN104">
        <v>1</v>
      </c>
      <c r="BO104">
        <v>1</v>
      </c>
      <c r="BP104">
        <v>0</v>
      </c>
      <c r="BT104">
        <v>0</v>
      </c>
      <c r="BU104">
        <v>0</v>
      </c>
      <c r="CE104" t="str">
        <f>"15:37:54.476"</f>
        <v>15:37:54.476</v>
      </c>
      <c r="CF104">
        <v>475900752</v>
      </c>
      <c r="CS104">
        <v>0</v>
      </c>
      <c r="CT104">
        <v>2</v>
      </c>
      <c r="CU104">
        <v>0</v>
      </c>
      <c r="CV104">
        <v>2</v>
      </c>
      <c r="CW104">
        <v>0</v>
      </c>
      <c r="CX104">
        <v>7</v>
      </c>
      <c r="CY104">
        <v>7</v>
      </c>
      <c r="CZ104" t="s">
        <v>133</v>
      </c>
      <c r="DA104">
        <v>125</v>
      </c>
      <c r="DB104">
        <v>0</v>
      </c>
      <c r="DC104" t="s">
        <v>134</v>
      </c>
      <c r="DD104" t="s">
        <v>135</v>
      </c>
      <c r="DG104">
        <v>3418227</v>
      </c>
      <c r="DI104">
        <v>0</v>
      </c>
      <c r="DJ104">
        <v>0</v>
      </c>
      <c r="DK104">
        <v>1</v>
      </c>
      <c r="DL104">
        <v>0</v>
      </c>
      <c r="DM104">
        <v>0</v>
      </c>
      <c r="DN104">
        <v>0</v>
      </c>
      <c r="DO104">
        <v>0</v>
      </c>
      <c r="DP104">
        <v>0</v>
      </c>
      <c r="DQ104">
        <v>0</v>
      </c>
      <c r="DR104">
        <v>0</v>
      </c>
      <c r="DS104">
        <v>0</v>
      </c>
    </row>
    <row r="105" spans="1:123" x14ac:dyDescent="0.25">
      <c r="A105" t="str">
        <f>"04/17/2026 15:37:54.736"</f>
        <v>04/17/2026 15:37:54.736</v>
      </c>
      <c r="C105" t="str">
        <f t="shared" si="5"/>
        <v>FFDFD3C0</v>
      </c>
      <c r="D105" t="s">
        <v>136</v>
      </c>
      <c r="E105" t="str">
        <f>"0E"</f>
        <v>0E</v>
      </c>
      <c r="F105">
        <v>1014</v>
      </c>
      <c r="G105" t="s">
        <v>125</v>
      </c>
      <c r="J105" t="s">
        <v>137</v>
      </c>
      <c r="K105">
        <v>0</v>
      </c>
      <c r="L105">
        <v>3</v>
      </c>
      <c r="M105">
        <v>0</v>
      </c>
      <c r="N105">
        <v>2</v>
      </c>
      <c r="O105">
        <v>1</v>
      </c>
      <c r="P105">
        <v>0</v>
      </c>
      <c r="Q105">
        <v>0</v>
      </c>
      <c r="R105" t="s">
        <v>127</v>
      </c>
      <c r="S105" t="str">
        <f>"15:37:54.469"</f>
        <v>15:37:54.469</v>
      </c>
      <c r="T105" t="str">
        <f>"15:37:54.169"</f>
        <v>15:37:54.169</v>
      </c>
      <c r="U105" t="str">
        <f t="shared" si="6"/>
        <v>A55E09</v>
      </c>
      <c r="V105">
        <v>0</v>
      </c>
      <c r="W105">
        <v>0</v>
      </c>
      <c r="X105">
        <v>2</v>
      </c>
      <c r="Y105">
        <v>0</v>
      </c>
      <c r="AA105">
        <v>0</v>
      </c>
      <c r="AB105">
        <v>9</v>
      </c>
      <c r="AC105">
        <v>3</v>
      </c>
      <c r="AD105">
        <v>0</v>
      </c>
      <c r="AE105">
        <v>9</v>
      </c>
      <c r="AF105" t="s">
        <v>128</v>
      </c>
      <c r="AG105">
        <v>0</v>
      </c>
      <c r="AH105">
        <v>0</v>
      </c>
      <c r="AI105">
        <v>1</v>
      </c>
      <c r="AJ105">
        <v>0</v>
      </c>
      <c r="AK105" t="s">
        <v>184</v>
      </c>
      <c r="AL105">
        <v>33.664341</v>
      </c>
      <c r="AM105" t="s">
        <v>185</v>
      </c>
      <c r="AN105">
        <v>-101.20142</v>
      </c>
      <c r="AO105">
        <v>100</v>
      </c>
      <c r="AP105">
        <v>3300</v>
      </c>
      <c r="AQ105" t="s">
        <v>131</v>
      </c>
      <c r="AR105">
        <v>-11</v>
      </c>
      <c r="AS105">
        <v>73</v>
      </c>
      <c r="AT105">
        <v>0</v>
      </c>
      <c r="BB105" t="str">
        <f t="shared" si="7"/>
        <v>1200</v>
      </c>
      <c r="BC105">
        <v>1</v>
      </c>
      <c r="BD105" t="str">
        <f t="shared" si="8"/>
        <v xml:space="preserve">N445JS  </v>
      </c>
      <c r="BE105">
        <v>7</v>
      </c>
      <c r="BG105">
        <v>0</v>
      </c>
      <c r="BH105">
        <v>0</v>
      </c>
      <c r="BI105">
        <v>0</v>
      </c>
      <c r="BJ105">
        <v>3075</v>
      </c>
      <c r="BK105">
        <v>-225</v>
      </c>
      <c r="BL105" t="s">
        <v>132</v>
      </c>
      <c r="BM105">
        <v>1</v>
      </c>
      <c r="BN105">
        <v>1</v>
      </c>
      <c r="BO105">
        <v>1</v>
      </c>
      <c r="BP105">
        <v>0</v>
      </c>
      <c r="BT105">
        <v>0</v>
      </c>
      <c r="BU105">
        <v>0</v>
      </c>
      <c r="CE105" t="str">
        <f>"15:37:54.476"</f>
        <v>15:37:54.476</v>
      </c>
      <c r="CF105">
        <v>475900752</v>
      </c>
      <c r="CS105">
        <v>0</v>
      </c>
      <c r="CT105">
        <v>2</v>
      </c>
      <c r="CU105">
        <v>0</v>
      </c>
      <c r="CV105">
        <v>2</v>
      </c>
      <c r="CW105">
        <v>0</v>
      </c>
      <c r="CX105">
        <v>7</v>
      </c>
      <c r="CY105">
        <v>7</v>
      </c>
      <c r="CZ105" t="s">
        <v>133</v>
      </c>
      <c r="DA105">
        <v>125</v>
      </c>
      <c r="DB105">
        <v>0</v>
      </c>
      <c r="DC105" t="s">
        <v>134</v>
      </c>
      <c r="DD105" t="s">
        <v>135</v>
      </c>
      <c r="DG105">
        <v>3418227</v>
      </c>
      <c r="DI105">
        <v>0</v>
      </c>
      <c r="DJ105">
        <v>0</v>
      </c>
      <c r="DK105">
        <v>1</v>
      </c>
      <c r="DL105">
        <v>0</v>
      </c>
      <c r="DM105">
        <v>0</v>
      </c>
      <c r="DN105">
        <v>0</v>
      </c>
      <c r="DO105">
        <v>0</v>
      </c>
      <c r="DP105">
        <v>0</v>
      </c>
      <c r="DQ105">
        <v>0</v>
      </c>
      <c r="DR105">
        <v>0</v>
      </c>
      <c r="DS105">
        <v>0</v>
      </c>
    </row>
    <row r="106" spans="1:123" x14ac:dyDescent="0.25">
      <c r="A106" t="str">
        <f>"04/17/2026 15:37:55.786"</f>
        <v>04/17/2026 15:37:55.786</v>
      </c>
      <c r="C106" t="str">
        <f t="shared" si="5"/>
        <v>FFDFD3C0</v>
      </c>
      <c r="D106" t="s">
        <v>124</v>
      </c>
      <c r="E106" t="str">
        <f>"03"</f>
        <v>03</v>
      </c>
      <c r="H106">
        <v>160</v>
      </c>
      <c r="I106" t="s">
        <v>125</v>
      </c>
      <c r="J106" t="s">
        <v>126</v>
      </c>
      <c r="K106">
        <v>0</v>
      </c>
      <c r="L106">
        <v>3</v>
      </c>
      <c r="M106">
        <v>0</v>
      </c>
      <c r="N106">
        <v>2</v>
      </c>
      <c r="O106">
        <v>1</v>
      </c>
      <c r="P106">
        <v>0</v>
      </c>
      <c r="Q106">
        <v>0</v>
      </c>
      <c r="R106" t="s">
        <v>127</v>
      </c>
      <c r="S106" t="str">
        <f>"15:37:55.570"</f>
        <v>15:37:55.570</v>
      </c>
      <c r="T106" t="str">
        <f>"15:37:55.170"</f>
        <v>15:37:55.170</v>
      </c>
      <c r="U106" t="str">
        <f t="shared" si="6"/>
        <v>A55E09</v>
      </c>
      <c r="V106">
        <v>0</v>
      </c>
      <c r="W106">
        <v>0</v>
      </c>
      <c r="X106">
        <v>2</v>
      </c>
      <c r="Y106">
        <v>0</v>
      </c>
      <c r="AA106">
        <v>0</v>
      </c>
      <c r="AB106">
        <v>9</v>
      </c>
      <c r="AC106">
        <v>3</v>
      </c>
      <c r="AD106">
        <v>0</v>
      </c>
      <c r="AE106">
        <v>9</v>
      </c>
      <c r="AF106" t="s">
        <v>128</v>
      </c>
      <c r="AG106">
        <v>0</v>
      </c>
      <c r="AH106">
        <v>0</v>
      </c>
      <c r="AI106">
        <v>1</v>
      </c>
      <c r="AJ106">
        <v>0</v>
      </c>
      <c r="AK106" t="s">
        <v>186</v>
      </c>
      <c r="AL106">
        <v>33.664706000000002</v>
      </c>
      <c r="AM106" t="s">
        <v>187</v>
      </c>
      <c r="AN106">
        <v>-101.201527</v>
      </c>
      <c r="AO106">
        <v>100</v>
      </c>
      <c r="AP106">
        <v>3300</v>
      </c>
      <c r="AQ106" t="s">
        <v>131</v>
      </c>
      <c r="AR106">
        <v>-11</v>
      </c>
      <c r="AS106">
        <v>74</v>
      </c>
      <c r="AT106">
        <v>-64</v>
      </c>
      <c r="BB106" t="str">
        <f t="shared" si="7"/>
        <v>1200</v>
      </c>
      <c r="BC106">
        <v>1</v>
      </c>
      <c r="BD106" t="str">
        <f t="shared" si="8"/>
        <v xml:space="preserve">N445JS  </v>
      </c>
      <c r="BE106">
        <v>7</v>
      </c>
      <c r="BG106">
        <v>0</v>
      </c>
      <c r="BH106">
        <v>0</v>
      </c>
      <c r="BI106">
        <v>0</v>
      </c>
      <c r="BJ106">
        <v>3075</v>
      </c>
      <c r="BK106">
        <v>-225</v>
      </c>
      <c r="BL106" t="s">
        <v>132</v>
      </c>
      <c r="BM106">
        <v>1</v>
      </c>
      <c r="BN106">
        <v>1</v>
      </c>
      <c r="BO106">
        <v>1</v>
      </c>
      <c r="BP106">
        <v>0</v>
      </c>
      <c r="BT106">
        <v>0</v>
      </c>
      <c r="BU106">
        <v>0</v>
      </c>
      <c r="CE106" t="str">
        <f>"15:37:55.571"</f>
        <v>15:37:55.571</v>
      </c>
      <c r="CF106">
        <v>570793400</v>
      </c>
      <c r="CS106">
        <v>0</v>
      </c>
      <c r="CT106">
        <v>2</v>
      </c>
      <c r="CU106">
        <v>0</v>
      </c>
      <c r="CV106">
        <v>2</v>
      </c>
      <c r="CW106">
        <v>0</v>
      </c>
      <c r="CX106">
        <v>7</v>
      </c>
      <c r="CY106">
        <v>7</v>
      </c>
      <c r="CZ106" t="s">
        <v>133</v>
      </c>
      <c r="DA106">
        <v>125</v>
      </c>
      <c r="DB106">
        <v>1</v>
      </c>
      <c r="DC106" t="s">
        <v>134</v>
      </c>
      <c r="DD106" t="s">
        <v>135</v>
      </c>
      <c r="DG106">
        <v>2466214</v>
      </c>
      <c r="DI106">
        <v>0</v>
      </c>
      <c r="DJ106">
        <v>0</v>
      </c>
      <c r="DK106">
        <v>0</v>
      </c>
      <c r="DL106">
        <v>0</v>
      </c>
      <c r="DM106">
        <v>0</v>
      </c>
      <c r="DN106">
        <v>0</v>
      </c>
      <c r="DO106">
        <v>0</v>
      </c>
      <c r="DP106">
        <v>0</v>
      </c>
      <c r="DQ106">
        <v>0</v>
      </c>
      <c r="DR106">
        <v>0</v>
      </c>
      <c r="DS106">
        <v>0</v>
      </c>
    </row>
    <row r="107" spans="1:123" x14ac:dyDescent="0.25">
      <c r="A107" t="str">
        <f>"04/17/2026 15:37:55.789"</f>
        <v>04/17/2026 15:37:55.789</v>
      </c>
      <c r="C107" t="str">
        <f t="shared" si="5"/>
        <v>FFDFD3C0</v>
      </c>
      <c r="D107" t="s">
        <v>136</v>
      </c>
      <c r="E107" t="str">
        <f>"0F"</f>
        <v>0F</v>
      </c>
      <c r="F107">
        <v>1015</v>
      </c>
      <c r="G107" t="s">
        <v>138</v>
      </c>
      <c r="J107" t="s">
        <v>137</v>
      </c>
      <c r="K107">
        <v>0</v>
      </c>
      <c r="L107">
        <v>3</v>
      </c>
      <c r="M107">
        <v>0</v>
      </c>
      <c r="N107">
        <v>2</v>
      </c>
      <c r="O107">
        <v>1</v>
      </c>
      <c r="P107">
        <v>0</v>
      </c>
      <c r="Q107">
        <v>0</v>
      </c>
      <c r="R107" t="s">
        <v>127</v>
      </c>
      <c r="S107" t="str">
        <f>"15:37:55.570"</f>
        <v>15:37:55.570</v>
      </c>
      <c r="T107" t="str">
        <f>"15:37:55.170"</f>
        <v>15:37:55.170</v>
      </c>
      <c r="U107" t="str">
        <f t="shared" si="6"/>
        <v>A55E09</v>
      </c>
      <c r="V107">
        <v>0</v>
      </c>
      <c r="W107">
        <v>0</v>
      </c>
      <c r="X107">
        <v>2</v>
      </c>
      <c r="Y107">
        <v>0</v>
      </c>
      <c r="AA107">
        <v>0</v>
      </c>
      <c r="AB107">
        <v>9</v>
      </c>
      <c r="AC107">
        <v>3</v>
      </c>
      <c r="AD107">
        <v>0</v>
      </c>
      <c r="AE107">
        <v>9</v>
      </c>
      <c r="AF107" t="s">
        <v>128</v>
      </c>
      <c r="AG107">
        <v>0</v>
      </c>
      <c r="AH107">
        <v>0</v>
      </c>
      <c r="AI107">
        <v>1</v>
      </c>
      <c r="AJ107">
        <v>0</v>
      </c>
      <c r="AK107" t="s">
        <v>186</v>
      </c>
      <c r="AL107">
        <v>33.664706000000002</v>
      </c>
      <c r="AM107" t="s">
        <v>187</v>
      </c>
      <c r="AN107">
        <v>-101.201527</v>
      </c>
      <c r="AO107">
        <v>100</v>
      </c>
      <c r="AP107">
        <v>3300</v>
      </c>
      <c r="AQ107" t="s">
        <v>131</v>
      </c>
      <c r="AR107">
        <v>-11</v>
      </c>
      <c r="AS107">
        <v>74</v>
      </c>
      <c r="AT107">
        <v>-64</v>
      </c>
      <c r="BB107" t="str">
        <f t="shared" si="7"/>
        <v>1200</v>
      </c>
      <c r="BC107">
        <v>1</v>
      </c>
      <c r="BD107" t="str">
        <f t="shared" si="8"/>
        <v xml:space="preserve">N445JS  </v>
      </c>
      <c r="BE107">
        <v>7</v>
      </c>
      <c r="BG107">
        <v>0</v>
      </c>
      <c r="BH107">
        <v>0</v>
      </c>
      <c r="BI107">
        <v>0</v>
      </c>
      <c r="BJ107">
        <v>3075</v>
      </c>
      <c r="BK107">
        <v>-225</v>
      </c>
      <c r="BL107" t="s">
        <v>132</v>
      </c>
      <c r="BM107">
        <v>1</v>
      </c>
      <c r="BN107">
        <v>1</v>
      </c>
      <c r="BO107">
        <v>1</v>
      </c>
      <c r="BP107">
        <v>0</v>
      </c>
      <c r="BT107">
        <v>0</v>
      </c>
      <c r="BU107">
        <v>0</v>
      </c>
      <c r="CE107" t="str">
        <f>"15:37:55.571"</f>
        <v>15:37:55.571</v>
      </c>
      <c r="CF107">
        <v>570793400</v>
      </c>
      <c r="CS107">
        <v>0</v>
      </c>
      <c r="CT107">
        <v>2</v>
      </c>
      <c r="CU107">
        <v>0</v>
      </c>
      <c r="CV107">
        <v>2</v>
      </c>
      <c r="CW107">
        <v>0</v>
      </c>
      <c r="CX107">
        <v>7</v>
      </c>
      <c r="CY107">
        <v>7</v>
      </c>
      <c r="CZ107" t="s">
        <v>133</v>
      </c>
      <c r="DA107">
        <v>125</v>
      </c>
      <c r="DB107">
        <v>1</v>
      </c>
      <c r="DC107" t="s">
        <v>134</v>
      </c>
      <c r="DD107" t="s">
        <v>135</v>
      </c>
      <c r="DG107">
        <v>2466214</v>
      </c>
      <c r="DI107">
        <v>0</v>
      </c>
      <c r="DJ107">
        <v>0</v>
      </c>
      <c r="DK107">
        <v>1</v>
      </c>
      <c r="DL107">
        <v>0</v>
      </c>
      <c r="DM107">
        <v>0</v>
      </c>
      <c r="DN107">
        <v>0</v>
      </c>
      <c r="DO107">
        <v>0</v>
      </c>
      <c r="DP107">
        <v>0</v>
      </c>
      <c r="DQ107">
        <v>0</v>
      </c>
      <c r="DR107">
        <v>0</v>
      </c>
      <c r="DS107">
        <v>0</v>
      </c>
    </row>
    <row r="108" spans="1:123" x14ac:dyDescent="0.25">
      <c r="A108" t="str">
        <f>"04/17/2026 15:37:55.788"</f>
        <v>04/17/2026 15:37:55.788</v>
      </c>
      <c r="C108" t="str">
        <f t="shared" si="5"/>
        <v>FFDFD3C0</v>
      </c>
      <c r="D108" t="s">
        <v>136</v>
      </c>
      <c r="E108" t="str">
        <f>"0E"</f>
        <v>0E</v>
      </c>
      <c r="F108">
        <v>1014</v>
      </c>
      <c r="G108" t="s">
        <v>125</v>
      </c>
      <c r="J108" t="s">
        <v>137</v>
      </c>
      <c r="K108">
        <v>0</v>
      </c>
      <c r="L108">
        <v>3</v>
      </c>
      <c r="M108">
        <v>0</v>
      </c>
      <c r="N108">
        <v>2</v>
      </c>
      <c r="O108">
        <v>1</v>
      </c>
      <c r="P108">
        <v>0</v>
      </c>
      <c r="Q108">
        <v>0</v>
      </c>
      <c r="R108" t="s">
        <v>127</v>
      </c>
      <c r="S108" t="str">
        <f>"15:37:55.570"</f>
        <v>15:37:55.570</v>
      </c>
      <c r="T108" t="str">
        <f>"15:37:55.170"</f>
        <v>15:37:55.170</v>
      </c>
      <c r="U108" t="str">
        <f t="shared" si="6"/>
        <v>A55E09</v>
      </c>
      <c r="V108">
        <v>0</v>
      </c>
      <c r="W108">
        <v>0</v>
      </c>
      <c r="X108">
        <v>2</v>
      </c>
      <c r="Y108">
        <v>0</v>
      </c>
      <c r="AA108">
        <v>0</v>
      </c>
      <c r="AB108">
        <v>9</v>
      </c>
      <c r="AC108">
        <v>3</v>
      </c>
      <c r="AD108">
        <v>0</v>
      </c>
      <c r="AE108">
        <v>9</v>
      </c>
      <c r="AF108" t="s">
        <v>128</v>
      </c>
      <c r="AG108">
        <v>0</v>
      </c>
      <c r="AH108">
        <v>0</v>
      </c>
      <c r="AI108">
        <v>1</v>
      </c>
      <c r="AJ108">
        <v>0</v>
      </c>
      <c r="AK108" t="s">
        <v>186</v>
      </c>
      <c r="AL108">
        <v>33.664706000000002</v>
      </c>
      <c r="AM108" t="s">
        <v>187</v>
      </c>
      <c r="AN108">
        <v>-101.201527</v>
      </c>
      <c r="AO108">
        <v>100</v>
      </c>
      <c r="AP108">
        <v>3300</v>
      </c>
      <c r="AQ108" t="s">
        <v>131</v>
      </c>
      <c r="AR108">
        <v>-11</v>
      </c>
      <c r="AS108">
        <v>74</v>
      </c>
      <c r="AT108">
        <v>-64</v>
      </c>
      <c r="BB108" t="str">
        <f t="shared" si="7"/>
        <v>1200</v>
      </c>
      <c r="BC108">
        <v>1</v>
      </c>
      <c r="BD108" t="str">
        <f t="shared" si="8"/>
        <v xml:space="preserve">N445JS  </v>
      </c>
      <c r="BE108">
        <v>7</v>
      </c>
      <c r="BG108">
        <v>0</v>
      </c>
      <c r="BH108">
        <v>0</v>
      </c>
      <c r="BI108">
        <v>0</v>
      </c>
      <c r="BJ108">
        <v>3075</v>
      </c>
      <c r="BK108">
        <v>-225</v>
      </c>
      <c r="BL108" t="s">
        <v>132</v>
      </c>
      <c r="BM108">
        <v>1</v>
      </c>
      <c r="BN108">
        <v>1</v>
      </c>
      <c r="BO108">
        <v>1</v>
      </c>
      <c r="BP108">
        <v>0</v>
      </c>
      <c r="BT108">
        <v>0</v>
      </c>
      <c r="BU108">
        <v>0</v>
      </c>
      <c r="CE108" t="str">
        <f>"15:37:55.571"</f>
        <v>15:37:55.571</v>
      </c>
      <c r="CF108">
        <v>570793400</v>
      </c>
      <c r="CS108">
        <v>0</v>
      </c>
      <c r="CT108">
        <v>2</v>
      </c>
      <c r="CU108">
        <v>0</v>
      </c>
      <c r="CV108">
        <v>2</v>
      </c>
      <c r="CW108">
        <v>0</v>
      </c>
      <c r="CX108">
        <v>7</v>
      </c>
      <c r="CY108">
        <v>7</v>
      </c>
      <c r="CZ108" t="s">
        <v>133</v>
      </c>
      <c r="DA108">
        <v>125</v>
      </c>
      <c r="DB108">
        <v>1</v>
      </c>
      <c r="DC108" t="s">
        <v>134</v>
      </c>
      <c r="DD108" t="s">
        <v>135</v>
      </c>
      <c r="DG108">
        <v>2466214</v>
      </c>
      <c r="DI108">
        <v>0</v>
      </c>
      <c r="DJ108">
        <v>0</v>
      </c>
      <c r="DK108">
        <v>1</v>
      </c>
      <c r="DL108">
        <v>0</v>
      </c>
      <c r="DM108">
        <v>0</v>
      </c>
      <c r="DN108">
        <v>0</v>
      </c>
      <c r="DO108">
        <v>0</v>
      </c>
      <c r="DP108">
        <v>0</v>
      </c>
      <c r="DQ108">
        <v>0</v>
      </c>
      <c r="DR108">
        <v>0</v>
      </c>
      <c r="DS108">
        <v>0</v>
      </c>
    </row>
    <row r="109" spans="1:123" x14ac:dyDescent="0.25">
      <c r="A109" t="str">
        <f>"04/17/2026 15:37:55.812"</f>
        <v>04/17/2026 15:37:55.812</v>
      </c>
      <c r="C109" t="str">
        <f t="shared" si="5"/>
        <v>FFDFD3C0</v>
      </c>
      <c r="D109" t="s">
        <v>139</v>
      </c>
      <c r="E109" t="str">
        <f>"28"</f>
        <v>28</v>
      </c>
      <c r="H109">
        <v>140</v>
      </c>
      <c r="I109" t="s">
        <v>140</v>
      </c>
      <c r="J109" t="s">
        <v>141</v>
      </c>
      <c r="K109">
        <v>0</v>
      </c>
      <c r="L109">
        <v>3</v>
      </c>
      <c r="M109">
        <v>0</v>
      </c>
      <c r="N109">
        <v>2</v>
      </c>
      <c r="O109">
        <v>1</v>
      </c>
      <c r="P109">
        <v>0</v>
      </c>
      <c r="Q109">
        <v>0</v>
      </c>
      <c r="R109" t="s">
        <v>127</v>
      </c>
      <c r="S109" t="str">
        <f>"15:37:55.570"</f>
        <v>15:37:55.570</v>
      </c>
      <c r="T109" t="str">
        <f>"15:37:55.170"</f>
        <v>15:37:55.170</v>
      </c>
      <c r="U109" t="str">
        <f t="shared" si="6"/>
        <v>A55E09</v>
      </c>
      <c r="V109">
        <v>0</v>
      </c>
      <c r="W109">
        <v>0</v>
      </c>
      <c r="X109">
        <v>2</v>
      </c>
      <c r="Y109">
        <v>0</v>
      </c>
      <c r="AA109">
        <v>0</v>
      </c>
      <c r="AB109">
        <v>9</v>
      </c>
      <c r="AC109">
        <v>3</v>
      </c>
      <c r="AD109">
        <v>0</v>
      </c>
      <c r="AE109">
        <v>9</v>
      </c>
      <c r="AF109" t="s">
        <v>128</v>
      </c>
      <c r="AG109">
        <v>0</v>
      </c>
      <c r="AH109">
        <v>0</v>
      </c>
      <c r="AI109">
        <v>1</v>
      </c>
      <c r="AJ109">
        <v>0</v>
      </c>
      <c r="AK109" t="s">
        <v>186</v>
      </c>
      <c r="AL109">
        <v>33.664706000000002</v>
      </c>
      <c r="AM109" t="s">
        <v>187</v>
      </c>
      <c r="AN109">
        <v>-101.201527</v>
      </c>
      <c r="AO109">
        <v>100</v>
      </c>
      <c r="AP109">
        <v>3300</v>
      </c>
      <c r="AQ109" t="s">
        <v>131</v>
      </c>
      <c r="AR109">
        <v>-11</v>
      </c>
      <c r="AS109">
        <v>74</v>
      </c>
      <c r="AT109">
        <v>-64</v>
      </c>
      <c r="BB109" t="str">
        <f t="shared" si="7"/>
        <v>1200</v>
      </c>
      <c r="BC109">
        <v>1</v>
      </c>
      <c r="BD109" t="str">
        <f t="shared" si="8"/>
        <v xml:space="preserve">N445JS  </v>
      </c>
      <c r="BE109">
        <v>7</v>
      </c>
      <c r="BG109">
        <v>0</v>
      </c>
      <c r="BH109">
        <v>0</v>
      </c>
      <c r="BI109">
        <v>0</v>
      </c>
      <c r="BJ109">
        <v>3075</v>
      </c>
      <c r="BK109">
        <v>-225</v>
      </c>
      <c r="BL109" t="s">
        <v>132</v>
      </c>
      <c r="BM109">
        <v>1</v>
      </c>
      <c r="BN109">
        <v>1</v>
      </c>
      <c r="BO109">
        <v>1</v>
      </c>
      <c r="BP109">
        <v>0</v>
      </c>
      <c r="BT109">
        <v>0</v>
      </c>
      <c r="BU109">
        <v>0</v>
      </c>
      <c r="CE109" t="str">
        <f>"15:37:55.571"</f>
        <v>15:37:55.571</v>
      </c>
      <c r="CF109">
        <v>570793400</v>
      </c>
      <c r="CS109">
        <v>0</v>
      </c>
      <c r="CT109">
        <v>2</v>
      </c>
      <c r="CU109">
        <v>0</v>
      </c>
      <c r="CV109">
        <v>2</v>
      </c>
      <c r="CW109">
        <v>0</v>
      </c>
      <c r="CX109">
        <v>7</v>
      </c>
      <c r="CY109">
        <v>7</v>
      </c>
      <c r="CZ109" t="s">
        <v>133</v>
      </c>
      <c r="DA109">
        <v>125</v>
      </c>
      <c r="DB109">
        <v>1</v>
      </c>
      <c r="DC109" t="s">
        <v>134</v>
      </c>
      <c r="DD109" t="s">
        <v>135</v>
      </c>
      <c r="DG109">
        <v>2466214</v>
      </c>
      <c r="DI109">
        <v>0</v>
      </c>
      <c r="DJ109">
        <v>0</v>
      </c>
      <c r="DK109">
        <v>1</v>
      </c>
      <c r="DL109">
        <v>0</v>
      </c>
      <c r="DM109">
        <v>0</v>
      </c>
      <c r="DN109">
        <v>0</v>
      </c>
      <c r="DO109">
        <v>0</v>
      </c>
      <c r="DP109">
        <v>0</v>
      </c>
      <c r="DQ109">
        <v>0</v>
      </c>
      <c r="DR109">
        <v>0</v>
      </c>
      <c r="DS109">
        <v>0</v>
      </c>
    </row>
    <row r="110" spans="1:123" x14ac:dyDescent="0.25">
      <c r="A110" t="str">
        <f>"04/17/2026 15:37:56.914"</f>
        <v>04/17/2026 15:37:56.914</v>
      </c>
      <c r="C110" t="str">
        <f t="shared" si="5"/>
        <v>FFDFD3C0</v>
      </c>
      <c r="D110" t="s">
        <v>139</v>
      </c>
      <c r="E110" t="str">
        <f>"28"</f>
        <v>28</v>
      </c>
      <c r="H110">
        <v>140</v>
      </c>
      <c r="I110" t="s">
        <v>140</v>
      </c>
      <c r="J110" t="s">
        <v>141</v>
      </c>
      <c r="K110">
        <v>0</v>
      </c>
      <c r="L110">
        <v>3</v>
      </c>
      <c r="M110">
        <v>0</v>
      </c>
      <c r="N110">
        <v>2</v>
      </c>
      <c r="O110">
        <v>1</v>
      </c>
      <c r="P110">
        <v>0</v>
      </c>
      <c r="Q110">
        <v>0</v>
      </c>
      <c r="R110" t="s">
        <v>127</v>
      </c>
      <c r="S110" t="str">
        <f>"15:37:56.664"</f>
        <v>15:37:56.664</v>
      </c>
      <c r="T110" t="str">
        <f>"15:37:56.164"</f>
        <v>15:37:56.164</v>
      </c>
      <c r="U110" t="str">
        <f t="shared" si="6"/>
        <v>A55E09</v>
      </c>
      <c r="V110">
        <v>0</v>
      </c>
      <c r="W110">
        <v>0</v>
      </c>
      <c r="X110">
        <v>2</v>
      </c>
      <c r="Y110">
        <v>0</v>
      </c>
      <c r="AA110">
        <v>0</v>
      </c>
      <c r="AB110">
        <v>9</v>
      </c>
      <c r="AC110">
        <v>3</v>
      </c>
      <c r="AD110">
        <v>0</v>
      </c>
      <c r="AE110">
        <v>9</v>
      </c>
      <c r="AF110" t="s">
        <v>128</v>
      </c>
      <c r="AG110">
        <v>0</v>
      </c>
      <c r="AH110">
        <v>0</v>
      </c>
      <c r="AI110">
        <v>1</v>
      </c>
      <c r="AJ110">
        <v>0</v>
      </c>
      <c r="AK110" t="s">
        <v>188</v>
      </c>
      <c r="AL110">
        <v>33.665092000000001</v>
      </c>
      <c r="AM110" t="s">
        <v>189</v>
      </c>
      <c r="AN110">
        <v>-101.20157</v>
      </c>
      <c r="AO110">
        <v>100</v>
      </c>
      <c r="AP110">
        <v>3300</v>
      </c>
      <c r="AQ110" t="s">
        <v>131</v>
      </c>
      <c r="AR110">
        <v>-12</v>
      </c>
      <c r="AS110">
        <v>74</v>
      </c>
      <c r="AT110">
        <v>128</v>
      </c>
      <c r="BB110" t="str">
        <f t="shared" si="7"/>
        <v>1200</v>
      </c>
      <c r="BC110">
        <v>1</v>
      </c>
      <c r="BD110" t="str">
        <f t="shared" si="8"/>
        <v xml:space="preserve">N445JS  </v>
      </c>
      <c r="BE110">
        <v>7</v>
      </c>
      <c r="BG110">
        <v>0</v>
      </c>
      <c r="BH110">
        <v>0</v>
      </c>
      <c r="BI110">
        <v>0</v>
      </c>
      <c r="BJ110">
        <v>3075</v>
      </c>
      <c r="BK110">
        <v>-225</v>
      </c>
      <c r="BL110" t="s">
        <v>132</v>
      </c>
      <c r="BM110">
        <v>1</v>
      </c>
      <c r="BN110">
        <v>1</v>
      </c>
      <c r="BO110">
        <v>1</v>
      </c>
      <c r="BP110">
        <v>0</v>
      </c>
      <c r="BT110">
        <v>0</v>
      </c>
      <c r="BU110">
        <v>0</v>
      </c>
      <c r="CE110" t="str">
        <f>"15:37:56.666"</f>
        <v>15:37:56.666</v>
      </c>
      <c r="CF110">
        <v>665686057</v>
      </c>
      <c r="CS110">
        <v>0</v>
      </c>
      <c r="CT110">
        <v>2</v>
      </c>
      <c r="CU110">
        <v>0</v>
      </c>
      <c r="CV110">
        <v>2</v>
      </c>
      <c r="CW110">
        <v>0</v>
      </c>
      <c r="CX110">
        <v>7</v>
      </c>
      <c r="CY110">
        <v>7</v>
      </c>
      <c r="CZ110" t="s">
        <v>133</v>
      </c>
      <c r="DA110">
        <v>125</v>
      </c>
      <c r="DB110">
        <v>1</v>
      </c>
      <c r="DC110" t="s">
        <v>134</v>
      </c>
      <c r="DD110" t="s">
        <v>135</v>
      </c>
      <c r="DG110">
        <v>2467372</v>
      </c>
      <c r="DI110">
        <v>0</v>
      </c>
      <c r="DJ110">
        <v>0</v>
      </c>
      <c r="DK110">
        <v>0</v>
      </c>
      <c r="DL110">
        <v>0</v>
      </c>
      <c r="DM110">
        <v>0</v>
      </c>
      <c r="DN110">
        <v>0</v>
      </c>
      <c r="DO110">
        <v>0</v>
      </c>
      <c r="DP110">
        <v>0</v>
      </c>
      <c r="DQ110">
        <v>0</v>
      </c>
      <c r="DR110">
        <v>0</v>
      </c>
      <c r="DS110">
        <v>0</v>
      </c>
    </row>
    <row r="111" spans="1:123" x14ac:dyDescent="0.25">
      <c r="A111" t="str">
        <f>"04/17/2026 15:37:56.940"</f>
        <v>04/17/2026 15:37:56.940</v>
      </c>
      <c r="C111" t="str">
        <f t="shared" si="5"/>
        <v>FFDFD3C0</v>
      </c>
      <c r="D111" t="s">
        <v>136</v>
      </c>
      <c r="E111" t="str">
        <f>"0E"</f>
        <v>0E</v>
      </c>
      <c r="F111">
        <v>1014</v>
      </c>
      <c r="G111" t="s">
        <v>125</v>
      </c>
      <c r="J111" t="s">
        <v>137</v>
      </c>
      <c r="K111">
        <v>0</v>
      </c>
      <c r="L111">
        <v>3</v>
      </c>
      <c r="M111">
        <v>0</v>
      </c>
      <c r="N111">
        <v>2</v>
      </c>
      <c r="O111">
        <v>1</v>
      </c>
      <c r="P111">
        <v>0</v>
      </c>
      <c r="Q111">
        <v>0</v>
      </c>
      <c r="R111" t="s">
        <v>127</v>
      </c>
      <c r="S111" t="str">
        <f>"15:37:56.664"</f>
        <v>15:37:56.664</v>
      </c>
      <c r="T111" t="str">
        <f>"15:37:56.164"</f>
        <v>15:37:56.164</v>
      </c>
      <c r="U111" t="str">
        <f t="shared" si="6"/>
        <v>A55E09</v>
      </c>
      <c r="V111">
        <v>0</v>
      </c>
      <c r="W111">
        <v>0</v>
      </c>
      <c r="X111">
        <v>2</v>
      </c>
      <c r="Y111">
        <v>0</v>
      </c>
      <c r="AA111">
        <v>0</v>
      </c>
      <c r="AB111">
        <v>9</v>
      </c>
      <c r="AC111">
        <v>3</v>
      </c>
      <c r="AD111">
        <v>0</v>
      </c>
      <c r="AE111">
        <v>9</v>
      </c>
      <c r="AF111" t="s">
        <v>128</v>
      </c>
      <c r="AG111">
        <v>0</v>
      </c>
      <c r="AH111">
        <v>0</v>
      </c>
      <c r="AI111">
        <v>1</v>
      </c>
      <c r="AJ111">
        <v>0</v>
      </c>
      <c r="AK111" t="s">
        <v>188</v>
      </c>
      <c r="AL111">
        <v>33.665092000000001</v>
      </c>
      <c r="AM111" t="s">
        <v>189</v>
      </c>
      <c r="AN111">
        <v>-101.20157</v>
      </c>
      <c r="AO111">
        <v>100</v>
      </c>
      <c r="AP111">
        <v>3300</v>
      </c>
      <c r="AQ111" t="s">
        <v>131</v>
      </c>
      <c r="AR111">
        <v>-12</v>
      </c>
      <c r="AS111">
        <v>74</v>
      </c>
      <c r="AT111">
        <v>128</v>
      </c>
      <c r="BB111" t="str">
        <f t="shared" si="7"/>
        <v>1200</v>
      </c>
      <c r="BC111">
        <v>1</v>
      </c>
      <c r="BD111" t="str">
        <f t="shared" si="8"/>
        <v xml:space="preserve">N445JS  </v>
      </c>
      <c r="BE111">
        <v>7</v>
      </c>
      <c r="BG111">
        <v>0</v>
      </c>
      <c r="BH111">
        <v>0</v>
      </c>
      <c r="BI111">
        <v>0</v>
      </c>
      <c r="BJ111">
        <v>3075</v>
      </c>
      <c r="BK111">
        <v>-225</v>
      </c>
      <c r="BL111" t="s">
        <v>132</v>
      </c>
      <c r="BM111">
        <v>1</v>
      </c>
      <c r="BN111">
        <v>1</v>
      </c>
      <c r="BO111">
        <v>1</v>
      </c>
      <c r="BP111">
        <v>0</v>
      </c>
      <c r="BT111">
        <v>0</v>
      </c>
      <c r="BU111">
        <v>0</v>
      </c>
      <c r="CE111" t="str">
        <f>"15:37:56.666"</f>
        <v>15:37:56.666</v>
      </c>
      <c r="CF111">
        <v>665686057</v>
      </c>
      <c r="CS111">
        <v>0</v>
      </c>
      <c r="CT111">
        <v>2</v>
      </c>
      <c r="CU111">
        <v>0</v>
      </c>
      <c r="CV111">
        <v>2</v>
      </c>
      <c r="CW111">
        <v>0</v>
      </c>
      <c r="CX111">
        <v>7</v>
      </c>
      <c r="CY111">
        <v>7</v>
      </c>
      <c r="CZ111" t="s">
        <v>133</v>
      </c>
      <c r="DA111">
        <v>125</v>
      </c>
      <c r="DB111">
        <v>1</v>
      </c>
      <c r="DC111" t="s">
        <v>134</v>
      </c>
      <c r="DD111" t="s">
        <v>135</v>
      </c>
      <c r="DG111">
        <v>2467372</v>
      </c>
      <c r="DI111">
        <v>0</v>
      </c>
      <c r="DJ111">
        <v>0</v>
      </c>
      <c r="DK111">
        <v>1</v>
      </c>
      <c r="DL111">
        <v>0</v>
      </c>
      <c r="DM111">
        <v>0</v>
      </c>
      <c r="DN111">
        <v>0</v>
      </c>
      <c r="DO111">
        <v>0</v>
      </c>
      <c r="DP111">
        <v>0</v>
      </c>
      <c r="DQ111">
        <v>0</v>
      </c>
      <c r="DR111">
        <v>0</v>
      </c>
      <c r="DS111">
        <v>0</v>
      </c>
    </row>
    <row r="112" spans="1:123" x14ac:dyDescent="0.25">
      <c r="A112" t="str">
        <f>"04/17/2026 15:37:56.939"</f>
        <v>04/17/2026 15:37:56.939</v>
      </c>
      <c r="C112" t="str">
        <f t="shared" si="5"/>
        <v>FFDFD3C0</v>
      </c>
      <c r="D112" t="s">
        <v>124</v>
      </c>
      <c r="E112" t="str">
        <f>"03"</f>
        <v>03</v>
      </c>
      <c r="H112">
        <v>160</v>
      </c>
      <c r="I112" t="s">
        <v>125</v>
      </c>
      <c r="J112" t="s">
        <v>126</v>
      </c>
      <c r="K112">
        <v>0</v>
      </c>
      <c r="L112">
        <v>3</v>
      </c>
      <c r="M112">
        <v>0</v>
      </c>
      <c r="N112">
        <v>2</v>
      </c>
      <c r="O112">
        <v>1</v>
      </c>
      <c r="P112">
        <v>0</v>
      </c>
      <c r="Q112">
        <v>0</v>
      </c>
      <c r="R112" t="s">
        <v>127</v>
      </c>
      <c r="S112" t="str">
        <f>"15:37:56.664"</f>
        <v>15:37:56.664</v>
      </c>
      <c r="T112" t="str">
        <f>"15:37:56.164"</f>
        <v>15:37:56.164</v>
      </c>
      <c r="U112" t="str">
        <f t="shared" si="6"/>
        <v>A55E09</v>
      </c>
      <c r="V112">
        <v>0</v>
      </c>
      <c r="W112">
        <v>0</v>
      </c>
      <c r="X112">
        <v>2</v>
      </c>
      <c r="Y112">
        <v>0</v>
      </c>
      <c r="AA112">
        <v>0</v>
      </c>
      <c r="AB112">
        <v>9</v>
      </c>
      <c r="AC112">
        <v>3</v>
      </c>
      <c r="AD112">
        <v>0</v>
      </c>
      <c r="AE112">
        <v>9</v>
      </c>
      <c r="AF112" t="s">
        <v>128</v>
      </c>
      <c r="AG112">
        <v>0</v>
      </c>
      <c r="AH112">
        <v>0</v>
      </c>
      <c r="AI112">
        <v>1</v>
      </c>
      <c r="AJ112">
        <v>0</v>
      </c>
      <c r="AK112" t="s">
        <v>188</v>
      </c>
      <c r="AL112">
        <v>33.665092000000001</v>
      </c>
      <c r="AM112" t="s">
        <v>189</v>
      </c>
      <c r="AN112">
        <v>-101.20157</v>
      </c>
      <c r="AO112">
        <v>100</v>
      </c>
      <c r="AP112">
        <v>3300</v>
      </c>
      <c r="AQ112" t="s">
        <v>131</v>
      </c>
      <c r="AR112">
        <v>-12</v>
      </c>
      <c r="AS112">
        <v>74</v>
      </c>
      <c r="AT112">
        <v>128</v>
      </c>
      <c r="BB112" t="str">
        <f t="shared" si="7"/>
        <v>1200</v>
      </c>
      <c r="BC112">
        <v>1</v>
      </c>
      <c r="BD112" t="str">
        <f t="shared" si="8"/>
        <v xml:space="preserve">N445JS  </v>
      </c>
      <c r="BE112">
        <v>7</v>
      </c>
      <c r="BG112">
        <v>0</v>
      </c>
      <c r="BH112">
        <v>0</v>
      </c>
      <c r="BI112">
        <v>0</v>
      </c>
      <c r="BJ112">
        <v>3075</v>
      </c>
      <c r="BK112">
        <v>-225</v>
      </c>
      <c r="BL112" t="s">
        <v>132</v>
      </c>
      <c r="BM112">
        <v>1</v>
      </c>
      <c r="BN112">
        <v>1</v>
      </c>
      <c r="BO112">
        <v>1</v>
      </c>
      <c r="BP112">
        <v>0</v>
      </c>
      <c r="BT112">
        <v>0</v>
      </c>
      <c r="BU112">
        <v>0</v>
      </c>
      <c r="CE112" t="str">
        <f>"15:37:56.666"</f>
        <v>15:37:56.666</v>
      </c>
      <c r="CF112">
        <v>665686057</v>
      </c>
      <c r="CS112">
        <v>0</v>
      </c>
      <c r="CT112">
        <v>2</v>
      </c>
      <c r="CU112">
        <v>0</v>
      </c>
      <c r="CV112">
        <v>2</v>
      </c>
      <c r="CW112">
        <v>0</v>
      </c>
      <c r="CX112">
        <v>7</v>
      </c>
      <c r="CY112">
        <v>7</v>
      </c>
      <c r="CZ112" t="s">
        <v>133</v>
      </c>
      <c r="DA112">
        <v>125</v>
      </c>
      <c r="DB112">
        <v>1</v>
      </c>
      <c r="DC112" t="s">
        <v>134</v>
      </c>
      <c r="DD112" t="s">
        <v>135</v>
      </c>
      <c r="DG112">
        <v>2467372</v>
      </c>
      <c r="DI112">
        <v>0</v>
      </c>
      <c r="DJ112">
        <v>0</v>
      </c>
      <c r="DK112">
        <v>1</v>
      </c>
      <c r="DL112">
        <v>0</v>
      </c>
      <c r="DM112">
        <v>0</v>
      </c>
      <c r="DN112">
        <v>0</v>
      </c>
      <c r="DO112">
        <v>0</v>
      </c>
      <c r="DP112">
        <v>0</v>
      </c>
      <c r="DQ112">
        <v>0</v>
      </c>
      <c r="DR112">
        <v>0</v>
      </c>
      <c r="DS112">
        <v>0</v>
      </c>
    </row>
    <row r="113" spans="1:123" x14ac:dyDescent="0.25">
      <c r="A113" t="str">
        <f>"04/17/2026 15:37:56.941"</f>
        <v>04/17/2026 15:37:56.941</v>
      </c>
      <c r="C113" t="str">
        <f t="shared" si="5"/>
        <v>FFDFD3C0</v>
      </c>
      <c r="D113" t="s">
        <v>136</v>
      </c>
      <c r="E113" t="str">
        <f>"0F"</f>
        <v>0F</v>
      </c>
      <c r="F113">
        <v>1015</v>
      </c>
      <c r="G113" t="s">
        <v>138</v>
      </c>
      <c r="J113" t="s">
        <v>137</v>
      </c>
      <c r="K113">
        <v>0</v>
      </c>
      <c r="L113">
        <v>3</v>
      </c>
      <c r="M113">
        <v>0</v>
      </c>
      <c r="N113">
        <v>2</v>
      </c>
      <c r="O113">
        <v>1</v>
      </c>
      <c r="P113">
        <v>0</v>
      </c>
      <c r="Q113">
        <v>0</v>
      </c>
      <c r="R113" t="s">
        <v>127</v>
      </c>
      <c r="S113" t="str">
        <f>"15:37:56.664"</f>
        <v>15:37:56.664</v>
      </c>
      <c r="T113" t="str">
        <f>"15:37:56.164"</f>
        <v>15:37:56.164</v>
      </c>
      <c r="U113" t="str">
        <f t="shared" si="6"/>
        <v>A55E09</v>
      </c>
      <c r="V113">
        <v>0</v>
      </c>
      <c r="W113">
        <v>0</v>
      </c>
      <c r="X113">
        <v>2</v>
      </c>
      <c r="Y113">
        <v>0</v>
      </c>
      <c r="AA113">
        <v>0</v>
      </c>
      <c r="AB113">
        <v>9</v>
      </c>
      <c r="AC113">
        <v>3</v>
      </c>
      <c r="AD113">
        <v>0</v>
      </c>
      <c r="AE113">
        <v>9</v>
      </c>
      <c r="AF113" t="s">
        <v>128</v>
      </c>
      <c r="AG113">
        <v>0</v>
      </c>
      <c r="AH113">
        <v>0</v>
      </c>
      <c r="AI113">
        <v>1</v>
      </c>
      <c r="AJ113">
        <v>0</v>
      </c>
      <c r="AK113" t="s">
        <v>188</v>
      </c>
      <c r="AL113">
        <v>33.665092000000001</v>
      </c>
      <c r="AM113" t="s">
        <v>189</v>
      </c>
      <c r="AN113">
        <v>-101.20157</v>
      </c>
      <c r="AO113">
        <v>100</v>
      </c>
      <c r="AP113">
        <v>3300</v>
      </c>
      <c r="AQ113" t="s">
        <v>131</v>
      </c>
      <c r="AR113">
        <v>-12</v>
      </c>
      <c r="AS113">
        <v>74</v>
      </c>
      <c r="AT113">
        <v>128</v>
      </c>
      <c r="BB113" t="str">
        <f t="shared" si="7"/>
        <v>1200</v>
      </c>
      <c r="BC113">
        <v>1</v>
      </c>
      <c r="BD113" t="str">
        <f t="shared" si="8"/>
        <v xml:space="preserve">N445JS  </v>
      </c>
      <c r="BE113">
        <v>7</v>
      </c>
      <c r="BG113">
        <v>0</v>
      </c>
      <c r="BH113">
        <v>0</v>
      </c>
      <c r="BI113">
        <v>0</v>
      </c>
      <c r="BJ113">
        <v>3075</v>
      </c>
      <c r="BK113">
        <v>-225</v>
      </c>
      <c r="BL113" t="s">
        <v>132</v>
      </c>
      <c r="BM113">
        <v>1</v>
      </c>
      <c r="BN113">
        <v>1</v>
      </c>
      <c r="BO113">
        <v>1</v>
      </c>
      <c r="BP113">
        <v>0</v>
      </c>
      <c r="BT113">
        <v>0</v>
      </c>
      <c r="BU113">
        <v>0</v>
      </c>
      <c r="CE113" t="str">
        <f>"15:37:56.666"</f>
        <v>15:37:56.666</v>
      </c>
      <c r="CF113">
        <v>665686057</v>
      </c>
      <c r="CS113">
        <v>0</v>
      </c>
      <c r="CT113">
        <v>2</v>
      </c>
      <c r="CU113">
        <v>0</v>
      </c>
      <c r="CV113">
        <v>2</v>
      </c>
      <c r="CW113">
        <v>0</v>
      </c>
      <c r="CX113">
        <v>7</v>
      </c>
      <c r="CY113">
        <v>7</v>
      </c>
      <c r="CZ113" t="s">
        <v>133</v>
      </c>
      <c r="DA113">
        <v>125</v>
      </c>
      <c r="DB113">
        <v>1</v>
      </c>
      <c r="DC113" t="s">
        <v>134</v>
      </c>
      <c r="DD113" t="s">
        <v>135</v>
      </c>
      <c r="DG113">
        <v>2467372</v>
      </c>
      <c r="DI113">
        <v>0</v>
      </c>
      <c r="DJ113">
        <v>0</v>
      </c>
      <c r="DK113">
        <v>1</v>
      </c>
      <c r="DL113">
        <v>0</v>
      </c>
      <c r="DM113">
        <v>0</v>
      </c>
      <c r="DN113">
        <v>0</v>
      </c>
      <c r="DO113">
        <v>0</v>
      </c>
      <c r="DP113">
        <v>0</v>
      </c>
      <c r="DQ113">
        <v>0</v>
      </c>
      <c r="DR113">
        <v>0</v>
      </c>
      <c r="DS113">
        <v>0</v>
      </c>
    </row>
    <row r="114" spans="1:123" x14ac:dyDescent="0.25">
      <c r="A114" t="str">
        <f>"04/17/2026 15:37:57.941"</f>
        <v>04/17/2026 15:37:57.941</v>
      </c>
      <c r="C114" t="str">
        <f t="shared" si="5"/>
        <v>FFDFD3C0</v>
      </c>
      <c r="D114" t="s">
        <v>124</v>
      </c>
      <c r="E114" t="str">
        <f>"03"</f>
        <v>03</v>
      </c>
      <c r="H114">
        <v>160</v>
      </c>
      <c r="I114" t="s">
        <v>125</v>
      </c>
      <c r="J114" t="s">
        <v>126</v>
      </c>
      <c r="K114">
        <v>0</v>
      </c>
      <c r="L114">
        <v>3</v>
      </c>
      <c r="M114">
        <v>0</v>
      </c>
      <c r="N114">
        <v>2</v>
      </c>
      <c r="O114">
        <v>1</v>
      </c>
      <c r="P114">
        <v>0</v>
      </c>
      <c r="Q114">
        <v>0</v>
      </c>
      <c r="R114" t="s">
        <v>127</v>
      </c>
      <c r="S114" t="str">
        <f>"15:37:57.648"</f>
        <v>15:37:57.648</v>
      </c>
      <c r="T114" t="str">
        <f>"15:37:57.148"</f>
        <v>15:37:57.148</v>
      </c>
      <c r="U114" t="str">
        <f t="shared" si="6"/>
        <v>A55E09</v>
      </c>
      <c r="V114">
        <v>0</v>
      </c>
      <c r="W114">
        <v>0</v>
      </c>
      <c r="X114">
        <v>2</v>
      </c>
      <c r="Y114">
        <v>0</v>
      </c>
      <c r="AA114">
        <v>0</v>
      </c>
      <c r="AB114">
        <v>9</v>
      </c>
      <c r="AC114">
        <v>3</v>
      </c>
      <c r="AD114">
        <v>0</v>
      </c>
      <c r="AE114">
        <v>9</v>
      </c>
      <c r="AF114" t="s">
        <v>128</v>
      </c>
      <c r="AG114">
        <v>0</v>
      </c>
      <c r="AH114">
        <v>0</v>
      </c>
      <c r="AI114">
        <v>1</v>
      </c>
      <c r="AJ114">
        <v>0</v>
      </c>
      <c r="AK114" t="s">
        <v>190</v>
      </c>
      <c r="AL114">
        <v>33.665457000000004</v>
      </c>
      <c r="AM114" t="s">
        <v>191</v>
      </c>
      <c r="AN114">
        <v>-101.201656</v>
      </c>
      <c r="AO114">
        <v>100</v>
      </c>
      <c r="AP114">
        <v>3300</v>
      </c>
      <c r="AQ114" t="s">
        <v>131</v>
      </c>
      <c r="AR114">
        <v>-12</v>
      </c>
      <c r="AS114">
        <v>74</v>
      </c>
      <c r="AT114">
        <v>128</v>
      </c>
      <c r="BB114" t="str">
        <f t="shared" si="7"/>
        <v>1200</v>
      </c>
      <c r="BC114">
        <v>1</v>
      </c>
      <c r="BD114" t="str">
        <f t="shared" si="8"/>
        <v xml:space="preserve">N445JS  </v>
      </c>
      <c r="BE114">
        <v>7</v>
      </c>
      <c r="BG114">
        <v>0</v>
      </c>
      <c r="BH114">
        <v>0</v>
      </c>
      <c r="BI114">
        <v>0</v>
      </c>
      <c r="BJ114">
        <v>3075</v>
      </c>
      <c r="BK114">
        <v>-225</v>
      </c>
      <c r="BL114" t="s">
        <v>132</v>
      </c>
      <c r="BM114">
        <v>1</v>
      </c>
      <c r="BN114">
        <v>1</v>
      </c>
      <c r="BO114">
        <v>1</v>
      </c>
      <c r="BP114">
        <v>0</v>
      </c>
      <c r="BT114">
        <v>0</v>
      </c>
      <c r="BU114">
        <v>0</v>
      </c>
      <c r="CE114" t="str">
        <f>"15:37:57.656"</f>
        <v>15:37:57.656</v>
      </c>
      <c r="CF114">
        <v>655589014</v>
      </c>
      <c r="CS114">
        <v>0</v>
      </c>
      <c r="CT114">
        <v>2</v>
      </c>
      <c r="CU114">
        <v>0</v>
      </c>
      <c r="CV114">
        <v>2</v>
      </c>
      <c r="CW114">
        <v>0</v>
      </c>
      <c r="CX114">
        <v>7</v>
      </c>
      <c r="CY114">
        <v>7</v>
      </c>
      <c r="CZ114" t="s">
        <v>133</v>
      </c>
      <c r="DA114">
        <v>125</v>
      </c>
      <c r="DB114">
        <v>1</v>
      </c>
      <c r="DC114" t="s">
        <v>134</v>
      </c>
      <c r="DD114" t="s">
        <v>135</v>
      </c>
      <c r="DG114">
        <v>2468391</v>
      </c>
      <c r="DI114">
        <v>0</v>
      </c>
      <c r="DJ114">
        <v>0</v>
      </c>
      <c r="DK114">
        <v>0</v>
      </c>
      <c r="DL114">
        <v>0</v>
      </c>
      <c r="DM114">
        <v>0</v>
      </c>
      <c r="DN114">
        <v>0</v>
      </c>
      <c r="DO114">
        <v>0</v>
      </c>
      <c r="DP114">
        <v>0</v>
      </c>
      <c r="DQ114">
        <v>0</v>
      </c>
      <c r="DR114">
        <v>0</v>
      </c>
      <c r="DS114">
        <v>0</v>
      </c>
    </row>
    <row r="115" spans="1:123" x14ac:dyDescent="0.25">
      <c r="A115" t="str">
        <f>"04/17/2026 15:37:57.942"</f>
        <v>04/17/2026 15:37:57.942</v>
      </c>
      <c r="C115" t="str">
        <f t="shared" si="5"/>
        <v>FFDFD3C0</v>
      </c>
      <c r="D115" t="s">
        <v>136</v>
      </c>
      <c r="E115" t="str">
        <f>"0F"</f>
        <v>0F</v>
      </c>
      <c r="F115">
        <v>1015</v>
      </c>
      <c r="G115" t="s">
        <v>138</v>
      </c>
      <c r="J115" t="s">
        <v>137</v>
      </c>
      <c r="K115">
        <v>0</v>
      </c>
      <c r="L115">
        <v>3</v>
      </c>
      <c r="M115">
        <v>0</v>
      </c>
      <c r="N115">
        <v>2</v>
      </c>
      <c r="O115">
        <v>1</v>
      </c>
      <c r="P115">
        <v>0</v>
      </c>
      <c r="Q115">
        <v>0</v>
      </c>
      <c r="R115" t="s">
        <v>127</v>
      </c>
      <c r="S115" t="str">
        <f>"15:37:57.648"</f>
        <v>15:37:57.648</v>
      </c>
      <c r="T115" t="str">
        <f>"15:37:57.148"</f>
        <v>15:37:57.148</v>
      </c>
      <c r="U115" t="str">
        <f t="shared" si="6"/>
        <v>A55E09</v>
      </c>
      <c r="V115">
        <v>0</v>
      </c>
      <c r="W115">
        <v>0</v>
      </c>
      <c r="X115">
        <v>2</v>
      </c>
      <c r="Y115">
        <v>0</v>
      </c>
      <c r="AA115">
        <v>0</v>
      </c>
      <c r="AB115">
        <v>9</v>
      </c>
      <c r="AC115">
        <v>3</v>
      </c>
      <c r="AD115">
        <v>0</v>
      </c>
      <c r="AE115">
        <v>9</v>
      </c>
      <c r="AF115" t="s">
        <v>128</v>
      </c>
      <c r="AG115">
        <v>0</v>
      </c>
      <c r="AH115">
        <v>0</v>
      </c>
      <c r="AI115">
        <v>1</v>
      </c>
      <c r="AJ115">
        <v>0</v>
      </c>
      <c r="AK115" t="s">
        <v>190</v>
      </c>
      <c r="AL115">
        <v>33.665457000000004</v>
      </c>
      <c r="AM115" t="s">
        <v>191</v>
      </c>
      <c r="AN115">
        <v>-101.201656</v>
      </c>
      <c r="AO115">
        <v>100</v>
      </c>
      <c r="AP115">
        <v>3300</v>
      </c>
      <c r="AQ115" t="s">
        <v>131</v>
      </c>
      <c r="AR115">
        <v>-12</v>
      </c>
      <c r="AS115">
        <v>74</v>
      </c>
      <c r="AT115">
        <v>128</v>
      </c>
      <c r="BB115" t="str">
        <f t="shared" si="7"/>
        <v>1200</v>
      </c>
      <c r="BC115">
        <v>1</v>
      </c>
      <c r="BD115" t="str">
        <f t="shared" si="8"/>
        <v xml:space="preserve">N445JS  </v>
      </c>
      <c r="BE115">
        <v>7</v>
      </c>
      <c r="BG115">
        <v>0</v>
      </c>
      <c r="BH115">
        <v>0</v>
      </c>
      <c r="BI115">
        <v>0</v>
      </c>
      <c r="BJ115">
        <v>3075</v>
      </c>
      <c r="BK115">
        <v>-225</v>
      </c>
      <c r="BL115" t="s">
        <v>132</v>
      </c>
      <c r="BM115">
        <v>1</v>
      </c>
      <c r="BN115">
        <v>1</v>
      </c>
      <c r="BO115">
        <v>1</v>
      </c>
      <c r="BP115">
        <v>0</v>
      </c>
      <c r="BT115">
        <v>0</v>
      </c>
      <c r="BU115">
        <v>0</v>
      </c>
      <c r="CE115" t="str">
        <f>"15:37:57.656"</f>
        <v>15:37:57.656</v>
      </c>
      <c r="CF115">
        <v>655589014</v>
      </c>
      <c r="CS115">
        <v>0</v>
      </c>
      <c r="CT115">
        <v>2</v>
      </c>
      <c r="CU115">
        <v>0</v>
      </c>
      <c r="CV115">
        <v>2</v>
      </c>
      <c r="CW115">
        <v>0</v>
      </c>
      <c r="CX115">
        <v>7</v>
      </c>
      <c r="CY115">
        <v>7</v>
      </c>
      <c r="CZ115" t="s">
        <v>133</v>
      </c>
      <c r="DA115">
        <v>125</v>
      </c>
      <c r="DB115">
        <v>1</v>
      </c>
      <c r="DC115" t="s">
        <v>134</v>
      </c>
      <c r="DD115" t="s">
        <v>135</v>
      </c>
      <c r="DG115">
        <v>2468391</v>
      </c>
      <c r="DI115">
        <v>0</v>
      </c>
      <c r="DJ115">
        <v>0</v>
      </c>
      <c r="DK115">
        <v>1</v>
      </c>
      <c r="DL115">
        <v>0</v>
      </c>
      <c r="DM115">
        <v>0</v>
      </c>
      <c r="DN115">
        <v>0</v>
      </c>
      <c r="DO115">
        <v>0</v>
      </c>
      <c r="DP115">
        <v>0</v>
      </c>
      <c r="DQ115">
        <v>0</v>
      </c>
      <c r="DR115">
        <v>0</v>
      </c>
      <c r="DS115">
        <v>0</v>
      </c>
    </row>
    <row r="116" spans="1:123" x14ac:dyDescent="0.25">
      <c r="A116" t="str">
        <f>"04/17/2026 15:37:57.942"</f>
        <v>04/17/2026 15:37:57.942</v>
      </c>
      <c r="C116" t="str">
        <f t="shared" si="5"/>
        <v>FFDFD3C0</v>
      </c>
      <c r="D116" t="s">
        <v>136</v>
      </c>
      <c r="E116" t="str">
        <f>"0E"</f>
        <v>0E</v>
      </c>
      <c r="F116">
        <v>1014</v>
      </c>
      <c r="G116" t="s">
        <v>125</v>
      </c>
      <c r="J116" t="s">
        <v>137</v>
      </c>
      <c r="K116">
        <v>0</v>
      </c>
      <c r="L116">
        <v>3</v>
      </c>
      <c r="M116">
        <v>0</v>
      </c>
      <c r="N116">
        <v>2</v>
      </c>
      <c r="O116">
        <v>1</v>
      </c>
      <c r="P116">
        <v>0</v>
      </c>
      <c r="Q116">
        <v>0</v>
      </c>
      <c r="R116" t="s">
        <v>127</v>
      </c>
      <c r="S116" t="str">
        <f>"15:37:57.648"</f>
        <v>15:37:57.648</v>
      </c>
      <c r="T116" t="str">
        <f>"15:37:57.148"</f>
        <v>15:37:57.148</v>
      </c>
      <c r="U116" t="str">
        <f t="shared" si="6"/>
        <v>A55E09</v>
      </c>
      <c r="V116">
        <v>0</v>
      </c>
      <c r="W116">
        <v>0</v>
      </c>
      <c r="X116">
        <v>2</v>
      </c>
      <c r="Y116">
        <v>0</v>
      </c>
      <c r="AA116">
        <v>0</v>
      </c>
      <c r="AB116">
        <v>9</v>
      </c>
      <c r="AC116">
        <v>3</v>
      </c>
      <c r="AD116">
        <v>0</v>
      </c>
      <c r="AE116">
        <v>9</v>
      </c>
      <c r="AF116" t="s">
        <v>128</v>
      </c>
      <c r="AG116">
        <v>0</v>
      </c>
      <c r="AH116">
        <v>0</v>
      </c>
      <c r="AI116">
        <v>1</v>
      </c>
      <c r="AJ116">
        <v>0</v>
      </c>
      <c r="AK116" t="s">
        <v>190</v>
      </c>
      <c r="AL116">
        <v>33.665457000000004</v>
      </c>
      <c r="AM116" t="s">
        <v>191</v>
      </c>
      <c r="AN116">
        <v>-101.201656</v>
      </c>
      <c r="AO116">
        <v>100</v>
      </c>
      <c r="AP116">
        <v>3300</v>
      </c>
      <c r="AQ116" t="s">
        <v>131</v>
      </c>
      <c r="AR116">
        <v>-12</v>
      </c>
      <c r="AS116">
        <v>74</v>
      </c>
      <c r="AT116">
        <v>128</v>
      </c>
      <c r="BB116" t="str">
        <f t="shared" si="7"/>
        <v>1200</v>
      </c>
      <c r="BC116">
        <v>1</v>
      </c>
      <c r="BD116" t="str">
        <f t="shared" si="8"/>
        <v xml:space="preserve">N445JS  </v>
      </c>
      <c r="BE116">
        <v>7</v>
      </c>
      <c r="BG116">
        <v>0</v>
      </c>
      <c r="BH116">
        <v>0</v>
      </c>
      <c r="BI116">
        <v>0</v>
      </c>
      <c r="BJ116">
        <v>3075</v>
      </c>
      <c r="BK116">
        <v>-225</v>
      </c>
      <c r="BL116" t="s">
        <v>132</v>
      </c>
      <c r="BM116">
        <v>1</v>
      </c>
      <c r="BN116">
        <v>1</v>
      </c>
      <c r="BO116">
        <v>1</v>
      </c>
      <c r="BP116">
        <v>0</v>
      </c>
      <c r="BT116">
        <v>0</v>
      </c>
      <c r="BU116">
        <v>0</v>
      </c>
      <c r="CE116" t="str">
        <f>"15:37:57.656"</f>
        <v>15:37:57.656</v>
      </c>
      <c r="CF116">
        <v>655589014</v>
      </c>
      <c r="CS116">
        <v>0</v>
      </c>
      <c r="CT116">
        <v>2</v>
      </c>
      <c r="CU116">
        <v>0</v>
      </c>
      <c r="CV116">
        <v>2</v>
      </c>
      <c r="CW116">
        <v>0</v>
      </c>
      <c r="CX116">
        <v>7</v>
      </c>
      <c r="CY116">
        <v>7</v>
      </c>
      <c r="CZ116" t="s">
        <v>133</v>
      </c>
      <c r="DA116">
        <v>125</v>
      </c>
      <c r="DB116">
        <v>1</v>
      </c>
      <c r="DC116" t="s">
        <v>134</v>
      </c>
      <c r="DD116" t="s">
        <v>135</v>
      </c>
      <c r="DG116">
        <v>2468391</v>
      </c>
      <c r="DI116">
        <v>0</v>
      </c>
      <c r="DJ116">
        <v>0</v>
      </c>
      <c r="DK116">
        <v>1</v>
      </c>
      <c r="DL116">
        <v>0</v>
      </c>
      <c r="DM116">
        <v>0</v>
      </c>
      <c r="DN116">
        <v>0</v>
      </c>
      <c r="DO116">
        <v>0</v>
      </c>
      <c r="DP116">
        <v>0</v>
      </c>
      <c r="DQ116">
        <v>0</v>
      </c>
      <c r="DR116">
        <v>0</v>
      </c>
      <c r="DS116">
        <v>0</v>
      </c>
    </row>
    <row r="117" spans="1:123" x14ac:dyDescent="0.25">
      <c r="A117" t="str">
        <f>"04/17/2026 15:37:57.966"</f>
        <v>04/17/2026 15:37:57.966</v>
      </c>
      <c r="C117" t="str">
        <f t="shared" si="5"/>
        <v>FFDFD3C0</v>
      </c>
      <c r="D117" t="s">
        <v>139</v>
      </c>
      <c r="E117" t="str">
        <f>"28"</f>
        <v>28</v>
      </c>
      <c r="H117">
        <v>140</v>
      </c>
      <c r="I117" t="s">
        <v>140</v>
      </c>
      <c r="J117" t="s">
        <v>141</v>
      </c>
      <c r="K117">
        <v>0</v>
      </c>
      <c r="L117">
        <v>3</v>
      </c>
      <c r="M117">
        <v>0</v>
      </c>
      <c r="N117">
        <v>2</v>
      </c>
      <c r="O117">
        <v>1</v>
      </c>
      <c r="P117">
        <v>0</v>
      </c>
      <c r="Q117">
        <v>0</v>
      </c>
      <c r="R117" t="s">
        <v>127</v>
      </c>
      <c r="S117" t="str">
        <f>"15:37:57.648"</f>
        <v>15:37:57.648</v>
      </c>
      <c r="T117" t="str">
        <f>"15:37:57.148"</f>
        <v>15:37:57.148</v>
      </c>
      <c r="U117" t="str">
        <f t="shared" si="6"/>
        <v>A55E09</v>
      </c>
      <c r="V117">
        <v>0</v>
      </c>
      <c r="W117">
        <v>0</v>
      </c>
      <c r="X117">
        <v>2</v>
      </c>
      <c r="Y117">
        <v>0</v>
      </c>
      <c r="AA117">
        <v>0</v>
      </c>
      <c r="AB117">
        <v>9</v>
      </c>
      <c r="AC117">
        <v>3</v>
      </c>
      <c r="AD117">
        <v>0</v>
      </c>
      <c r="AE117">
        <v>9</v>
      </c>
      <c r="AF117" t="s">
        <v>128</v>
      </c>
      <c r="AG117">
        <v>0</v>
      </c>
      <c r="AH117">
        <v>0</v>
      </c>
      <c r="AI117">
        <v>1</v>
      </c>
      <c r="AJ117">
        <v>0</v>
      </c>
      <c r="AK117" t="s">
        <v>190</v>
      </c>
      <c r="AL117">
        <v>33.665457000000004</v>
      </c>
      <c r="AM117" t="s">
        <v>191</v>
      </c>
      <c r="AN117">
        <v>-101.201656</v>
      </c>
      <c r="AO117">
        <v>100</v>
      </c>
      <c r="AP117">
        <v>3300</v>
      </c>
      <c r="AQ117" t="s">
        <v>131</v>
      </c>
      <c r="AR117">
        <v>-12</v>
      </c>
      <c r="AS117">
        <v>74</v>
      </c>
      <c r="AT117">
        <v>128</v>
      </c>
      <c r="BB117" t="str">
        <f t="shared" si="7"/>
        <v>1200</v>
      </c>
      <c r="BC117">
        <v>1</v>
      </c>
      <c r="BD117" t="str">
        <f t="shared" si="8"/>
        <v xml:space="preserve">N445JS  </v>
      </c>
      <c r="BE117">
        <v>7</v>
      </c>
      <c r="BG117">
        <v>0</v>
      </c>
      <c r="BH117">
        <v>0</v>
      </c>
      <c r="BI117">
        <v>0</v>
      </c>
      <c r="BJ117">
        <v>3075</v>
      </c>
      <c r="BK117">
        <v>-225</v>
      </c>
      <c r="BL117" t="s">
        <v>132</v>
      </c>
      <c r="BM117">
        <v>1</v>
      </c>
      <c r="BN117">
        <v>1</v>
      </c>
      <c r="BO117">
        <v>1</v>
      </c>
      <c r="BP117">
        <v>0</v>
      </c>
      <c r="BT117">
        <v>0</v>
      </c>
      <c r="BU117">
        <v>0</v>
      </c>
      <c r="CE117" t="str">
        <f>"15:37:57.656"</f>
        <v>15:37:57.656</v>
      </c>
      <c r="CF117">
        <v>655589014</v>
      </c>
      <c r="CS117">
        <v>0</v>
      </c>
      <c r="CT117">
        <v>2</v>
      </c>
      <c r="CU117">
        <v>0</v>
      </c>
      <c r="CV117">
        <v>2</v>
      </c>
      <c r="CW117">
        <v>0</v>
      </c>
      <c r="CX117">
        <v>7</v>
      </c>
      <c r="CY117">
        <v>7</v>
      </c>
      <c r="CZ117" t="s">
        <v>133</v>
      </c>
      <c r="DA117">
        <v>125</v>
      </c>
      <c r="DB117">
        <v>1</v>
      </c>
      <c r="DC117" t="s">
        <v>134</v>
      </c>
      <c r="DD117" t="s">
        <v>135</v>
      </c>
      <c r="DG117">
        <v>2468391</v>
      </c>
      <c r="DI117">
        <v>0</v>
      </c>
      <c r="DJ117">
        <v>0</v>
      </c>
      <c r="DK117">
        <v>1</v>
      </c>
      <c r="DL117">
        <v>0</v>
      </c>
      <c r="DM117">
        <v>0</v>
      </c>
      <c r="DN117">
        <v>0</v>
      </c>
      <c r="DO117">
        <v>0</v>
      </c>
      <c r="DP117">
        <v>0</v>
      </c>
      <c r="DQ117">
        <v>0</v>
      </c>
      <c r="DR117">
        <v>0</v>
      </c>
      <c r="DS117">
        <v>0</v>
      </c>
    </row>
    <row r="118" spans="1:123" x14ac:dyDescent="0.25">
      <c r="A118" t="str">
        <f>"04/17/2026 15:37:59.319"</f>
        <v>04/17/2026 15:37:59.319</v>
      </c>
      <c r="C118" t="str">
        <f t="shared" si="5"/>
        <v>FFDFD3C0</v>
      </c>
      <c r="D118" t="s">
        <v>139</v>
      </c>
      <c r="E118" t="str">
        <f>"28"</f>
        <v>28</v>
      </c>
      <c r="H118">
        <v>140</v>
      </c>
      <c r="I118" t="s">
        <v>140</v>
      </c>
      <c r="J118" t="s">
        <v>141</v>
      </c>
      <c r="K118">
        <v>0</v>
      </c>
      <c r="L118">
        <v>3</v>
      </c>
      <c r="M118">
        <v>0</v>
      </c>
      <c r="N118">
        <v>2</v>
      </c>
      <c r="O118">
        <v>1</v>
      </c>
      <c r="P118">
        <v>0</v>
      </c>
      <c r="Q118">
        <v>0</v>
      </c>
      <c r="R118" t="s">
        <v>127</v>
      </c>
      <c r="S118" t="str">
        <f>"15:37:59.063"</f>
        <v>15:37:59.063</v>
      </c>
      <c r="T118" t="str">
        <f>"15:37:58.863"</f>
        <v>15:37:58.863</v>
      </c>
      <c r="U118" t="str">
        <f t="shared" si="6"/>
        <v>A55E09</v>
      </c>
      <c r="V118">
        <v>0</v>
      </c>
      <c r="W118">
        <v>0</v>
      </c>
      <c r="X118">
        <v>2</v>
      </c>
      <c r="Y118">
        <v>0</v>
      </c>
      <c r="AA118">
        <v>0</v>
      </c>
      <c r="AB118">
        <v>8</v>
      </c>
      <c r="AC118">
        <v>3</v>
      </c>
      <c r="AD118">
        <v>0</v>
      </c>
      <c r="AE118">
        <v>8</v>
      </c>
      <c r="AF118" t="s">
        <v>128</v>
      </c>
      <c r="AG118">
        <v>0</v>
      </c>
      <c r="AH118">
        <v>0</v>
      </c>
      <c r="AI118">
        <v>1</v>
      </c>
      <c r="AJ118">
        <v>0</v>
      </c>
      <c r="AK118" t="s">
        <v>192</v>
      </c>
      <c r="AL118">
        <v>33.665950000000002</v>
      </c>
      <c r="AM118" t="s">
        <v>193</v>
      </c>
      <c r="AN118">
        <v>-101.201742</v>
      </c>
      <c r="AO118">
        <v>100</v>
      </c>
      <c r="AP118">
        <v>3300</v>
      </c>
      <c r="AQ118" t="s">
        <v>131</v>
      </c>
      <c r="AR118">
        <v>-12</v>
      </c>
      <c r="AS118">
        <v>76</v>
      </c>
      <c r="AT118">
        <v>64</v>
      </c>
      <c r="BB118" t="str">
        <f t="shared" si="7"/>
        <v>1200</v>
      </c>
      <c r="BC118">
        <v>1</v>
      </c>
      <c r="BD118" t="str">
        <f t="shared" si="8"/>
        <v xml:space="preserve">N445JS  </v>
      </c>
      <c r="BE118">
        <v>7</v>
      </c>
      <c r="BG118">
        <v>0</v>
      </c>
      <c r="BH118">
        <v>0</v>
      </c>
      <c r="BI118">
        <v>0</v>
      </c>
      <c r="BJ118">
        <v>3075</v>
      </c>
      <c r="BK118">
        <v>-225</v>
      </c>
      <c r="BL118" t="s">
        <v>132</v>
      </c>
      <c r="BM118">
        <v>1</v>
      </c>
      <c r="BN118">
        <v>1</v>
      </c>
      <c r="BO118">
        <v>1</v>
      </c>
      <c r="BP118">
        <v>0</v>
      </c>
      <c r="BT118">
        <v>0</v>
      </c>
      <c r="BU118">
        <v>0</v>
      </c>
      <c r="CE118" t="str">
        <f>"15:37:59.065"</f>
        <v>15:37:59.065</v>
      </c>
      <c r="CF118">
        <v>65450796</v>
      </c>
      <c r="CS118">
        <v>0</v>
      </c>
      <c r="CT118">
        <v>2</v>
      </c>
      <c r="CU118">
        <v>0</v>
      </c>
      <c r="CV118">
        <v>2</v>
      </c>
      <c r="CW118">
        <v>0</v>
      </c>
      <c r="CX118">
        <v>7</v>
      </c>
      <c r="CY118">
        <v>7</v>
      </c>
      <c r="CZ118" t="s">
        <v>133</v>
      </c>
      <c r="DA118">
        <v>125</v>
      </c>
      <c r="DB118">
        <v>1</v>
      </c>
      <c r="DC118" t="s">
        <v>134</v>
      </c>
      <c r="DD118" t="s">
        <v>135</v>
      </c>
      <c r="DG118">
        <v>2469778</v>
      </c>
      <c r="DI118">
        <v>0</v>
      </c>
      <c r="DJ118">
        <v>0</v>
      </c>
      <c r="DK118">
        <v>0</v>
      </c>
      <c r="DL118">
        <v>0</v>
      </c>
      <c r="DM118">
        <v>0</v>
      </c>
      <c r="DN118">
        <v>0</v>
      </c>
      <c r="DO118">
        <v>0</v>
      </c>
      <c r="DP118">
        <v>0</v>
      </c>
      <c r="DQ118">
        <v>0</v>
      </c>
      <c r="DR118">
        <v>0</v>
      </c>
      <c r="DS118">
        <v>0</v>
      </c>
    </row>
    <row r="119" spans="1:123" x14ac:dyDescent="0.25">
      <c r="A119" t="str">
        <f>"04/17/2026 15:37:59.343"</f>
        <v>04/17/2026 15:37:59.343</v>
      </c>
      <c r="C119" t="str">
        <f t="shared" si="5"/>
        <v>FFDFD3C0</v>
      </c>
      <c r="D119" t="s">
        <v>124</v>
      </c>
      <c r="E119" t="str">
        <f>"03"</f>
        <v>03</v>
      </c>
      <c r="H119">
        <v>160</v>
      </c>
      <c r="I119" t="s">
        <v>125</v>
      </c>
      <c r="J119" t="s">
        <v>126</v>
      </c>
      <c r="K119">
        <v>0</v>
      </c>
      <c r="L119">
        <v>3</v>
      </c>
      <c r="M119">
        <v>0</v>
      </c>
      <c r="N119">
        <v>2</v>
      </c>
      <c r="O119">
        <v>1</v>
      </c>
      <c r="P119">
        <v>0</v>
      </c>
      <c r="Q119">
        <v>0</v>
      </c>
      <c r="R119" t="s">
        <v>127</v>
      </c>
      <c r="S119" t="str">
        <f>"15:37:59.063"</f>
        <v>15:37:59.063</v>
      </c>
      <c r="T119" t="str">
        <f>"15:37:58.863"</f>
        <v>15:37:58.863</v>
      </c>
      <c r="U119" t="str">
        <f t="shared" si="6"/>
        <v>A55E09</v>
      </c>
      <c r="V119">
        <v>0</v>
      </c>
      <c r="W119">
        <v>0</v>
      </c>
      <c r="X119">
        <v>2</v>
      </c>
      <c r="Y119">
        <v>0</v>
      </c>
      <c r="AA119">
        <v>0</v>
      </c>
      <c r="AB119">
        <v>8</v>
      </c>
      <c r="AC119">
        <v>3</v>
      </c>
      <c r="AD119">
        <v>0</v>
      </c>
      <c r="AE119">
        <v>8</v>
      </c>
      <c r="AF119" t="s">
        <v>128</v>
      </c>
      <c r="AG119">
        <v>0</v>
      </c>
      <c r="AH119">
        <v>0</v>
      </c>
      <c r="AI119">
        <v>1</v>
      </c>
      <c r="AJ119">
        <v>0</v>
      </c>
      <c r="AK119" t="s">
        <v>192</v>
      </c>
      <c r="AL119">
        <v>33.665950000000002</v>
      </c>
      <c r="AM119" t="s">
        <v>193</v>
      </c>
      <c r="AN119">
        <v>-101.201742</v>
      </c>
      <c r="AO119">
        <v>100</v>
      </c>
      <c r="AP119">
        <v>3300</v>
      </c>
      <c r="AQ119" t="s">
        <v>131</v>
      </c>
      <c r="AR119">
        <v>-12</v>
      </c>
      <c r="AS119">
        <v>76</v>
      </c>
      <c r="AT119">
        <v>64</v>
      </c>
      <c r="BB119" t="str">
        <f t="shared" si="7"/>
        <v>1200</v>
      </c>
      <c r="BC119">
        <v>1</v>
      </c>
      <c r="BD119" t="str">
        <f t="shared" si="8"/>
        <v xml:space="preserve">N445JS  </v>
      </c>
      <c r="BE119">
        <v>7</v>
      </c>
      <c r="BG119">
        <v>0</v>
      </c>
      <c r="BH119">
        <v>0</v>
      </c>
      <c r="BI119">
        <v>0</v>
      </c>
      <c r="BJ119">
        <v>3075</v>
      </c>
      <c r="BK119">
        <v>-225</v>
      </c>
      <c r="BL119" t="s">
        <v>132</v>
      </c>
      <c r="BM119">
        <v>1</v>
      </c>
      <c r="BN119">
        <v>1</v>
      </c>
      <c r="BO119">
        <v>1</v>
      </c>
      <c r="BP119">
        <v>0</v>
      </c>
      <c r="BT119">
        <v>0</v>
      </c>
      <c r="BU119">
        <v>0</v>
      </c>
      <c r="CE119" t="str">
        <f>"15:37:59.065"</f>
        <v>15:37:59.065</v>
      </c>
      <c r="CF119">
        <v>65450796</v>
      </c>
      <c r="CS119">
        <v>0</v>
      </c>
      <c r="CT119">
        <v>2</v>
      </c>
      <c r="CU119">
        <v>0</v>
      </c>
      <c r="CV119">
        <v>2</v>
      </c>
      <c r="CW119">
        <v>0</v>
      </c>
      <c r="CX119">
        <v>7</v>
      </c>
      <c r="CY119">
        <v>7</v>
      </c>
      <c r="CZ119" t="s">
        <v>133</v>
      </c>
      <c r="DA119">
        <v>125</v>
      </c>
      <c r="DB119">
        <v>1</v>
      </c>
      <c r="DC119" t="s">
        <v>134</v>
      </c>
      <c r="DD119" t="s">
        <v>135</v>
      </c>
      <c r="DG119">
        <v>2469778</v>
      </c>
      <c r="DI119">
        <v>0</v>
      </c>
      <c r="DJ119">
        <v>0</v>
      </c>
      <c r="DK119">
        <v>1</v>
      </c>
      <c r="DL119">
        <v>0</v>
      </c>
      <c r="DM119">
        <v>0</v>
      </c>
      <c r="DN119">
        <v>0</v>
      </c>
      <c r="DO119">
        <v>0</v>
      </c>
      <c r="DP119">
        <v>0</v>
      </c>
      <c r="DQ119">
        <v>0</v>
      </c>
      <c r="DR119">
        <v>0</v>
      </c>
      <c r="DS119">
        <v>0</v>
      </c>
    </row>
    <row r="120" spans="1:123" x14ac:dyDescent="0.25">
      <c r="A120" t="str">
        <f>"04/17/2026 15:37:59.344"</f>
        <v>04/17/2026 15:37:59.344</v>
      </c>
      <c r="C120" t="str">
        <f t="shared" si="5"/>
        <v>FFDFD3C0</v>
      </c>
      <c r="D120" t="s">
        <v>136</v>
      </c>
      <c r="E120" t="str">
        <f>"0E"</f>
        <v>0E</v>
      </c>
      <c r="F120">
        <v>1014</v>
      </c>
      <c r="G120" t="s">
        <v>125</v>
      </c>
      <c r="J120" t="s">
        <v>137</v>
      </c>
      <c r="K120">
        <v>0</v>
      </c>
      <c r="L120">
        <v>3</v>
      </c>
      <c r="M120">
        <v>0</v>
      </c>
      <c r="N120">
        <v>2</v>
      </c>
      <c r="O120">
        <v>1</v>
      </c>
      <c r="P120">
        <v>0</v>
      </c>
      <c r="Q120">
        <v>0</v>
      </c>
      <c r="R120" t="s">
        <v>127</v>
      </c>
      <c r="S120" t="str">
        <f>"15:37:59.063"</f>
        <v>15:37:59.063</v>
      </c>
      <c r="T120" t="str">
        <f>"15:37:58.863"</f>
        <v>15:37:58.863</v>
      </c>
      <c r="U120" t="str">
        <f t="shared" si="6"/>
        <v>A55E09</v>
      </c>
      <c r="V120">
        <v>0</v>
      </c>
      <c r="W120">
        <v>0</v>
      </c>
      <c r="X120">
        <v>2</v>
      </c>
      <c r="Y120">
        <v>0</v>
      </c>
      <c r="AA120">
        <v>0</v>
      </c>
      <c r="AB120">
        <v>8</v>
      </c>
      <c r="AC120">
        <v>3</v>
      </c>
      <c r="AD120">
        <v>0</v>
      </c>
      <c r="AE120">
        <v>8</v>
      </c>
      <c r="AF120" t="s">
        <v>128</v>
      </c>
      <c r="AG120">
        <v>0</v>
      </c>
      <c r="AH120">
        <v>0</v>
      </c>
      <c r="AI120">
        <v>1</v>
      </c>
      <c r="AJ120">
        <v>0</v>
      </c>
      <c r="AK120" t="s">
        <v>192</v>
      </c>
      <c r="AL120">
        <v>33.665950000000002</v>
      </c>
      <c r="AM120" t="s">
        <v>193</v>
      </c>
      <c r="AN120">
        <v>-101.201742</v>
      </c>
      <c r="AO120">
        <v>100</v>
      </c>
      <c r="AP120">
        <v>3300</v>
      </c>
      <c r="AQ120" t="s">
        <v>131</v>
      </c>
      <c r="AR120">
        <v>-12</v>
      </c>
      <c r="AS120">
        <v>76</v>
      </c>
      <c r="AT120">
        <v>64</v>
      </c>
      <c r="BB120" t="str">
        <f t="shared" si="7"/>
        <v>1200</v>
      </c>
      <c r="BC120">
        <v>1</v>
      </c>
      <c r="BD120" t="str">
        <f t="shared" si="8"/>
        <v xml:space="preserve">N445JS  </v>
      </c>
      <c r="BE120">
        <v>7</v>
      </c>
      <c r="BG120">
        <v>0</v>
      </c>
      <c r="BH120">
        <v>0</v>
      </c>
      <c r="BI120">
        <v>0</v>
      </c>
      <c r="BJ120">
        <v>3075</v>
      </c>
      <c r="BK120">
        <v>-225</v>
      </c>
      <c r="BL120" t="s">
        <v>132</v>
      </c>
      <c r="BM120">
        <v>1</v>
      </c>
      <c r="BN120">
        <v>1</v>
      </c>
      <c r="BO120">
        <v>1</v>
      </c>
      <c r="BP120">
        <v>0</v>
      </c>
      <c r="BT120">
        <v>0</v>
      </c>
      <c r="BU120">
        <v>0</v>
      </c>
      <c r="CE120" t="str">
        <f>"15:37:59.065"</f>
        <v>15:37:59.065</v>
      </c>
      <c r="CF120">
        <v>65450796</v>
      </c>
      <c r="CS120">
        <v>0</v>
      </c>
      <c r="CT120">
        <v>2</v>
      </c>
      <c r="CU120">
        <v>0</v>
      </c>
      <c r="CV120">
        <v>2</v>
      </c>
      <c r="CW120">
        <v>0</v>
      </c>
      <c r="CX120">
        <v>7</v>
      </c>
      <c r="CY120">
        <v>7</v>
      </c>
      <c r="CZ120" t="s">
        <v>133</v>
      </c>
      <c r="DA120">
        <v>125</v>
      </c>
      <c r="DB120">
        <v>1</v>
      </c>
      <c r="DC120" t="s">
        <v>134</v>
      </c>
      <c r="DD120" t="s">
        <v>135</v>
      </c>
      <c r="DG120">
        <v>2469778</v>
      </c>
      <c r="DI120">
        <v>0</v>
      </c>
      <c r="DJ120">
        <v>0</v>
      </c>
      <c r="DK120">
        <v>1</v>
      </c>
      <c r="DL120">
        <v>0</v>
      </c>
      <c r="DM120">
        <v>0</v>
      </c>
      <c r="DN120">
        <v>0</v>
      </c>
      <c r="DO120">
        <v>0</v>
      </c>
      <c r="DP120">
        <v>0</v>
      </c>
      <c r="DQ120">
        <v>0</v>
      </c>
      <c r="DR120">
        <v>0</v>
      </c>
      <c r="DS120">
        <v>0</v>
      </c>
    </row>
    <row r="121" spans="1:123" x14ac:dyDescent="0.25">
      <c r="A121" t="str">
        <f>"04/17/2026 15:37:59.344"</f>
        <v>04/17/2026 15:37:59.344</v>
      </c>
      <c r="C121" t="str">
        <f t="shared" si="5"/>
        <v>FFDFD3C0</v>
      </c>
      <c r="D121" t="s">
        <v>136</v>
      </c>
      <c r="E121" t="str">
        <f>"0F"</f>
        <v>0F</v>
      </c>
      <c r="F121">
        <v>1015</v>
      </c>
      <c r="G121" t="s">
        <v>138</v>
      </c>
      <c r="J121" t="s">
        <v>137</v>
      </c>
      <c r="K121">
        <v>0</v>
      </c>
      <c r="L121">
        <v>3</v>
      </c>
      <c r="M121">
        <v>0</v>
      </c>
      <c r="N121">
        <v>2</v>
      </c>
      <c r="O121">
        <v>1</v>
      </c>
      <c r="P121">
        <v>0</v>
      </c>
      <c r="Q121">
        <v>0</v>
      </c>
      <c r="R121" t="s">
        <v>127</v>
      </c>
      <c r="S121" t="str">
        <f>"15:37:59.063"</f>
        <v>15:37:59.063</v>
      </c>
      <c r="T121" t="str">
        <f>"15:37:58.863"</f>
        <v>15:37:58.863</v>
      </c>
      <c r="U121" t="str">
        <f t="shared" si="6"/>
        <v>A55E09</v>
      </c>
      <c r="V121">
        <v>0</v>
      </c>
      <c r="W121">
        <v>0</v>
      </c>
      <c r="X121">
        <v>2</v>
      </c>
      <c r="Y121">
        <v>0</v>
      </c>
      <c r="AA121">
        <v>0</v>
      </c>
      <c r="AB121">
        <v>8</v>
      </c>
      <c r="AC121">
        <v>3</v>
      </c>
      <c r="AD121">
        <v>0</v>
      </c>
      <c r="AE121">
        <v>8</v>
      </c>
      <c r="AF121" t="s">
        <v>128</v>
      </c>
      <c r="AG121">
        <v>0</v>
      </c>
      <c r="AH121">
        <v>0</v>
      </c>
      <c r="AI121">
        <v>1</v>
      </c>
      <c r="AJ121">
        <v>0</v>
      </c>
      <c r="AK121" t="s">
        <v>192</v>
      </c>
      <c r="AL121">
        <v>33.665950000000002</v>
      </c>
      <c r="AM121" t="s">
        <v>193</v>
      </c>
      <c r="AN121">
        <v>-101.201742</v>
      </c>
      <c r="AO121">
        <v>100</v>
      </c>
      <c r="AP121">
        <v>3300</v>
      </c>
      <c r="AQ121" t="s">
        <v>131</v>
      </c>
      <c r="AR121">
        <v>-12</v>
      </c>
      <c r="AS121">
        <v>76</v>
      </c>
      <c r="AT121">
        <v>64</v>
      </c>
      <c r="BB121" t="str">
        <f t="shared" si="7"/>
        <v>1200</v>
      </c>
      <c r="BC121">
        <v>1</v>
      </c>
      <c r="BD121" t="str">
        <f t="shared" si="8"/>
        <v xml:space="preserve">N445JS  </v>
      </c>
      <c r="BE121">
        <v>7</v>
      </c>
      <c r="BG121">
        <v>0</v>
      </c>
      <c r="BH121">
        <v>0</v>
      </c>
      <c r="BI121">
        <v>0</v>
      </c>
      <c r="BJ121">
        <v>3075</v>
      </c>
      <c r="BK121">
        <v>-225</v>
      </c>
      <c r="BL121" t="s">
        <v>132</v>
      </c>
      <c r="BM121">
        <v>1</v>
      </c>
      <c r="BN121">
        <v>1</v>
      </c>
      <c r="BO121">
        <v>1</v>
      </c>
      <c r="BP121">
        <v>0</v>
      </c>
      <c r="BT121">
        <v>0</v>
      </c>
      <c r="BU121">
        <v>0</v>
      </c>
      <c r="CE121" t="str">
        <f>"15:37:59.065"</f>
        <v>15:37:59.065</v>
      </c>
      <c r="CF121">
        <v>65450796</v>
      </c>
      <c r="CS121">
        <v>0</v>
      </c>
      <c r="CT121">
        <v>2</v>
      </c>
      <c r="CU121">
        <v>0</v>
      </c>
      <c r="CV121">
        <v>2</v>
      </c>
      <c r="CW121">
        <v>0</v>
      </c>
      <c r="CX121">
        <v>7</v>
      </c>
      <c r="CY121">
        <v>7</v>
      </c>
      <c r="CZ121" t="s">
        <v>133</v>
      </c>
      <c r="DA121">
        <v>125</v>
      </c>
      <c r="DB121">
        <v>1</v>
      </c>
      <c r="DC121" t="s">
        <v>134</v>
      </c>
      <c r="DD121" t="s">
        <v>135</v>
      </c>
      <c r="DG121">
        <v>2469778</v>
      </c>
      <c r="DI121">
        <v>0</v>
      </c>
      <c r="DJ121">
        <v>0</v>
      </c>
      <c r="DK121">
        <v>1</v>
      </c>
      <c r="DL121">
        <v>0</v>
      </c>
      <c r="DM121">
        <v>0</v>
      </c>
      <c r="DN121">
        <v>0</v>
      </c>
      <c r="DO121">
        <v>0</v>
      </c>
      <c r="DP121">
        <v>0</v>
      </c>
      <c r="DQ121">
        <v>0</v>
      </c>
      <c r="DR121">
        <v>0</v>
      </c>
      <c r="DS121">
        <v>0</v>
      </c>
    </row>
    <row r="122" spans="1:123" x14ac:dyDescent="0.25">
      <c r="A122" t="str">
        <f>"04/17/2026 15:38:00.721"</f>
        <v>04/17/2026 15:38:00.721</v>
      </c>
      <c r="C122" t="str">
        <f t="shared" si="5"/>
        <v>FFDFD3C0</v>
      </c>
      <c r="D122" t="s">
        <v>139</v>
      </c>
      <c r="E122" t="str">
        <f>"28"</f>
        <v>28</v>
      </c>
      <c r="H122">
        <v>140</v>
      </c>
      <c r="I122" t="s">
        <v>140</v>
      </c>
      <c r="J122" t="s">
        <v>141</v>
      </c>
      <c r="K122">
        <v>0</v>
      </c>
      <c r="L122">
        <v>3</v>
      </c>
      <c r="M122">
        <v>0</v>
      </c>
      <c r="N122">
        <v>2</v>
      </c>
      <c r="O122">
        <v>1</v>
      </c>
      <c r="P122">
        <v>0</v>
      </c>
      <c r="Q122">
        <v>0</v>
      </c>
      <c r="R122" t="s">
        <v>127</v>
      </c>
      <c r="S122" t="str">
        <f>"15:38:00.453"</f>
        <v>15:38:00.453</v>
      </c>
      <c r="T122" t="str">
        <f>"15:38:00.153"</f>
        <v>15:38:00.153</v>
      </c>
      <c r="U122" t="str">
        <f t="shared" si="6"/>
        <v>A55E09</v>
      </c>
      <c r="V122">
        <v>0</v>
      </c>
      <c r="W122">
        <v>0</v>
      </c>
      <c r="X122">
        <v>2</v>
      </c>
      <c r="Y122">
        <v>0</v>
      </c>
      <c r="AA122">
        <v>0</v>
      </c>
      <c r="AB122">
        <v>9</v>
      </c>
      <c r="AC122">
        <v>3</v>
      </c>
      <c r="AD122">
        <v>0</v>
      </c>
      <c r="AE122">
        <v>9</v>
      </c>
      <c r="AF122" t="s">
        <v>128</v>
      </c>
      <c r="AG122">
        <v>0</v>
      </c>
      <c r="AH122">
        <v>0</v>
      </c>
      <c r="AI122">
        <v>1</v>
      </c>
      <c r="AJ122">
        <v>0</v>
      </c>
      <c r="AK122" t="s">
        <v>194</v>
      </c>
      <c r="AL122">
        <v>33.666443999999998</v>
      </c>
      <c r="AM122" t="s">
        <v>195</v>
      </c>
      <c r="AN122">
        <v>-101.20182800000001</v>
      </c>
      <c r="AO122">
        <v>100</v>
      </c>
      <c r="AP122">
        <v>3300</v>
      </c>
      <c r="AQ122" t="s">
        <v>131</v>
      </c>
      <c r="AR122">
        <v>-13</v>
      </c>
      <c r="AS122">
        <v>77</v>
      </c>
      <c r="AT122">
        <v>0</v>
      </c>
      <c r="BB122" t="str">
        <f t="shared" si="7"/>
        <v>1200</v>
      </c>
      <c r="BC122">
        <v>1</v>
      </c>
      <c r="BD122" t="str">
        <f t="shared" si="8"/>
        <v xml:space="preserve">N445JS  </v>
      </c>
      <c r="BE122">
        <v>7</v>
      </c>
      <c r="BG122">
        <v>0</v>
      </c>
      <c r="BH122">
        <v>0</v>
      </c>
      <c r="BI122">
        <v>0</v>
      </c>
      <c r="BJ122">
        <v>3075</v>
      </c>
      <c r="BK122">
        <v>-225</v>
      </c>
      <c r="BL122" t="s">
        <v>132</v>
      </c>
      <c r="BM122">
        <v>1</v>
      </c>
      <c r="BN122">
        <v>1</v>
      </c>
      <c r="BO122">
        <v>1</v>
      </c>
      <c r="BP122">
        <v>0</v>
      </c>
      <c r="BT122">
        <v>0</v>
      </c>
      <c r="BU122">
        <v>0</v>
      </c>
      <c r="CE122" t="str">
        <f>"15:38:00.460"</f>
        <v>15:38:00.460</v>
      </c>
      <c r="CF122">
        <v>460314053</v>
      </c>
      <c r="CS122">
        <v>0</v>
      </c>
      <c r="CT122">
        <v>2</v>
      </c>
      <c r="CU122">
        <v>0</v>
      </c>
      <c r="CV122">
        <v>2</v>
      </c>
      <c r="CW122">
        <v>0</v>
      </c>
      <c r="CX122">
        <v>7</v>
      </c>
      <c r="CY122">
        <v>7</v>
      </c>
      <c r="CZ122" t="s">
        <v>133</v>
      </c>
      <c r="DA122">
        <v>125</v>
      </c>
      <c r="DB122">
        <v>1</v>
      </c>
      <c r="DC122" t="s">
        <v>134</v>
      </c>
      <c r="DD122" t="s">
        <v>135</v>
      </c>
      <c r="DG122">
        <v>2471179</v>
      </c>
      <c r="DI122">
        <v>0</v>
      </c>
      <c r="DJ122">
        <v>0</v>
      </c>
      <c r="DK122">
        <v>0</v>
      </c>
      <c r="DL122">
        <v>0</v>
      </c>
      <c r="DM122">
        <v>0</v>
      </c>
      <c r="DN122">
        <v>0</v>
      </c>
      <c r="DO122">
        <v>0</v>
      </c>
      <c r="DP122">
        <v>0</v>
      </c>
      <c r="DQ122">
        <v>0</v>
      </c>
      <c r="DR122">
        <v>0</v>
      </c>
      <c r="DS122">
        <v>0</v>
      </c>
    </row>
    <row r="123" spans="1:123" x14ac:dyDescent="0.25">
      <c r="A123" t="str">
        <f>"04/17/2026 15:38:00.745"</f>
        <v>04/17/2026 15:38:00.745</v>
      </c>
      <c r="C123" t="str">
        <f t="shared" si="5"/>
        <v>FFDFD3C0</v>
      </c>
      <c r="D123" t="s">
        <v>124</v>
      </c>
      <c r="E123" t="str">
        <f>"03"</f>
        <v>03</v>
      </c>
      <c r="H123">
        <v>160</v>
      </c>
      <c r="I123" t="s">
        <v>125</v>
      </c>
      <c r="J123" t="s">
        <v>126</v>
      </c>
      <c r="K123">
        <v>0</v>
      </c>
      <c r="L123">
        <v>3</v>
      </c>
      <c r="M123">
        <v>0</v>
      </c>
      <c r="N123">
        <v>2</v>
      </c>
      <c r="O123">
        <v>1</v>
      </c>
      <c r="P123">
        <v>0</v>
      </c>
      <c r="Q123">
        <v>0</v>
      </c>
      <c r="R123" t="s">
        <v>127</v>
      </c>
      <c r="S123" t="str">
        <f>"15:38:00.453"</f>
        <v>15:38:00.453</v>
      </c>
      <c r="T123" t="str">
        <f>"15:38:00.153"</f>
        <v>15:38:00.153</v>
      </c>
      <c r="U123" t="str">
        <f t="shared" si="6"/>
        <v>A55E09</v>
      </c>
      <c r="V123">
        <v>0</v>
      </c>
      <c r="W123">
        <v>0</v>
      </c>
      <c r="X123">
        <v>2</v>
      </c>
      <c r="Y123">
        <v>0</v>
      </c>
      <c r="AA123">
        <v>0</v>
      </c>
      <c r="AB123">
        <v>9</v>
      </c>
      <c r="AC123">
        <v>3</v>
      </c>
      <c r="AD123">
        <v>0</v>
      </c>
      <c r="AE123">
        <v>9</v>
      </c>
      <c r="AF123" t="s">
        <v>128</v>
      </c>
      <c r="AG123">
        <v>0</v>
      </c>
      <c r="AH123">
        <v>0</v>
      </c>
      <c r="AI123">
        <v>1</v>
      </c>
      <c r="AJ123">
        <v>0</v>
      </c>
      <c r="AK123" t="s">
        <v>194</v>
      </c>
      <c r="AL123">
        <v>33.666443999999998</v>
      </c>
      <c r="AM123" t="s">
        <v>195</v>
      </c>
      <c r="AN123">
        <v>-101.20182800000001</v>
      </c>
      <c r="AO123">
        <v>100</v>
      </c>
      <c r="AP123">
        <v>3300</v>
      </c>
      <c r="AQ123" t="s">
        <v>131</v>
      </c>
      <c r="AR123">
        <v>-13</v>
      </c>
      <c r="AS123">
        <v>77</v>
      </c>
      <c r="AT123">
        <v>0</v>
      </c>
      <c r="BB123" t="str">
        <f t="shared" si="7"/>
        <v>1200</v>
      </c>
      <c r="BC123">
        <v>1</v>
      </c>
      <c r="BD123" t="str">
        <f t="shared" si="8"/>
        <v xml:space="preserve">N445JS  </v>
      </c>
      <c r="BE123">
        <v>7</v>
      </c>
      <c r="BG123">
        <v>0</v>
      </c>
      <c r="BH123">
        <v>0</v>
      </c>
      <c r="BI123">
        <v>0</v>
      </c>
      <c r="BJ123">
        <v>3075</v>
      </c>
      <c r="BK123">
        <v>-225</v>
      </c>
      <c r="BL123" t="s">
        <v>132</v>
      </c>
      <c r="BM123">
        <v>1</v>
      </c>
      <c r="BN123">
        <v>1</v>
      </c>
      <c r="BO123">
        <v>1</v>
      </c>
      <c r="BP123">
        <v>0</v>
      </c>
      <c r="BT123">
        <v>0</v>
      </c>
      <c r="BU123">
        <v>0</v>
      </c>
      <c r="CE123" t="str">
        <f>"15:38:00.460"</f>
        <v>15:38:00.460</v>
      </c>
      <c r="CF123">
        <v>460314053</v>
      </c>
      <c r="CS123">
        <v>0</v>
      </c>
      <c r="CT123">
        <v>2</v>
      </c>
      <c r="CU123">
        <v>0</v>
      </c>
      <c r="CV123">
        <v>2</v>
      </c>
      <c r="CW123">
        <v>0</v>
      </c>
      <c r="CX123">
        <v>7</v>
      </c>
      <c r="CY123">
        <v>7</v>
      </c>
      <c r="CZ123" t="s">
        <v>133</v>
      </c>
      <c r="DA123">
        <v>125</v>
      </c>
      <c r="DB123">
        <v>1</v>
      </c>
      <c r="DC123" t="s">
        <v>134</v>
      </c>
      <c r="DD123" t="s">
        <v>135</v>
      </c>
      <c r="DG123">
        <v>2471179</v>
      </c>
      <c r="DI123">
        <v>0</v>
      </c>
      <c r="DJ123">
        <v>0</v>
      </c>
      <c r="DK123">
        <v>1</v>
      </c>
      <c r="DL123">
        <v>0</v>
      </c>
      <c r="DM123">
        <v>0</v>
      </c>
      <c r="DN123">
        <v>0</v>
      </c>
      <c r="DO123">
        <v>0</v>
      </c>
      <c r="DP123">
        <v>0</v>
      </c>
      <c r="DQ123">
        <v>0</v>
      </c>
      <c r="DR123">
        <v>0</v>
      </c>
      <c r="DS123">
        <v>0</v>
      </c>
    </row>
    <row r="124" spans="1:123" x14ac:dyDescent="0.25">
      <c r="A124" t="str">
        <f>"04/17/2026 15:38:00.747"</f>
        <v>04/17/2026 15:38:00.747</v>
      </c>
      <c r="C124" t="str">
        <f t="shared" si="5"/>
        <v>FFDFD3C0</v>
      </c>
      <c r="D124" t="s">
        <v>136</v>
      </c>
      <c r="E124" t="str">
        <f>"0E"</f>
        <v>0E</v>
      </c>
      <c r="F124">
        <v>1014</v>
      </c>
      <c r="G124" t="s">
        <v>125</v>
      </c>
      <c r="J124" t="s">
        <v>137</v>
      </c>
      <c r="K124">
        <v>0</v>
      </c>
      <c r="L124">
        <v>3</v>
      </c>
      <c r="M124">
        <v>0</v>
      </c>
      <c r="N124">
        <v>2</v>
      </c>
      <c r="O124">
        <v>1</v>
      </c>
      <c r="P124">
        <v>0</v>
      </c>
      <c r="Q124">
        <v>0</v>
      </c>
      <c r="R124" t="s">
        <v>127</v>
      </c>
      <c r="S124" t="str">
        <f>"15:38:00.453"</f>
        <v>15:38:00.453</v>
      </c>
      <c r="T124" t="str">
        <f>"15:38:00.153"</f>
        <v>15:38:00.153</v>
      </c>
      <c r="U124" t="str">
        <f t="shared" si="6"/>
        <v>A55E09</v>
      </c>
      <c r="V124">
        <v>0</v>
      </c>
      <c r="W124">
        <v>0</v>
      </c>
      <c r="X124">
        <v>2</v>
      </c>
      <c r="Y124">
        <v>0</v>
      </c>
      <c r="AA124">
        <v>0</v>
      </c>
      <c r="AB124">
        <v>9</v>
      </c>
      <c r="AC124">
        <v>3</v>
      </c>
      <c r="AD124">
        <v>0</v>
      </c>
      <c r="AE124">
        <v>9</v>
      </c>
      <c r="AF124" t="s">
        <v>128</v>
      </c>
      <c r="AG124">
        <v>0</v>
      </c>
      <c r="AH124">
        <v>0</v>
      </c>
      <c r="AI124">
        <v>1</v>
      </c>
      <c r="AJ124">
        <v>0</v>
      </c>
      <c r="AK124" t="s">
        <v>194</v>
      </c>
      <c r="AL124">
        <v>33.666443999999998</v>
      </c>
      <c r="AM124" t="s">
        <v>195</v>
      </c>
      <c r="AN124">
        <v>-101.20182800000001</v>
      </c>
      <c r="AO124">
        <v>100</v>
      </c>
      <c r="AP124">
        <v>3300</v>
      </c>
      <c r="AQ124" t="s">
        <v>131</v>
      </c>
      <c r="AR124">
        <v>-13</v>
      </c>
      <c r="AS124">
        <v>77</v>
      </c>
      <c r="AT124">
        <v>0</v>
      </c>
      <c r="BB124" t="str">
        <f t="shared" si="7"/>
        <v>1200</v>
      </c>
      <c r="BC124">
        <v>1</v>
      </c>
      <c r="BD124" t="str">
        <f t="shared" si="8"/>
        <v xml:space="preserve">N445JS  </v>
      </c>
      <c r="BE124">
        <v>7</v>
      </c>
      <c r="BG124">
        <v>0</v>
      </c>
      <c r="BH124">
        <v>0</v>
      </c>
      <c r="BI124">
        <v>0</v>
      </c>
      <c r="BJ124">
        <v>3075</v>
      </c>
      <c r="BK124">
        <v>-225</v>
      </c>
      <c r="BL124" t="s">
        <v>132</v>
      </c>
      <c r="BM124">
        <v>1</v>
      </c>
      <c r="BN124">
        <v>1</v>
      </c>
      <c r="BO124">
        <v>1</v>
      </c>
      <c r="BP124">
        <v>0</v>
      </c>
      <c r="BT124">
        <v>0</v>
      </c>
      <c r="BU124">
        <v>0</v>
      </c>
      <c r="CE124" t="str">
        <f>"15:38:00.460"</f>
        <v>15:38:00.460</v>
      </c>
      <c r="CF124">
        <v>460314053</v>
      </c>
      <c r="CS124">
        <v>0</v>
      </c>
      <c r="CT124">
        <v>2</v>
      </c>
      <c r="CU124">
        <v>0</v>
      </c>
      <c r="CV124">
        <v>2</v>
      </c>
      <c r="CW124">
        <v>0</v>
      </c>
      <c r="CX124">
        <v>7</v>
      </c>
      <c r="CY124">
        <v>7</v>
      </c>
      <c r="CZ124" t="s">
        <v>133</v>
      </c>
      <c r="DA124">
        <v>125</v>
      </c>
      <c r="DB124">
        <v>1</v>
      </c>
      <c r="DC124" t="s">
        <v>134</v>
      </c>
      <c r="DD124" t="s">
        <v>135</v>
      </c>
      <c r="DG124">
        <v>2471179</v>
      </c>
      <c r="DI124">
        <v>0</v>
      </c>
      <c r="DJ124">
        <v>0</v>
      </c>
      <c r="DK124">
        <v>1</v>
      </c>
      <c r="DL124">
        <v>0</v>
      </c>
      <c r="DM124">
        <v>0</v>
      </c>
      <c r="DN124">
        <v>0</v>
      </c>
      <c r="DO124">
        <v>0</v>
      </c>
      <c r="DP124">
        <v>0</v>
      </c>
      <c r="DQ124">
        <v>0</v>
      </c>
      <c r="DR124">
        <v>0</v>
      </c>
      <c r="DS124">
        <v>0</v>
      </c>
    </row>
    <row r="125" spans="1:123" x14ac:dyDescent="0.25">
      <c r="A125" t="str">
        <f>"04/17/2026 15:38:00.747"</f>
        <v>04/17/2026 15:38:00.747</v>
      </c>
      <c r="C125" t="str">
        <f t="shared" si="5"/>
        <v>FFDFD3C0</v>
      </c>
      <c r="D125" t="s">
        <v>136</v>
      </c>
      <c r="E125" t="str">
        <f>"0F"</f>
        <v>0F</v>
      </c>
      <c r="F125">
        <v>1015</v>
      </c>
      <c r="G125" t="s">
        <v>138</v>
      </c>
      <c r="J125" t="s">
        <v>137</v>
      </c>
      <c r="K125">
        <v>0</v>
      </c>
      <c r="L125">
        <v>3</v>
      </c>
      <c r="M125">
        <v>0</v>
      </c>
      <c r="N125">
        <v>2</v>
      </c>
      <c r="O125">
        <v>1</v>
      </c>
      <c r="P125">
        <v>0</v>
      </c>
      <c r="Q125">
        <v>0</v>
      </c>
      <c r="R125" t="s">
        <v>127</v>
      </c>
      <c r="S125" t="str">
        <f>"15:38:00.453"</f>
        <v>15:38:00.453</v>
      </c>
      <c r="T125" t="str">
        <f>"15:38:00.153"</f>
        <v>15:38:00.153</v>
      </c>
      <c r="U125" t="str">
        <f t="shared" si="6"/>
        <v>A55E09</v>
      </c>
      <c r="V125">
        <v>0</v>
      </c>
      <c r="W125">
        <v>0</v>
      </c>
      <c r="X125">
        <v>2</v>
      </c>
      <c r="Y125">
        <v>0</v>
      </c>
      <c r="AA125">
        <v>0</v>
      </c>
      <c r="AB125">
        <v>9</v>
      </c>
      <c r="AC125">
        <v>3</v>
      </c>
      <c r="AD125">
        <v>0</v>
      </c>
      <c r="AE125">
        <v>9</v>
      </c>
      <c r="AF125" t="s">
        <v>128</v>
      </c>
      <c r="AG125">
        <v>0</v>
      </c>
      <c r="AH125">
        <v>0</v>
      </c>
      <c r="AI125">
        <v>1</v>
      </c>
      <c r="AJ125">
        <v>0</v>
      </c>
      <c r="AK125" t="s">
        <v>194</v>
      </c>
      <c r="AL125">
        <v>33.666443999999998</v>
      </c>
      <c r="AM125" t="s">
        <v>195</v>
      </c>
      <c r="AN125">
        <v>-101.20182800000001</v>
      </c>
      <c r="AO125">
        <v>100</v>
      </c>
      <c r="AP125">
        <v>3300</v>
      </c>
      <c r="AQ125" t="s">
        <v>131</v>
      </c>
      <c r="AR125">
        <v>-13</v>
      </c>
      <c r="AS125">
        <v>77</v>
      </c>
      <c r="AT125">
        <v>0</v>
      </c>
      <c r="BB125" t="str">
        <f t="shared" si="7"/>
        <v>1200</v>
      </c>
      <c r="BC125">
        <v>1</v>
      </c>
      <c r="BD125" t="str">
        <f t="shared" si="8"/>
        <v xml:space="preserve">N445JS  </v>
      </c>
      <c r="BE125">
        <v>7</v>
      </c>
      <c r="BG125">
        <v>0</v>
      </c>
      <c r="BH125">
        <v>0</v>
      </c>
      <c r="BI125">
        <v>0</v>
      </c>
      <c r="BJ125">
        <v>3075</v>
      </c>
      <c r="BK125">
        <v>-225</v>
      </c>
      <c r="BL125" t="s">
        <v>132</v>
      </c>
      <c r="BM125">
        <v>1</v>
      </c>
      <c r="BN125">
        <v>1</v>
      </c>
      <c r="BO125">
        <v>1</v>
      </c>
      <c r="BP125">
        <v>0</v>
      </c>
      <c r="BT125">
        <v>0</v>
      </c>
      <c r="BU125">
        <v>0</v>
      </c>
      <c r="CE125" t="str">
        <f>"15:38:00.460"</f>
        <v>15:38:00.460</v>
      </c>
      <c r="CF125">
        <v>460314053</v>
      </c>
      <c r="CS125">
        <v>0</v>
      </c>
      <c r="CT125">
        <v>2</v>
      </c>
      <c r="CU125">
        <v>0</v>
      </c>
      <c r="CV125">
        <v>2</v>
      </c>
      <c r="CW125">
        <v>0</v>
      </c>
      <c r="CX125">
        <v>7</v>
      </c>
      <c r="CY125">
        <v>7</v>
      </c>
      <c r="CZ125" t="s">
        <v>133</v>
      </c>
      <c r="DA125">
        <v>125</v>
      </c>
      <c r="DB125">
        <v>1</v>
      </c>
      <c r="DC125" t="s">
        <v>134</v>
      </c>
      <c r="DD125" t="s">
        <v>135</v>
      </c>
      <c r="DG125">
        <v>2471179</v>
      </c>
      <c r="DI125">
        <v>0</v>
      </c>
      <c r="DJ125">
        <v>0</v>
      </c>
      <c r="DK125">
        <v>1</v>
      </c>
      <c r="DL125">
        <v>0</v>
      </c>
      <c r="DM125">
        <v>0</v>
      </c>
      <c r="DN125">
        <v>0</v>
      </c>
      <c r="DO125">
        <v>0</v>
      </c>
      <c r="DP125">
        <v>0</v>
      </c>
      <c r="DQ125">
        <v>0</v>
      </c>
      <c r="DR125">
        <v>0</v>
      </c>
      <c r="DS125">
        <v>0</v>
      </c>
    </row>
    <row r="126" spans="1:123" x14ac:dyDescent="0.25">
      <c r="A126" t="str">
        <f>"04/17/2026 15:38:01.673"</f>
        <v>04/17/2026 15:38:01.673</v>
      </c>
      <c r="C126" t="str">
        <f t="shared" si="5"/>
        <v>FFDFD3C0</v>
      </c>
      <c r="D126" t="s">
        <v>139</v>
      </c>
      <c r="E126" t="str">
        <f>"28"</f>
        <v>28</v>
      </c>
      <c r="H126">
        <v>140</v>
      </c>
      <c r="I126" t="s">
        <v>140</v>
      </c>
      <c r="J126" t="s">
        <v>141</v>
      </c>
      <c r="K126">
        <v>0</v>
      </c>
      <c r="L126">
        <v>3</v>
      </c>
      <c r="M126">
        <v>0</v>
      </c>
      <c r="N126">
        <v>2</v>
      </c>
      <c r="O126">
        <v>1</v>
      </c>
      <c r="P126">
        <v>0</v>
      </c>
      <c r="Q126">
        <v>0</v>
      </c>
      <c r="R126" t="s">
        <v>127</v>
      </c>
      <c r="S126" t="str">
        <f>"15:38:01.414"</f>
        <v>15:38:01.414</v>
      </c>
      <c r="T126" t="str">
        <f>"15:38:01.214"</f>
        <v>15:38:01.214</v>
      </c>
      <c r="U126" t="str">
        <f t="shared" si="6"/>
        <v>A55E09</v>
      </c>
      <c r="V126">
        <v>0</v>
      </c>
      <c r="W126">
        <v>0</v>
      </c>
      <c r="X126">
        <v>2</v>
      </c>
      <c r="Y126">
        <v>0</v>
      </c>
      <c r="AA126">
        <v>0</v>
      </c>
      <c r="AB126">
        <v>9</v>
      </c>
      <c r="AC126">
        <v>3</v>
      </c>
      <c r="AD126">
        <v>0</v>
      </c>
      <c r="AE126">
        <v>9</v>
      </c>
      <c r="AF126" t="s">
        <v>128</v>
      </c>
      <c r="AG126">
        <v>0</v>
      </c>
      <c r="AH126">
        <v>0</v>
      </c>
      <c r="AI126">
        <v>1</v>
      </c>
      <c r="AJ126">
        <v>0</v>
      </c>
      <c r="AK126" t="s">
        <v>196</v>
      </c>
      <c r="AL126">
        <v>33.666786999999999</v>
      </c>
      <c r="AM126" t="s">
        <v>197</v>
      </c>
      <c r="AN126">
        <v>-101.201913</v>
      </c>
      <c r="AO126">
        <v>100</v>
      </c>
      <c r="AP126">
        <v>3300</v>
      </c>
      <c r="AQ126" t="s">
        <v>131</v>
      </c>
      <c r="AR126">
        <v>-13</v>
      </c>
      <c r="AS126">
        <v>78</v>
      </c>
      <c r="AT126">
        <v>64</v>
      </c>
      <c r="BB126" t="str">
        <f t="shared" si="7"/>
        <v>1200</v>
      </c>
      <c r="BC126">
        <v>1</v>
      </c>
      <c r="BD126" t="str">
        <f t="shared" si="8"/>
        <v xml:space="preserve">N445JS  </v>
      </c>
      <c r="BE126">
        <v>7</v>
      </c>
      <c r="BG126">
        <v>0</v>
      </c>
      <c r="BH126">
        <v>0</v>
      </c>
      <c r="BI126">
        <v>0</v>
      </c>
      <c r="BJ126">
        <v>3075</v>
      </c>
      <c r="BK126">
        <v>-225</v>
      </c>
      <c r="BL126" t="s">
        <v>132</v>
      </c>
      <c r="BM126">
        <v>1</v>
      </c>
      <c r="BN126">
        <v>1</v>
      </c>
      <c r="BO126">
        <v>1</v>
      </c>
      <c r="BP126">
        <v>0</v>
      </c>
      <c r="BT126">
        <v>0</v>
      </c>
      <c r="BU126">
        <v>0</v>
      </c>
      <c r="CE126" t="str">
        <f>"15:38:01.420"</f>
        <v>15:38:01.420</v>
      </c>
      <c r="CF126">
        <v>420219947</v>
      </c>
      <c r="CS126">
        <v>0</v>
      </c>
      <c r="CT126">
        <v>2</v>
      </c>
      <c r="CU126">
        <v>0</v>
      </c>
      <c r="CV126">
        <v>2</v>
      </c>
      <c r="CW126">
        <v>0</v>
      </c>
      <c r="CX126">
        <v>7</v>
      </c>
      <c r="CY126">
        <v>7</v>
      </c>
      <c r="CZ126" t="s">
        <v>133</v>
      </c>
      <c r="DA126">
        <v>125</v>
      </c>
      <c r="DB126">
        <v>1</v>
      </c>
      <c r="DC126" t="s">
        <v>134</v>
      </c>
      <c r="DD126" t="s">
        <v>135</v>
      </c>
      <c r="DG126">
        <v>2472138</v>
      </c>
      <c r="DI126">
        <v>0</v>
      </c>
      <c r="DJ126">
        <v>0</v>
      </c>
      <c r="DK126">
        <v>0</v>
      </c>
      <c r="DL126">
        <v>0</v>
      </c>
      <c r="DM126">
        <v>0</v>
      </c>
      <c r="DN126">
        <v>0</v>
      </c>
      <c r="DO126">
        <v>0</v>
      </c>
      <c r="DP126">
        <v>0</v>
      </c>
      <c r="DQ126">
        <v>0</v>
      </c>
      <c r="DR126">
        <v>0</v>
      </c>
      <c r="DS126">
        <v>0</v>
      </c>
    </row>
    <row r="127" spans="1:123" x14ac:dyDescent="0.25">
      <c r="A127" t="str">
        <f>"04/17/2026 15:38:01.697"</f>
        <v>04/17/2026 15:38:01.697</v>
      </c>
      <c r="C127" t="str">
        <f t="shared" si="5"/>
        <v>FFDFD3C0</v>
      </c>
      <c r="D127" t="s">
        <v>124</v>
      </c>
      <c r="E127" t="str">
        <f>"03"</f>
        <v>03</v>
      </c>
      <c r="H127">
        <v>160</v>
      </c>
      <c r="I127" t="s">
        <v>125</v>
      </c>
      <c r="J127" t="s">
        <v>126</v>
      </c>
      <c r="K127">
        <v>0</v>
      </c>
      <c r="L127">
        <v>3</v>
      </c>
      <c r="M127">
        <v>0</v>
      </c>
      <c r="N127">
        <v>2</v>
      </c>
      <c r="O127">
        <v>1</v>
      </c>
      <c r="P127">
        <v>0</v>
      </c>
      <c r="Q127">
        <v>0</v>
      </c>
      <c r="R127" t="s">
        <v>127</v>
      </c>
      <c r="S127" t="str">
        <f>"15:38:01.414"</f>
        <v>15:38:01.414</v>
      </c>
      <c r="T127" t="str">
        <f>"15:38:01.214"</f>
        <v>15:38:01.214</v>
      </c>
      <c r="U127" t="str">
        <f t="shared" si="6"/>
        <v>A55E09</v>
      </c>
      <c r="V127">
        <v>0</v>
      </c>
      <c r="W127">
        <v>0</v>
      </c>
      <c r="X127">
        <v>2</v>
      </c>
      <c r="Y127">
        <v>0</v>
      </c>
      <c r="AA127">
        <v>0</v>
      </c>
      <c r="AB127">
        <v>9</v>
      </c>
      <c r="AC127">
        <v>3</v>
      </c>
      <c r="AD127">
        <v>0</v>
      </c>
      <c r="AE127">
        <v>9</v>
      </c>
      <c r="AF127" t="s">
        <v>128</v>
      </c>
      <c r="AG127">
        <v>0</v>
      </c>
      <c r="AH127">
        <v>0</v>
      </c>
      <c r="AI127">
        <v>1</v>
      </c>
      <c r="AJ127">
        <v>0</v>
      </c>
      <c r="AK127" t="s">
        <v>196</v>
      </c>
      <c r="AL127">
        <v>33.666786999999999</v>
      </c>
      <c r="AM127" t="s">
        <v>197</v>
      </c>
      <c r="AN127">
        <v>-101.201913</v>
      </c>
      <c r="AO127">
        <v>100</v>
      </c>
      <c r="AP127">
        <v>3300</v>
      </c>
      <c r="AQ127" t="s">
        <v>131</v>
      </c>
      <c r="AR127">
        <v>-13</v>
      </c>
      <c r="AS127">
        <v>78</v>
      </c>
      <c r="AT127">
        <v>64</v>
      </c>
      <c r="BB127" t="str">
        <f t="shared" si="7"/>
        <v>1200</v>
      </c>
      <c r="BC127">
        <v>1</v>
      </c>
      <c r="BD127" t="str">
        <f t="shared" si="8"/>
        <v xml:space="preserve">N445JS  </v>
      </c>
      <c r="BE127">
        <v>7</v>
      </c>
      <c r="BG127">
        <v>0</v>
      </c>
      <c r="BH127">
        <v>0</v>
      </c>
      <c r="BI127">
        <v>0</v>
      </c>
      <c r="BJ127">
        <v>3075</v>
      </c>
      <c r="BK127">
        <v>-225</v>
      </c>
      <c r="BL127" t="s">
        <v>132</v>
      </c>
      <c r="BM127">
        <v>1</v>
      </c>
      <c r="BN127">
        <v>1</v>
      </c>
      <c r="BO127">
        <v>1</v>
      </c>
      <c r="BP127">
        <v>0</v>
      </c>
      <c r="BT127">
        <v>0</v>
      </c>
      <c r="BU127">
        <v>0</v>
      </c>
      <c r="CE127" t="str">
        <f>"15:38:01.420"</f>
        <v>15:38:01.420</v>
      </c>
      <c r="CF127">
        <v>420219947</v>
      </c>
      <c r="CS127">
        <v>0</v>
      </c>
      <c r="CT127">
        <v>2</v>
      </c>
      <c r="CU127">
        <v>0</v>
      </c>
      <c r="CV127">
        <v>2</v>
      </c>
      <c r="CW127">
        <v>0</v>
      </c>
      <c r="CX127">
        <v>7</v>
      </c>
      <c r="CY127">
        <v>7</v>
      </c>
      <c r="CZ127" t="s">
        <v>133</v>
      </c>
      <c r="DA127">
        <v>125</v>
      </c>
      <c r="DB127">
        <v>1</v>
      </c>
      <c r="DC127" t="s">
        <v>134</v>
      </c>
      <c r="DD127" t="s">
        <v>135</v>
      </c>
      <c r="DG127">
        <v>2472138</v>
      </c>
      <c r="DI127">
        <v>0</v>
      </c>
      <c r="DJ127">
        <v>0</v>
      </c>
      <c r="DK127">
        <v>1</v>
      </c>
      <c r="DL127">
        <v>0</v>
      </c>
      <c r="DM127">
        <v>0</v>
      </c>
      <c r="DN127">
        <v>0</v>
      </c>
      <c r="DO127">
        <v>0</v>
      </c>
      <c r="DP127">
        <v>0</v>
      </c>
      <c r="DQ127">
        <v>0</v>
      </c>
      <c r="DR127">
        <v>0</v>
      </c>
      <c r="DS127">
        <v>0</v>
      </c>
    </row>
    <row r="128" spans="1:123" x14ac:dyDescent="0.25">
      <c r="A128" t="str">
        <f>"04/17/2026 15:38:01.698"</f>
        <v>04/17/2026 15:38:01.698</v>
      </c>
      <c r="C128" t="str">
        <f t="shared" si="5"/>
        <v>FFDFD3C0</v>
      </c>
      <c r="D128" t="s">
        <v>136</v>
      </c>
      <c r="E128" t="str">
        <f>"0E"</f>
        <v>0E</v>
      </c>
      <c r="F128">
        <v>1014</v>
      </c>
      <c r="G128" t="s">
        <v>125</v>
      </c>
      <c r="J128" t="s">
        <v>137</v>
      </c>
      <c r="K128">
        <v>0</v>
      </c>
      <c r="L128">
        <v>3</v>
      </c>
      <c r="M128">
        <v>0</v>
      </c>
      <c r="N128">
        <v>2</v>
      </c>
      <c r="O128">
        <v>1</v>
      </c>
      <c r="P128">
        <v>0</v>
      </c>
      <c r="Q128">
        <v>0</v>
      </c>
      <c r="R128" t="s">
        <v>127</v>
      </c>
      <c r="S128" t="str">
        <f>"15:38:01.414"</f>
        <v>15:38:01.414</v>
      </c>
      <c r="T128" t="str">
        <f>"15:38:01.214"</f>
        <v>15:38:01.214</v>
      </c>
      <c r="U128" t="str">
        <f t="shared" si="6"/>
        <v>A55E09</v>
      </c>
      <c r="V128">
        <v>0</v>
      </c>
      <c r="W128">
        <v>0</v>
      </c>
      <c r="X128">
        <v>2</v>
      </c>
      <c r="Y128">
        <v>0</v>
      </c>
      <c r="AA128">
        <v>0</v>
      </c>
      <c r="AB128">
        <v>9</v>
      </c>
      <c r="AC128">
        <v>3</v>
      </c>
      <c r="AD128">
        <v>0</v>
      </c>
      <c r="AE128">
        <v>9</v>
      </c>
      <c r="AF128" t="s">
        <v>128</v>
      </c>
      <c r="AG128">
        <v>0</v>
      </c>
      <c r="AH128">
        <v>0</v>
      </c>
      <c r="AI128">
        <v>1</v>
      </c>
      <c r="AJ128">
        <v>0</v>
      </c>
      <c r="AK128" t="s">
        <v>196</v>
      </c>
      <c r="AL128">
        <v>33.666786999999999</v>
      </c>
      <c r="AM128" t="s">
        <v>197</v>
      </c>
      <c r="AN128">
        <v>-101.201913</v>
      </c>
      <c r="AO128">
        <v>100</v>
      </c>
      <c r="AP128">
        <v>3300</v>
      </c>
      <c r="AQ128" t="s">
        <v>131</v>
      </c>
      <c r="AR128">
        <v>-13</v>
      </c>
      <c r="AS128">
        <v>78</v>
      </c>
      <c r="AT128">
        <v>64</v>
      </c>
      <c r="BB128" t="str">
        <f t="shared" si="7"/>
        <v>1200</v>
      </c>
      <c r="BC128">
        <v>1</v>
      </c>
      <c r="BD128" t="str">
        <f t="shared" si="8"/>
        <v xml:space="preserve">N445JS  </v>
      </c>
      <c r="BE128">
        <v>7</v>
      </c>
      <c r="BG128">
        <v>0</v>
      </c>
      <c r="BH128">
        <v>0</v>
      </c>
      <c r="BI128">
        <v>0</v>
      </c>
      <c r="BJ128">
        <v>3075</v>
      </c>
      <c r="BK128">
        <v>-225</v>
      </c>
      <c r="BL128" t="s">
        <v>132</v>
      </c>
      <c r="BM128">
        <v>1</v>
      </c>
      <c r="BN128">
        <v>1</v>
      </c>
      <c r="BO128">
        <v>1</v>
      </c>
      <c r="BP128">
        <v>0</v>
      </c>
      <c r="BT128">
        <v>0</v>
      </c>
      <c r="BU128">
        <v>0</v>
      </c>
      <c r="CE128" t="str">
        <f>"15:38:01.420"</f>
        <v>15:38:01.420</v>
      </c>
      <c r="CF128">
        <v>420219947</v>
      </c>
      <c r="CS128">
        <v>0</v>
      </c>
      <c r="CT128">
        <v>2</v>
      </c>
      <c r="CU128">
        <v>0</v>
      </c>
      <c r="CV128">
        <v>2</v>
      </c>
      <c r="CW128">
        <v>0</v>
      </c>
      <c r="CX128">
        <v>7</v>
      </c>
      <c r="CY128">
        <v>7</v>
      </c>
      <c r="CZ128" t="s">
        <v>133</v>
      </c>
      <c r="DA128">
        <v>125</v>
      </c>
      <c r="DB128">
        <v>1</v>
      </c>
      <c r="DC128" t="s">
        <v>134</v>
      </c>
      <c r="DD128" t="s">
        <v>135</v>
      </c>
      <c r="DG128">
        <v>2472138</v>
      </c>
      <c r="DI128">
        <v>0</v>
      </c>
      <c r="DJ128">
        <v>0</v>
      </c>
      <c r="DK128">
        <v>1</v>
      </c>
      <c r="DL128">
        <v>0</v>
      </c>
      <c r="DM128">
        <v>0</v>
      </c>
      <c r="DN128">
        <v>0</v>
      </c>
      <c r="DO128">
        <v>0</v>
      </c>
      <c r="DP128">
        <v>0</v>
      </c>
      <c r="DQ128">
        <v>0</v>
      </c>
      <c r="DR128">
        <v>0</v>
      </c>
      <c r="DS128">
        <v>0</v>
      </c>
    </row>
    <row r="129" spans="1:123" x14ac:dyDescent="0.25">
      <c r="A129" t="str">
        <f>"04/17/2026 15:38:01.699"</f>
        <v>04/17/2026 15:38:01.699</v>
      </c>
      <c r="C129" t="str">
        <f t="shared" si="5"/>
        <v>FFDFD3C0</v>
      </c>
      <c r="D129" t="s">
        <v>136</v>
      </c>
      <c r="E129" t="str">
        <f>"0F"</f>
        <v>0F</v>
      </c>
      <c r="F129">
        <v>1015</v>
      </c>
      <c r="G129" t="s">
        <v>138</v>
      </c>
      <c r="J129" t="s">
        <v>137</v>
      </c>
      <c r="K129">
        <v>0</v>
      </c>
      <c r="L129">
        <v>3</v>
      </c>
      <c r="M129">
        <v>0</v>
      </c>
      <c r="N129">
        <v>2</v>
      </c>
      <c r="O129">
        <v>1</v>
      </c>
      <c r="P129">
        <v>0</v>
      </c>
      <c r="Q129">
        <v>0</v>
      </c>
      <c r="R129" t="s">
        <v>127</v>
      </c>
      <c r="S129" t="str">
        <f>"15:38:01.414"</f>
        <v>15:38:01.414</v>
      </c>
      <c r="T129" t="str">
        <f>"15:38:01.214"</f>
        <v>15:38:01.214</v>
      </c>
      <c r="U129" t="str">
        <f t="shared" si="6"/>
        <v>A55E09</v>
      </c>
      <c r="V129">
        <v>0</v>
      </c>
      <c r="W129">
        <v>0</v>
      </c>
      <c r="X129">
        <v>2</v>
      </c>
      <c r="Y129">
        <v>0</v>
      </c>
      <c r="AA129">
        <v>0</v>
      </c>
      <c r="AB129">
        <v>9</v>
      </c>
      <c r="AC129">
        <v>3</v>
      </c>
      <c r="AD129">
        <v>0</v>
      </c>
      <c r="AE129">
        <v>9</v>
      </c>
      <c r="AF129" t="s">
        <v>128</v>
      </c>
      <c r="AG129">
        <v>0</v>
      </c>
      <c r="AH129">
        <v>0</v>
      </c>
      <c r="AI129">
        <v>1</v>
      </c>
      <c r="AJ129">
        <v>0</v>
      </c>
      <c r="AK129" t="s">
        <v>196</v>
      </c>
      <c r="AL129">
        <v>33.666786999999999</v>
      </c>
      <c r="AM129" t="s">
        <v>197</v>
      </c>
      <c r="AN129">
        <v>-101.201913</v>
      </c>
      <c r="AO129">
        <v>100</v>
      </c>
      <c r="AP129">
        <v>3300</v>
      </c>
      <c r="AQ129" t="s">
        <v>131</v>
      </c>
      <c r="AR129">
        <v>-13</v>
      </c>
      <c r="AS129">
        <v>78</v>
      </c>
      <c r="AT129">
        <v>64</v>
      </c>
      <c r="BB129" t="str">
        <f t="shared" si="7"/>
        <v>1200</v>
      </c>
      <c r="BC129">
        <v>1</v>
      </c>
      <c r="BD129" t="str">
        <f t="shared" si="8"/>
        <v xml:space="preserve">N445JS  </v>
      </c>
      <c r="BE129">
        <v>7</v>
      </c>
      <c r="BG129">
        <v>0</v>
      </c>
      <c r="BH129">
        <v>0</v>
      </c>
      <c r="BI129">
        <v>0</v>
      </c>
      <c r="BJ129">
        <v>3075</v>
      </c>
      <c r="BK129">
        <v>-225</v>
      </c>
      <c r="BL129" t="s">
        <v>132</v>
      </c>
      <c r="BM129">
        <v>1</v>
      </c>
      <c r="BN129">
        <v>1</v>
      </c>
      <c r="BO129">
        <v>1</v>
      </c>
      <c r="BP129">
        <v>0</v>
      </c>
      <c r="BT129">
        <v>0</v>
      </c>
      <c r="BU129">
        <v>0</v>
      </c>
      <c r="CE129" t="str">
        <f>"15:38:01.420"</f>
        <v>15:38:01.420</v>
      </c>
      <c r="CF129">
        <v>420219947</v>
      </c>
      <c r="CS129">
        <v>0</v>
      </c>
      <c r="CT129">
        <v>2</v>
      </c>
      <c r="CU129">
        <v>0</v>
      </c>
      <c r="CV129">
        <v>2</v>
      </c>
      <c r="CW129">
        <v>0</v>
      </c>
      <c r="CX129">
        <v>7</v>
      </c>
      <c r="CY129">
        <v>7</v>
      </c>
      <c r="CZ129" t="s">
        <v>133</v>
      </c>
      <c r="DA129">
        <v>125</v>
      </c>
      <c r="DB129">
        <v>1</v>
      </c>
      <c r="DC129" t="s">
        <v>134</v>
      </c>
      <c r="DD129" t="s">
        <v>135</v>
      </c>
      <c r="DG129">
        <v>2472138</v>
      </c>
      <c r="DI129">
        <v>0</v>
      </c>
      <c r="DJ129">
        <v>0</v>
      </c>
      <c r="DK129">
        <v>1</v>
      </c>
      <c r="DL129">
        <v>0</v>
      </c>
      <c r="DM129">
        <v>0</v>
      </c>
      <c r="DN129">
        <v>0</v>
      </c>
      <c r="DO129">
        <v>0</v>
      </c>
      <c r="DP129">
        <v>0</v>
      </c>
      <c r="DQ129">
        <v>0</v>
      </c>
      <c r="DR129">
        <v>0</v>
      </c>
      <c r="DS129">
        <v>0</v>
      </c>
    </row>
    <row r="130" spans="1:123" x14ac:dyDescent="0.25">
      <c r="A130" t="str">
        <f>"04/17/2026 15:38:02.674"</f>
        <v>04/17/2026 15:38:02.674</v>
      </c>
      <c r="C130" t="str">
        <f t="shared" ref="C130:C193" si="11">"FFDFD3C0"</f>
        <v>FFDFD3C0</v>
      </c>
      <c r="D130" t="s">
        <v>139</v>
      </c>
      <c r="E130" t="str">
        <f>"28"</f>
        <v>28</v>
      </c>
      <c r="H130">
        <v>140</v>
      </c>
      <c r="I130" t="s">
        <v>140</v>
      </c>
      <c r="J130" t="s">
        <v>141</v>
      </c>
      <c r="K130">
        <v>0</v>
      </c>
      <c r="L130">
        <v>3</v>
      </c>
      <c r="M130">
        <v>0</v>
      </c>
      <c r="N130">
        <v>2</v>
      </c>
      <c r="O130">
        <v>1</v>
      </c>
      <c r="P130">
        <v>0</v>
      </c>
      <c r="Q130">
        <v>0</v>
      </c>
      <c r="R130" t="s">
        <v>127</v>
      </c>
      <c r="S130" t="str">
        <f>"15:38:02.406"</f>
        <v>15:38:02.406</v>
      </c>
      <c r="T130" t="str">
        <f>"15:38:02.106"</f>
        <v>15:38:02.106</v>
      </c>
      <c r="U130" t="str">
        <f t="shared" ref="U130:U193" si="12">"A55E09"</f>
        <v>A55E09</v>
      </c>
      <c r="V130">
        <v>0</v>
      </c>
      <c r="W130">
        <v>0</v>
      </c>
      <c r="X130">
        <v>2</v>
      </c>
      <c r="Y130">
        <v>0</v>
      </c>
      <c r="AA130">
        <v>0</v>
      </c>
      <c r="AB130">
        <v>9</v>
      </c>
      <c r="AC130">
        <v>3</v>
      </c>
      <c r="AD130">
        <v>0</v>
      </c>
      <c r="AE130">
        <v>9</v>
      </c>
      <c r="AF130" t="s">
        <v>128</v>
      </c>
      <c r="AG130">
        <v>0</v>
      </c>
      <c r="AH130">
        <v>0</v>
      </c>
      <c r="AI130">
        <v>1</v>
      </c>
      <c r="AJ130">
        <v>0</v>
      </c>
      <c r="AK130" t="s">
        <v>198</v>
      </c>
      <c r="AL130">
        <v>33.66713</v>
      </c>
      <c r="AM130" t="s">
        <v>199</v>
      </c>
      <c r="AN130">
        <v>-101.201999</v>
      </c>
      <c r="AO130">
        <v>100</v>
      </c>
      <c r="AP130">
        <v>3300</v>
      </c>
      <c r="AQ130" t="s">
        <v>131</v>
      </c>
      <c r="AR130">
        <v>-13</v>
      </c>
      <c r="AS130">
        <v>78</v>
      </c>
      <c r="AT130">
        <v>64</v>
      </c>
      <c r="BB130" t="str">
        <f t="shared" ref="BB130:BB193" si="13">"1200"</f>
        <v>1200</v>
      </c>
      <c r="BC130">
        <v>1</v>
      </c>
      <c r="BD130" t="str">
        <f t="shared" ref="BD130:BD193" si="14">"N445JS  "</f>
        <v xml:space="preserve">N445JS  </v>
      </c>
      <c r="BE130">
        <v>7</v>
      </c>
      <c r="BG130">
        <v>0</v>
      </c>
      <c r="BH130">
        <v>0</v>
      </c>
      <c r="BI130">
        <v>0</v>
      </c>
      <c r="BJ130">
        <v>3075</v>
      </c>
      <c r="BK130">
        <v>-225</v>
      </c>
      <c r="BL130" t="s">
        <v>132</v>
      </c>
      <c r="BM130">
        <v>1</v>
      </c>
      <c r="BN130">
        <v>1</v>
      </c>
      <c r="BO130">
        <v>1</v>
      </c>
      <c r="BP130">
        <v>0</v>
      </c>
      <c r="BT130">
        <v>0</v>
      </c>
      <c r="BU130">
        <v>0</v>
      </c>
      <c r="CE130" t="str">
        <f>"15:38:02.410"</f>
        <v>15:38:02.410</v>
      </c>
      <c r="CF130">
        <v>410122899</v>
      </c>
      <c r="CS130">
        <v>0</v>
      </c>
      <c r="CT130">
        <v>2</v>
      </c>
      <c r="CU130">
        <v>0</v>
      </c>
      <c r="CV130">
        <v>2</v>
      </c>
      <c r="CW130">
        <v>0</v>
      </c>
      <c r="CX130">
        <v>7</v>
      </c>
      <c r="CY130">
        <v>7</v>
      </c>
      <c r="CZ130" t="s">
        <v>133</v>
      </c>
      <c r="DA130">
        <v>125</v>
      </c>
      <c r="DB130">
        <v>1</v>
      </c>
      <c r="DC130" t="s">
        <v>134</v>
      </c>
      <c r="DD130" t="s">
        <v>135</v>
      </c>
      <c r="DG130">
        <v>2473108</v>
      </c>
      <c r="DI130">
        <v>0</v>
      </c>
      <c r="DJ130">
        <v>0</v>
      </c>
      <c r="DK130">
        <v>0</v>
      </c>
      <c r="DL130">
        <v>0</v>
      </c>
      <c r="DM130">
        <v>0</v>
      </c>
      <c r="DN130">
        <v>0</v>
      </c>
      <c r="DO130">
        <v>0</v>
      </c>
      <c r="DP130">
        <v>0</v>
      </c>
      <c r="DQ130">
        <v>0</v>
      </c>
      <c r="DR130">
        <v>0</v>
      </c>
      <c r="DS130">
        <v>0</v>
      </c>
    </row>
    <row r="131" spans="1:123" x14ac:dyDescent="0.25">
      <c r="A131" t="str">
        <f>"04/17/2026 15:38:02.698"</f>
        <v>04/17/2026 15:38:02.698</v>
      </c>
      <c r="C131" t="str">
        <f t="shared" si="11"/>
        <v>FFDFD3C0</v>
      </c>
      <c r="D131" t="s">
        <v>124</v>
      </c>
      <c r="E131" t="str">
        <f>"03"</f>
        <v>03</v>
      </c>
      <c r="H131">
        <v>160</v>
      </c>
      <c r="I131" t="s">
        <v>125</v>
      </c>
      <c r="J131" t="s">
        <v>126</v>
      </c>
      <c r="K131">
        <v>0</v>
      </c>
      <c r="L131">
        <v>3</v>
      </c>
      <c r="M131">
        <v>0</v>
      </c>
      <c r="N131">
        <v>2</v>
      </c>
      <c r="O131">
        <v>1</v>
      </c>
      <c r="P131">
        <v>0</v>
      </c>
      <c r="Q131">
        <v>0</v>
      </c>
      <c r="R131" t="s">
        <v>127</v>
      </c>
      <c r="S131" t="str">
        <f>"15:38:02.406"</f>
        <v>15:38:02.406</v>
      </c>
      <c r="T131" t="str">
        <f>"15:38:02.106"</f>
        <v>15:38:02.106</v>
      </c>
      <c r="U131" t="str">
        <f t="shared" si="12"/>
        <v>A55E09</v>
      </c>
      <c r="V131">
        <v>0</v>
      </c>
      <c r="W131">
        <v>0</v>
      </c>
      <c r="X131">
        <v>2</v>
      </c>
      <c r="Y131">
        <v>0</v>
      </c>
      <c r="AA131">
        <v>0</v>
      </c>
      <c r="AB131">
        <v>9</v>
      </c>
      <c r="AC131">
        <v>3</v>
      </c>
      <c r="AD131">
        <v>0</v>
      </c>
      <c r="AE131">
        <v>9</v>
      </c>
      <c r="AF131" t="s">
        <v>128</v>
      </c>
      <c r="AG131">
        <v>0</v>
      </c>
      <c r="AH131">
        <v>0</v>
      </c>
      <c r="AI131">
        <v>1</v>
      </c>
      <c r="AJ131">
        <v>0</v>
      </c>
      <c r="AK131" t="s">
        <v>198</v>
      </c>
      <c r="AL131">
        <v>33.66713</v>
      </c>
      <c r="AM131" t="s">
        <v>199</v>
      </c>
      <c r="AN131">
        <v>-101.201999</v>
      </c>
      <c r="AO131">
        <v>100</v>
      </c>
      <c r="AP131">
        <v>3300</v>
      </c>
      <c r="AQ131" t="s">
        <v>131</v>
      </c>
      <c r="AR131">
        <v>-13</v>
      </c>
      <c r="AS131">
        <v>78</v>
      </c>
      <c r="AT131">
        <v>64</v>
      </c>
      <c r="BB131" t="str">
        <f t="shared" si="13"/>
        <v>1200</v>
      </c>
      <c r="BC131">
        <v>1</v>
      </c>
      <c r="BD131" t="str">
        <f t="shared" si="14"/>
        <v xml:space="preserve">N445JS  </v>
      </c>
      <c r="BE131">
        <v>7</v>
      </c>
      <c r="BG131">
        <v>0</v>
      </c>
      <c r="BH131">
        <v>0</v>
      </c>
      <c r="BI131">
        <v>0</v>
      </c>
      <c r="BJ131">
        <v>3075</v>
      </c>
      <c r="BK131">
        <v>-225</v>
      </c>
      <c r="BL131" t="s">
        <v>132</v>
      </c>
      <c r="BM131">
        <v>1</v>
      </c>
      <c r="BN131">
        <v>1</v>
      </c>
      <c r="BO131">
        <v>1</v>
      </c>
      <c r="BP131">
        <v>0</v>
      </c>
      <c r="BT131">
        <v>0</v>
      </c>
      <c r="BU131">
        <v>0</v>
      </c>
      <c r="CE131" t="str">
        <f>"15:38:02.410"</f>
        <v>15:38:02.410</v>
      </c>
      <c r="CF131">
        <v>410122899</v>
      </c>
      <c r="CS131">
        <v>0</v>
      </c>
      <c r="CT131">
        <v>2</v>
      </c>
      <c r="CU131">
        <v>0</v>
      </c>
      <c r="CV131">
        <v>2</v>
      </c>
      <c r="CW131">
        <v>0</v>
      </c>
      <c r="CX131">
        <v>7</v>
      </c>
      <c r="CY131">
        <v>7</v>
      </c>
      <c r="CZ131" t="s">
        <v>133</v>
      </c>
      <c r="DA131">
        <v>125</v>
      </c>
      <c r="DB131">
        <v>1</v>
      </c>
      <c r="DC131" t="s">
        <v>134</v>
      </c>
      <c r="DD131" t="s">
        <v>135</v>
      </c>
      <c r="DG131">
        <v>2473108</v>
      </c>
      <c r="DI131">
        <v>0</v>
      </c>
      <c r="DJ131">
        <v>0</v>
      </c>
      <c r="DK131">
        <v>1</v>
      </c>
      <c r="DL131">
        <v>0</v>
      </c>
      <c r="DM131">
        <v>0</v>
      </c>
      <c r="DN131">
        <v>0</v>
      </c>
      <c r="DO131">
        <v>0</v>
      </c>
      <c r="DP131">
        <v>0</v>
      </c>
      <c r="DQ131">
        <v>0</v>
      </c>
      <c r="DR131">
        <v>0</v>
      </c>
      <c r="DS131">
        <v>0</v>
      </c>
    </row>
    <row r="132" spans="1:123" x14ac:dyDescent="0.25">
      <c r="A132" t="str">
        <f>"04/17/2026 15:38:02.700"</f>
        <v>04/17/2026 15:38:02.700</v>
      </c>
      <c r="C132" t="str">
        <f t="shared" si="11"/>
        <v>FFDFD3C0</v>
      </c>
      <c r="D132" t="s">
        <v>136</v>
      </c>
      <c r="E132" t="str">
        <f>"0E"</f>
        <v>0E</v>
      </c>
      <c r="F132">
        <v>1014</v>
      </c>
      <c r="G132" t="s">
        <v>125</v>
      </c>
      <c r="J132" t="s">
        <v>137</v>
      </c>
      <c r="K132">
        <v>0</v>
      </c>
      <c r="L132">
        <v>3</v>
      </c>
      <c r="M132">
        <v>0</v>
      </c>
      <c r="N132">
        <v>2</v>
      </c>
      <c r="O132">
        <v>1</v>
      </c>
      <c r="P132">
        <v>0</v>
      </c>
      <c r="Q132">
        <v>0</v>
      </c>
      <c r="R132" t="s">
        <v>127</v>
      </c>
      <c r="S132" t="str">
        <f>"15:38:02.406"</f>
        <v>15:38:02.406</v>
      </c>
      <c r="T132" t="str">
        <f>"15:38:02.106"</f>
        <v>15:38:02.106</v>
      </c>
      <c r="U132" t="str">
        <f t="shared" si="12"/>
        <v>A55E09</v>
      </c>
      <c r="V132">
        <v>0</v>
      </c>
      <c r="W132">
        <v>0</v>
      </c>
      <c r="X132">
        <v>2</v>
      </c>
      <c r="Y132">
        <v>0</v>
      </c>
      <c r="AA132">
        <v>0</v>
      </c>
      <c r="AB132">
        <v>9</v>
      </c>
      <c r="AC132">
        <v>3</v>
      </c>
      <c r="AD132">
        <v>0</v>
      </c>
      <c r="AE132">
        <v>9</v>
      </c>
      <c r="AF132" t="s">
        <v>128</v>
      </c>
      <c r="AG132">
        <v>0</v>
      </c>
      <c r="AH132">
        <v>0</v>
      </c>
      <c r="AI132">
        <v>1</v>
      </c>
      <c r="AJ132">
        <v>0</v>
      </c>
      <c r="AK132" t="s">
        <v>198</v>
      </c>
      <c r="AL132">
        <v>33.66713</v>
      </c>
      <c r="AM132" t="s">
        <v>199</v>
      </c>
      <c r="AN132">
        <v>-101.201999</v>
      </c>
      <c r="AO132">
        <v>100</v>
      </c>
      <c r="AP132">
        <v>3300</v>
      </c>
      <c r="AQ132" t="s">
        <v>131</v>
      </c>
      <c r="AR132">
        <v>-13</v>
      </c>
      <c r="AS132">
        <v>78</v>
      </c>
      <c r="AT132">
        <v>64</v>
      </c>
      <c r="BB132" t="str">
        <f t="shared" si="13"/>
        <v>1200</v>
      </c>
      <c r="BC132">
        <v>1</v>
      </c>
      <c r="BD132" t="str">
        <f t="shared" si="14"/>
        <v xml:space="preserve">N445JS  </v>
      </c>
      <c r="BE132">
        <v>7</v>
      </c>
      <c r="BG132">
        <v>0</v>
      </c>
      <c r="BH132">
        <v>0</v>
      </c>
      <c r="BI132">
        <v>0</v>
      </c>
      <c r="BJ132">
        <v>3075</v>
      </c>
      <c r="BK132">
        <v>-225</v>
      </c>
      <c r="BL132" t="s">
        <v>132</v>
      </c>
      <c r="BM132">
        <v>1</v>
      </c>
      <c r="BN132">
        <v>1</v>
      </c>
      <c r="BO132">
        <v>1</v>
      </c>
      <c r="BP132">
        <v>0</v>
      </c>
      <c r="BT132">
        <v>0</v>
      </c>
      <c r="BU132">
        <v>0</v>
      </c>
      <c r="CE132" t="str">
        <f>"15:38:02.410"</f>
        <v>15:38:02.410</v>
      </c>
      <c r="CF132">
        <v>410122899</v>
      </c>
      <c r="CS132">
        <v>0</v>
      </c>
      <c r="CT132">
        <v>2</v>
      </c>
      <c r="CU132">
        <v>0</v>
      </c>
      <c r="CV132">
        <v>2</v>
      </c>
      <c r="CW132">
        <v>0</v>
      </c>
      <c r="CX132">
        <v>7</v>
      </c>
      <c r="CY132">
        <v>7</v>
      </c>
      <c r="CZ132" t="s">
        <v>133</v>
      </c>
      <c r="DA132">
        <v>125</v>
      </c>
      <c r="DB132">
        <v>1</v>
      </c>
      <c r="DC132" t="s">
        <v>134</v>
      </c>
      <c r="DD132" t="s">
        <v>135</v>
      </c>
      <c r="DG132">
        <v>2473108</v>
      </c>
      <c r="DI132">
        <v>0</v>
      </c>
      <c r="DJ132">
        <v>0</v>
      </c>
      <c r="DK132">
        <v>1</v>
      </c>
      <c r="DL132">
        <v>0</v>
      </c>
      <c r="DM132">
        <v>0</v>
      </c>
      <c r="DN132">
        <v>0</v>
      </c>
      <c r="DO132">
        <v>0</v>
      </c>
      <c r="DP132">
        <v>0</v>
      </c>
      <c r="DQ132">
        <v>0</v>
      </c>
      <c r="DR132">
        <v>0</v>
      </c>
      <c r="DS132">
        <v>0</v>
      </c>
    </row>
    <row r="133" spans="1:123" x14ac:dyDescent="0.25">
      <c r="A133" t="str">
        <f>"04/17/2026 15:38:02.700"</f>
        <v>04/17/2026 15:38:02.700</v>
      </c>
      <c r="C133" t="str">
        <f t="shared" si="11"/>
        <v>FFDFD3C0</v>
      </c>
      <c r="D133" t="s">
        <v>136</v>
      </c>
      <c r="E133" t="str">
        <f>"0F"</f>
        <v>0F</v>
      </c>
      <c r="F133">
        <v>1015</v>
      </c>
      <c r="G133" t="s">
        <v>138</v>
      </c>
      <c r="J133" t="s">
        <v>137</v>
      </c>
      <c r="K133">
        <v>0</v>
      </c>
      <c r="L133">
        <v>3</v>
      </c>
      <c r="M133">
        <v>0</v>
      </c>
      <c r="N133">
        <v>2</v>
      </c>
      <c r="O133">
        <v>1</v>
      </c>
      <c r="P133">
        <v>0</v>
      </c>
      <c r="Q133">
        <v>0</v>
      </c>
      <c r="R133" t="s">
        <v>127</v>
      </c>
      <c r="S133" t="str">
        <f>"15:38:02.406"</f>
        <v>15:38:02.406</v>
      </c>
      <c r="T133" t="str">
        <f>"15:38:02.106"</f>
        <v>15:38:02.106</v>
      </c>
      <c r="U133" t="str">
        <f t="shared" si="12"/>
        <v>A55E09</v>
      </c>
      <c r="V133">
        <v>0</v>
      </c>
      <c r="W133">
        <v>0</v>
      </c>
      <c r="X133">
        <v>2</v>
      </c>
      <c r="Y133">
        <v>0</v>
      </c>
      <c r="AA133">
        <v>0</v>
      </c>
      <c r="AB133">
        <v>9</v>
      </c>
      <c r="AC133">
        <v>3</v>
      </c>
      <c r="AD133">
        <v>0</v>
      </c>
      <c r="AE133">
        <v>9</v>
      </c>
      <c r="AF133" t="s">
        <v>128</v>
      </c>
      <c r="AG133">
        <v>0</v>
      </c>
      <c r="AH133">
        <v>0</v>
      </c>
      <c r="AI133">
        <v>1</v>
      </c>
      <c r="AJ133">
        <v>0</v>
      </c>
      <c r="AK133" t="s">
        <v>198</v>
      </c>
      <c r="AL133">
        <v>33.66713</v>
      </c>
      <c r="AM133" t="s">
        <v>199</v>
      </c>
      <c r="AN133">
        <v>-101.201999</v>
      </c>
      <c r="AO133">
        <v>100</v>
      </c>
      <c r="AP133">
        <v>3300</v>
      </c>
      <c r="AQ133" t="s">
        <v>131</v>
      </c>
      <c r="AR133">
        <v>-13</v>
      </c>
      <c r="AS133">
        <v>78</v>
      </c>
      <c r="AT133">
        <v>64</v>
      </c>
      <c r="BB133" t="str">
        <f t="shared" si="13"/>
        <v>1200</v>
      </c>
      <c r="BC133">
        <v>1</v>
      </c>
      <c r="BD133" t="str">
        <f t="shared" si="14"/>
        <v xml:space="preserve">N445JS  </v>
      </c>
      <c r="BE133">
        <v>7</v>
      </c>
      <c r="BG133">
        <v>0</v>
      </c>
      <c r="BH133">
        <v>0</v>
      </c>
      <c r="BI133">
        <v>0</v>
      </c>
      <c r="BJ133">
        <v>3075</v>
      </c>
      <c r="BK133">
        <v>-225</v>
      </c>
      <c r="BL133" t="s">
        <v>132</v>
      </c>
      <c r="BM133">
        <v>1</v>
      </c>
      <c r="BN133">
        <v>1</v>
      </c>
      <c r="BO133">
        <v>1</v>
      </c>
      <c r="BP133">
        <v>0</v>
      </c>
      <c r="BT133">
        <v>0</v>
      </c>
      <c r="BU133">
        <v>0</v>
      </c>
      <c r="CE133" t="str">
        <f>"15:38:02.410"</f>
        <v>15:38:02.410</v>
      </c>
      <c r="CF133">
        <v>410122899</v>
      </c>
      <c r="CS133">
        <v>0</v>
      </c>
      <c r="CT133">
        <v>2</v>
      </c>
      <c r="CU133">
        <v>0</v>
      </c>
      <c r="CV133">
        <v>2</v>
      </c>
      <c r="CW133">
        <v>0</v>
      </c>
      <c r="CX133">
        <v>7</v>
      </c>
      <c r="CY133">
        <v>7</v>
      </c>
      <c r="CZ133" t="s">
        <v>133</v>
      </c>
      <c r="DA133">
        <v>125</v>
      </c>
      <c r="DB133">
        <v>1</v>
      </c>
      <c r="DC133" t="s">
        <v>134</v>
      </c>
      <c r="DD133" t="s">
        <v>135</v>
      </c>
      <c r="DG133">
        <v>2473108</v>
      </c>
      <c r="DI133">
        <v>0</v>
      </c>
      <c r="DJ133">
        <v>0</v>
      </c>
      <c r="DK133">
        <v>1</v>
      </c>
      <c r="DL133">
        <v>0</v>
      </c>
      <c r="DM133">
        <v>0</v>
      </c>
      <c r="DN133">
        <v>0</v>
      </c>
      <c r="DO133">
        <v>0</v>
      </c>
      <c r="DP133">
        <v>0</v>
      </c>
      <c r="DQ133">
        <v>0</v>
      </c>
      <c r="DR133">
        <v>0</v>
      </c>
      <c r="DS133">
        <v>0</v>
      </c>
    </row>
    <row r="134" spans="1:123" x14ac:dyDescent="0.25">
      <c r="A134" t="str">
        <f>"04/17/2026 15:38:03.751"</f>
        <v>04/17/2026 15:38:03.751</v>
      </c>
      <c r="C134" t="str">
        <f t="shared" si="11"/>
        <v>FFDFD3C0</v>
      </c>
      <c r="D134" t="s">
        <v>124</v>
      </c>
      <c r="E134" t="str">
        <f>"03"</f>
        <v>03</v>
      </c>
      <c r="H134">
        <v>160</v>
      </c>
      <c r="I134" t="s">
        <v>125</v>
      </c>
      <c r="J134" t="s">
        <v>126</v>
      </c>
      <c r="K134">
        <v>0</v>
      </c>
      <c r="L134">
        <v>3</v>
      </c>
      <c r="M134">
        <v>0</v>
      </c>
      <c r="N134">
        <v>2</v>
      </c>
      <c r="O134">
        <v>1</v>
      </c>
      <c r="P134">
        <v>0</v>
      </c>
      <c r="Q134">
        <v>0</v>
      </c>
      <c r="R134" t="s">
        <v>127</v>
      </c>
      <c r="S134" t="str">
        <f>"15:38:03.484"</f>
        <v>15:38:03.484</v>
      </c>
      <c r="T134" t="str">
        <f>"15:38:03.084"</f>
        <v>15:38:03.084</v>
      </c>
      <c r="U134" t="str">
        <f t="shared" si="12"/>
        <v>A55E09</v>
      </c>
      <c r="V134">
        <v>0</v>
      </c>
      <c r="W134">
        <v>0</v>
      </c>
      <c r="X134">
        <v>2</v>
      </c>
      <c r="Y134">
        <v>0</v>
      </c>
      <c r="AA134">
        <v>0</v>
      </c>
      <c r="AB134">
        <v>9</v>
      </c>
      <c r="AC134">
        <v>3</v>
      </c>
      <c r="AD134">
        <v>0</v>
      </c>
      <c r="AE134">
        <v>9</v>
      </c>
      <c r="AF134" t="s">
        <v>128</v>
      </c>
      <c r="AG134">
        <v>0</v>
      </c>
      <c r="AH134">
        <v>0</v>
      </c>
      <c r="AI134">
        <v>1</v>
      </c>
      <c r="AJ134">
        <v>0</v>
      </c>
      <c r="AK134" t="s">
        <v>200</v>
      </c>
      <c r="AL134">
        <v>33.667516999999997</v>
      </c>
      <c r="AM134" t="s">
        <v>201</v>
      </c>
      <c r="AN134">
        <v>-101.202085</v>
      </c>
      <c r="AO134">
        <v>100</v>
      </c>
      <c r="AP134">
        <v>3300</v>
      </c>
      <c r="AQ134" t="s">
        <v>131</v>
      </c>
      <c r="AR134">
        <v>-14</v>
      </c>
      <c r="AS134">
        <v>78</v>
      </c>
      <c r="AT134">
        <v>128</v>
      </c>
      <c r="BB134" t="str">
        <f t="shared" si="13"/>
        <v>1200</v>
      </c>
      <c r="BC134">
        <v>1</v>
      </c>
      <c r="BD134" t="str">
        <f t="shared" si="14"/>
        <v xml:space="preserve">N445JS  </v>
      </c>
      <c r="BE134">
        <v>7</v>
      </c>
      <c r="BG134">
        <v>0</v>
      </c>
      <c r="BH134">
        <v>0</v>
      </c>
      <c r="BI134">
        <v>0</v>
      </c>
      <c r="BJ134">
        <v>3075</v>
      </c>
      <c r="BK134">
        <v>-225</v>
      </c>
      <c r="BL134" t="s">
        <v>132</v>
      </c>
      <c r="BM134">
        <v>1</v>
      </c>
      <c r="BN134">
        <v>1</v>
      </c>
      <c r="BO134">
        <v>1</v>
      </c>
      <c r="BP134">
        <v>0</v>
      </c>
      <c r="BT134">
        <v>0</v>
      </c>
      <c r="BU134">
        <v>0</v>
      </c>
      <c r="CE134" t="str">
        <f>"15:38:03.490"</f>
        <v>15:38:03.490</v>
      </c>
      <c r="CF134">
        <v>490017030</v>
      </c>
      <c r="CS134">
        <v>0</v>
      </c>
      <c r="CT134">
        <v>2</v>
      </c>
      <c r="CU134">
        <v>0</v>
      </c>
      <c r="CV134">
        <v>2</v>
      </c>
      <c r="CW134">
        <v>0</v>
      </c>
      <c r="CX134">
        <v>7</v>
      </c>
      <c r="CY134">
        <v>7</v>
      </c>
      <c r="CZ134" t="s">
        <v>133</v>
      </c>
      <c r="DA134">
        <v>125</v>
      </c>
      <c r="DB134">
        <v>1</v>
      </c>
      <c r="DC134" t="s">
        <v>134</v>
      </c>
      <c r="DD134" t="s">
        <v>135</v>
      </c>
      <c r="DG134">
        <v>2474098</v>
      </c>
      <c r="DI134">
        <v>0</v>
      </c>
      <c r="DJ134">
        <v>0</v>
      </c>
      <c r="DK134">
        <v>0</v>
      </c>
      <c r="DL134">
        <v>0</v>
      </c>
      <c r="DM134">
        <v>0</v>
      </c>
      <c r="DN134">
        <v>0</v>
      </c>
      <c r="DO134">
        <v>0</v>
      </c>
      <c r="DP134">
        <v>0</v>
      </c>
      <c r="DQ134">
        <v>0</v>
      </c>
      <c r="DR134">
        <v>0</v>
      </c>
      <c r="DS134">
        <v>0</v>
      </c>
    </row>
    <row r="135" spans="1:123" x14ac:dyDescent="0.25">
      <c r="A135" t="str">
        <f>"04/17/2026 15:38:03.752"</f>
        <v>04/17/2026 15:38:03.752</v>
      </c>
      <c r="C135" t="str">
        <f t="shared" si="11"/>
        <v>FFDFD3C0</v>
      </c>
      <c r="D135" t="s">
        <v>136</v>
      </c>
      <c r="E135" t="str">
        <f>"0F"</f>
        <v>0F</v>
      </c>
      <c r="F135">
        <v>1015</v>
      </c>
      <c r="G135" t="s">
        <v>138</v>
      </c>
      <c r="J135" t="s">
        <v>137</v>
      </c>
      <c r="K135">
        <v>0</v>
      </c>
      <c r="L135">
        <v>3</v>
      </c>
      <c r="M135">
        <v>0</v>
      </c>
      <c r="N135">
        <v>2</v>
      </c>
      <c r="O135">
        <v>1</v>
      </c>
      <c r="P135">
        <v>0</v>
      </c>
      <c r="Q135">
        <v>0</v>
      </c>
      <c r="R135" t="s">
        <v>127</v>
      </c>
      <c r="S135" t="str">
        <f>"15:38:03.484"</f>
        <v>15:38:03.484</v>
      </c>
      <c r="T135" t="str">
        <f>"15:38:03.084"</f>
        <v>15:38:03.084</v>
      </c>
      <c r="U135" t="str">
        <f t="shared" si="12"/>
        <v>A55E09</v>
      </c>
      <c r="V135">
        <v>0</v>
      </c>
      <c r="W135">
        <v>0</v>
      </c>
      <c r="X135">
        <v>2</v>
      </c>
      <c r="Y135">
        <v>0</v>
      </c>
      <c r="AA135">
        <v>0</v>
      </c>
      <c r="AB135">
        <v>9</v>
      </c>
      <c r="AC135">
        <v>3</v>
      </c>
      <c r="AD135">
        <v>0</v>
      </c>
      <c r="AE135">
        <v>9</v>
      </c>
      <c r="AF135" t="s">
        <v>128</v>
      </c>
      <c r="AG135">
        <v>0</v>
      </c>
      <c r="AH135">
        <v>0</v>
      </c>
      <c r="AI135">
        <v>1</v>
      </c>
      <c r="AJ135">
        <v>0</v>
      </c>
      <c r="AK135" t="s">
        <v>200</v>
      </c>
      <c r="AL135">
        <v>33.667516999999997</v>
      </c>
      <c r="AM135" t="s">
        <v>201</v>
      </c>
      <c r="AN135">
        <v>-101.202085</v>
      </c>
      <c r="AO135">
        <v>100</v>
      </c>
      <c r="AP135">
        <v>3300</v>
      </c>
      <c r="AQ135" t="s">
        <v>131</v>
      </c>
      <c r="AR135">
        <v>-14</v>
      </c>
      <c r="AS135">
        <v>78</v>
      </c>
      <c r="AT135">
        <v>128</v>
      </c>
      <c r="BB135" t="str">
        <f t="shared" si="13"/>
        <v>1200</v>
      </c>
      <c r="BC135">
        <v>1</v>
      </c>
      <c r="BD135" t="str">
        <f t="shared" si="14"/>
        <v xml:space="preserve">N445JS  </v>
      </c>
      <c r="BE135">
        <v>7</v>
      </c>
      <c r="BG135">
        <v>0</v>
      </c>
      <c r="BH135">
        <v>0</v>
      </c>
      <c r="BI135">
        <v>0</v>
      </c>
      <c r="BJ135">
        <v>3075</v>
      </c>
      <c r="BK135">
        <v>-225</v>
      </c>
      <c r="BL135" t="s">
        <v>132</v>
      </c>
      <c r="BM135">
        <v>1</v>
      </c>
      <c r="BN135">
        <v>1</v>
      </c>
      <c r="BO135">
        <v>1</v>
      </c>
      <c r="BP135">
        <v>0</v>
      </c>
      <c r="BT135">
        <v>0</v>
      </c>
      <c r="BU135">
        <v>0</v>
      </c>
      <c r="CE135" t="str">
        <f>"15:38:03.490"</f>
        <v>15:38:03.490</v>
      </c>
      <c r="CF135">
        <v>490017030</v>
      </c>
      <c r="CS135">
        <v>0</v>
      </c>
      <c r="CT135">
        <v>2</v>
      </c>
      <c r="CU135">
        <v>0</v>
      </c>
      <c r="CV135">
        <v>2</v>
      </c>
      <c r="CW135">
        <v>0</v>
      </c>
      <c r="CX135">
        <v>7</v>
      </c>
      <c r="CY135">
        <v>7</v>
      </c>
      <c r="CZ135" t="s">
        <v>133</v>
      </c>
      <c r="DA135">
        <v>125</v>
      </c>
      <c r="DB135">
        <v>1</v>
      </c>
      <c r="DC135" t="s">
        <v>134</v>
      </c>
      <c r="DD135" t="s">
        <v>135</v>
      </c>
      <c r="DG135">
        <v>2474098</v>
      </c>
      <c r="DI135">
        <v>0</v>
      </c>
      <c r="DJ135">
        <v>0</v>
      </c>
      <c r="DK135">
        <v>1</v>
      </c>
      <c r="DL135">
        <v>0</v>
      </c>
      <c r="DM135">
        <v>0</v>
      </c>
      <c r="DN135">
        <v>0</v>
      </c>
      <c r="DO135">
        <v>0</v>
      </c>
      <c r="DP135">
        <v>0</v>
      </c>
      <c r="DQ135">
        <v>0</v>
      </c>
      <c r="DR135">
        <v>0</v>
      </c>
      <c r="DS135">
        <v>0</v>
      </c>
    </row>
    <row r="136" spans="1:123" x14ac:dyDescent="0.25">
      <c r="A136" t="str">
        <f>"04/17/2026 15:38:03.752"</f>
        <v>04/17/2026 15:38:03.752</v>
      </c>
      <c r="C136" t="str">
        <f t="shared" si="11"/>
        <v>FFDFD3C0</v>
      </c>
      <c r="D136" t="s">
        <v>136</v>
      </c>
      <c r="E136" t="str">
        <f>"0E"</f>
        <v>0E</v>
      </c>
      <c r="F136">
        <v>1014</v>
      </c>
      <c r="G136" t="s">
        <v>125</v>
      </c>
      <c r="J136" t="s">
        <v>137</v>
      </c>
      <c r="K136">
        <v>0</v>
      </c>
      <c r="L136">
        <v>3</v>
      </c>
      <c r="M136">
        <v>0</v>
      </c>
      <c r="N136">
        <v>2</v>
      </c>
      <c r="O136">
        <v>1</v>
      </c>
      <c r="P136">
        <v>0</v>
      </c>
      <c r="Q136">
        <v>0</v>
      </c>
      <c r="R136" t="s">
        <v>127</v>
      </c>
      <c r="S136" t="str">
        <f>"15:38:03.484"</f>
        <v>15:38:03.484</v>
      </c>
      <c r="T136" t="str">
        <f>"15:38:03.084"</f>
        <v>15:38:03.084</v>
      </c>
      <c r="U136" t="str">
        <f t="shared" si="12"/>
        <v>A55E09</v>
      </c>
      <c r="V136">
        <v>0</v>
      </c>
      <c r="W136">
        <v>0</v>
      </c>
      <c r="X136">
        <v>2</v>
      </c>
      <c r="Y136">
        <v>0</v>
      </c>
      <c r="AA136">
        <v>0</v>
      </c>
      <c r="AB136">
        <v>9</v>
      </c>
      <c r="AC136">
        <v>3</v>
      </c>
      <c r="AD136">
        <v>0</v>
      </c>
      <c r="AE136">
        <v>9</v>
      </c>
      <c r="AF136" t="s">
        <v>128</v>
      </c>
      <c r="AG136">
        <v>0</v>
      </c>
      <c r="AH136">
        <v>0</v>
      </c>
      <c r="AI136">
        <v>1</v>
      </c>
      <c r="AJ136">
        <v>0</v>
      </c>
      <c r="AK136" t="s">
        <v>200</v>
      </c>
      <c r="AL136">
        <v>33.667516999999997</v>
      </c>
      <c r="AM136" t="s">
        <v>201</v>
      </c>
      <c r="AN136">
        <v>-101.202085</v>
      </c>
      <c r="AO136">
        <v>100</v>
      </c>
      <c r="AP136">
        <v>3300</v>
      </c>
      <c r="AQ136" t="s">
        <v>131</v>
      </c>
      <c r="AR136">
        <v>-14</v>
      </c>
      <c r="AS136">
        <v>78</v>
      </c>
      <c r="AT136">
        <v>128</v>
      </c>
      <c r="BB136" t="str">
        <f t="shared" si="13"/>
        <v>1200</v>
      </c>
      <c r="BC136">
        <v>1</v>
      </c>
      <c r="BD136" t="str">
        <f t="shared" si="14"/>
        <v xml:space="preserve">N445JS  </v>
      </c>
      <c r="BE136">
        <v>7</v>
      </c>
      <c r="BG136">
        <v>0</v>
      </c>
      <c r="BH136">
        <v>0</v>
      </c>
      <c r="BI136">
        <v>0</v>
      </c>
      <c r="BJ136">
        <v>3075</v>
      </c>
      <c r="BK136">
        <v>-225</v>
      </c>
      <c r="BL136" t="s">
        <v>132</v>
      </c>
      <c r="BM136">
        <v>1</v>
      </c>
      <c r="BN136">
        <v>1</v>
      </c>
      <c r="BO136">
        <v>1</v>
      </c>
      <c r="BP136">
        <v>0</v>
      </c>
      <c r="BT136">
        <v>0</v>
      </c>
      <c r="BU136">
        <v>0</v>
      </c>
      <c r="CE136" t="str">
        <f>"15:38:03.490"</f>
        <v>15:38:03.490</v>
      </c>
      <c r="CF136">
        <v>490017030</v>
      </c>
      <c r="CS136">
        <v>0</v>
      </c>
      <c r="CT136">
        <v>2</v>
      </c>
      <c r="CU136">
        <v>0</v>
      </c>
      <c r="CV136">
        <v>2</v>
      </c>
      <c r="CW136">
        <v>0</v>
      </c>
      <c r="CX136">
        <v>7</v>
      </c>
      <c r="CY136">
        <v>7</v>
      </c>
      <c r="CZ136" t="s">
        <v>133</v>
      </c>
      <c r="DA136">
        <v>125</v>
      </c>
      <c r="DB136">
        <v>1</v>
      </c>
      <c r="DC136" t="s">
        <v>134</v>
      </c>
      <c r="DD136" t="s">
        <v>135</v>
      </c>
      <c r="DG136">
        <v>2474098</v>
      </c>
      <c r="DI136">
        <v>0</v>
      </c>
      <c r="DJ136">
        <v>0</v>
      </c>
      <c r="DK136">
        <v>1</v>
      </c>
      <c r="DL136">
        <v>0</v>
      </c>
      <c r="DM136">
        <v>0</v>
      </c>
      <c r="DN136">
        <v>0</v>
      </c>
      <c r="DO136">
        <v>0</v>
      </c>
      <c r="DP136">
        <v>0</v>
      </c>
      <c r="DQ136">
        <v>0</v>
      </c>
      <c r="DR136">
        <v>0</v>
      </c>
      <c r="DS136">
        <v>0</v>
      </c>
    </row>
    <row r="137" spans="1:123" x14ac:dyDescent="0.25">
      <c r="A137" t="str">
        <f>"04/17/2026 15:38:03.777"</f>
        <v>04/17/2026 15:38:03.777</v>
      </c>
      <c r="C137" t="str">
        <f t="shared" si="11"/>
        <v>FFDFD3C0</v>
      </c>
      <c r="D137" t="s">
        <v>139</v>
      </c>
      <c r="E137" t="str">
        <f>"28"</f>
        <v>28</v>
      </c>
      <c r="H137">
        <v>140</v>
      </c>
      <c r="I137" t="s">
        <v>140</v>
      </c>
      <c r="J137" t="s">
        <v>141</v>
      </c>
      <c r="K137">
        <v>0</v>
      </c>
      <c r="L137">
        <v>3</v>
      </c>
      <c r="M137">
        <v>0</v>
      </c>
      <c r="N137">
        <v>2</v>
      </c>
      <c r="O137">
        <v>1</v>
      </c>
      <c r="P137">
        <v>0</v>
      </c>
      <c r="Q137">
        <v>0</v>
      </c>
      <c r="R137" t="s">
        <v>127</v>
      </c>
      <c r="S137" t="str">
        <f>"15:38:03.484"</f>
        <v>15:38:03.484</v>
      </c>
      <c r="T137" t="str">
        <f>"15:38:03.084"</f>
        <v>15:38:03.084</v>
      </c>
      <c r="U137" t="str">
        <f t="shared" si="12"/>
        <v>A55E09</v>
      </c>
      <c r="V137">
        <v>0</v>
      </c>
      <c r="W137">
        <v>0</v>
      </c>
      <c r="X137">
        <v>2</v>
      </c>
      <c r="Y137">
        <v>0</v>
      </c>
      <c r="AA137">
        <v>0</v>
      </c>
      <c r="AB137">
        <v>9</v>
      </c>
      <c r="AC137">
        <v>3</v>
      </c>
      <c r="AD137">
        <v>0</v>
      </c>
      <c r="AE137">
        <v>9</v>
      </c>
      <c r="AF137" t="s">
        <v>128</v>
      </c>
      <c r="AG137">
        <v>0</v>
      </c>
      <c r="AH137">
        <v>0</v>
      </c>
      <c r="AI137">
        <v>1</v>
      </c>
      <c r="AJ137">
        <v>0</v>
      </c>
      <c r="AK137" t="s">
        <v>200</v>
      </c>
      <c r="AL137">
        <v>33.667516999999997</v>
      </c>
      <c r="AM137" t="s">
        <v>201</v>
      </c>
      <c r="AN137">
        <v>-101.202085</v>
      </c>
      <c r="AO137">
        <v>100</v>
      </c>
      <c r="AP137">
        <v>3300</v>
      </c>
      <c r="AQ137" t="s">
        <v>131</v>
      </c>
      <c r="AR137">
        <v>-14</v>
      </c>
      <c r="AS137">
        <v>78</v>
      </c>
      <c r="AT137">
        <v>128</v>
      </c>
      <c r="BB137" t="str">
        <f t="shared" si="13"/>
        <v>1200</v>
      </c>
      <c r="BC137">
        <v>1</v>
      </c>
      <c r="BD137" t="str">
        <f t="shared" si="14"/>
        <v xml:space="preserve">N445JS  </v>
      </c>
      <c r="BE137">
        <v>7</v>
      </c>
      <c r="BG137">
        <v>0</v>
      </c>
      <c r="BH137">
        <v>0</v>
      </c>
      <c r="BI137">
        <v>0</v>
      </c>
      <c r="BJ137">
        <v>3075</v>
      </c>
      <c r="BK137">
        <v>-225</v>
      </c>
      <c r="BL137" t="s">
        <v>132</v>
      </c>
      <c r="BM137">
        <v>1</v>
      </c>
      <c r="BN137">
        <v>1</v>
      </c>
      <c r="BO137">
        <v>1</v>
      </c>
      <c r="BP137">
        <v>0</v>
      </c>
      <c r="BT137">
        <v>0</v>
      </c>
      <c r="BU137">
        <v>0</v>
      </c>
      <c r="CE137" t="str">
        <f>"15:38:03.490"</f>
        <v>15:38:03.490</v>
      </c>
      <c r="CF137">
        <v>490017030</v>
      </c>
      <c r="CS137">
        <v>0</v>
      </c>
      <c r="CT137">
        <v>2</v>
      </c>
      <c r="CU137">
        <v>0</v>
      </c>
      <c r="CV137">
        <v>2</v>
      </c>
      <c r="CW137">
        <v>0</v>
      </c>
      <c r="CX137">
        <v>7</v>
      </c>
      <c r="CY137">
        <v>7</v>
      </c>
      <c r="CZ137" t="s">
        <v>133</v>
      </c>
      <c r="DA137">
        <v>125</v>
      </c>
      <c r="DB137">
        <v>1</v>
      </c>
      <c r="DC137" t="s">
        <v>134</v>
      </c>
      <c r="DD137" t="s">
        <v>135</v>
      </c>
      <c r="DG137">
        <v>2474098</v>
      </c>
      <c r="DI137">
        <v>0</v>
      </c>
      <c r="DJ137">
        <v>0</v>
      </c>
      <c r="DK137">
        <v>1</v>
      </c>
      <c r="DL137">
        <v>0</v>
      </c>
      <c r="DM137">
        <v>0</v>
      </c>
      <c r="DN137">
        <v>0</v>
      </c>
      <c r="DO137">
        <v>0</v>
      </c>
      <c r="DP137">
        <v>0</v>
      </c>
      <c r="DQ137">
        <v>0</v>
      </c>
      <c r="DR137">
        <v>0</v>
      </c>
      <c r="DS137">
        <v>0</v>
      </c>
    </row>
    <row r="138" spans="1:123" x14ac:dyDescent="0.25">
      <c r="A138" t="str">
        <f>"04/17/2026 15:38:04.905"</f>
        <v>04/17/2026 15:38:04.905</v>
      </c>
      <c r="C138" t="str">
        <f t="shared" si="11"/>
        <v>FFDFD3C0</v>
      </c>
      <c r="D138" t="s">
        <v>136</v>
      </c>
      <c r="E138" t="str">
        <f>"0F"</f>
        <v>0F</v>
      </c>
      <c r="F138">
        <v>1015</v>
      </c>
      <c r="G138" t="s">
        <v>138</v>
      </c>
      <c r="J138" t="s">
        <v>137</v>
      </c>
      <c r="K138">
        <v>0</v>
      </c>
      <c r="L138">
        <v>3</v>
      </c>
      <c r="M138">
        <v>0</v>
      </c>
      <c r="N138">
        <v>2</v>
      </c>
      <c r="O138">
        <v>1</v>
      </c>
      <c r="P138">
        <v>0</v>
      </c>
      <c r="Q138">
        <v>0</v>
      </c>
      <c r="R138" t="s">
        <v>127</v>
      </c>
      <c r="S138" t="str">
        <f>"15:38:04.672"</f>
        <v>15:38:04.672</v>
      </c>
      <c r="T138" t="str">
        <f>"15:38:04.572"</f>
        <v>15:38:04.572</v>
      </c>
      <c r="U138" t="str">
        <f t="shared" si="12"/>
        <v>A55E09</v>
      </c>
      <c r="V138">
        <v>0</v>
      </c>
      <c r="W138">
        <v>0</v>
      </c>
      <c r="X138">
        <v>2</v>
      </c>
      <c r="Y138">
        <v>0</v>
      </c>
      <c r="AA138">
        <v>0</v>
      </c>
      <c r="AB138">
        <v>9</v>
      </c>
      <c r="AC138">
        <v>3</v>
      </c>
      <c r="AD138">
        <v>0</v>
      </c>
      <c r="AE138">
        <v>9</v>
      </c>
      <c r="AF138" t="s">
        <v>128</v>
      </c>
      <c r="AG138">
        <v>0</v>
      </c>
      <c r="AH138">
        <v>0</v>
      </c>
      <c r="AI138">
        <v>1</v>
      </c>
      <c r="AJ138">
        <v>0</v>
      </c>
      <c r="AK138" t="s">
        <v>202</v>
      </c>
      <c r="AL138">
        <v>33.667966999999997</v>
      </c>
      <c r="AM138" t="s">
        <v>203</v>
      </c>
      <c r="AN138">
        <v>-101.202192</v>
      </c>
      <c r="AO138">
        <v>100</v>
      </c>
      <c r="AP138">
        <v>3300</v>
      </c>
      <c r="AQ138" t="s">
        <v>131</v>
      </c>
      <c r="AR138">
        <v>-16</v>
      </c>
      <c r="AS138">
        <v>78</v>
      </c>
      <c r="AT138">
        <v>128</v>
      </c>
      <c r="BB138" t="str">
        <f t="shared" si="13"/>
        <v>1200</v>
      </c>
      <c r="BC138">
        <v>1</v>
      </c>
      <c r="BD138" t="str">
        <f t="shared" si="14"/>
        <v xml:space="preserve">N445JS  </v>
      </c>
      <c r="BE138">
        <v>7</v>
      </c>
      <c r="BG138">
        <v>0</v>
      </c>
      <c r="BH138">
        <v>0</v>
      </c>
      <c r="BI138">
        <v>0</v>
      </c>
      <c r="BJ138">
        <v>3100</v>
      </c>
      <c r="BK138">
        <v>-200</v>
      </c>
      <c r="BL138" t="s">
        <v>132</v>
      </c>
      <c r="BM138">
        <v>1</v>
      </c>
      <c r="BN138">
        <v>1</v>
      </c>
      <c r="BO138">
        <v>1</v>
      </c>
      <c r="BP138">
        <v>0</v>
      </c>
      <c r="BT138">
        <v>0</v>
      </c>
      <c r="BU138">
        <v>0</v>
      </c>
      <c r="CE138" t="str">
        <f>"15:38:04.675"</f>
        <v>15:38:04.675</v>
      </c>
      <c r="CF138">
        <v>674900856</v>
      </c>
      <c r="CS138">
        <v>0</v>
      </c>
      <c r="CT138">
        <v>2</v>
      </c>
      <c r="CU138">
        <v>0</v>
      </c>
      <c r="CV138">
        <v>2</v>
      </c>
      <c r="CW138">
        <v>0</v>
      </c>
      <c r="CX138">
        <v>7</v>
      </c>
      <c r="CY138">
        <v>7</v>
      </c>
      <c r="CZ138" t="s">
        <v>133</v>
      </c>
      <c r="DA138">
        <v>125</v>
      </c>
      <c r="DB138">
        <v>1</v>
      </c>
      <c r="DC138" t="s">
        <v>134</v>
      </c>
      <c r="DD138" t="s">
        <v>135</v>
      </c>
      <c r="DG138">
        <v>2475263</v>
      </c>
      <c r="DI138">
        <v>0</v>
      </c>
      <c r="DJ138">
        <v>0</v>
      </c>
      <c r="DK138">
        <v>0</v>
      </c>
      <c r="DL138">
        <v>0</v>
      </c>
      <c r="DM138">
        <v>0</v>
      </c>
      <c r="DN138">
        <v>0</v>
      </c>
      <c r="DO138">
        <v>0</v>
      </c>
      <c r="DP138">
        <v>0</v>
      </c>
      <c r="DQ138">
        <v>0</v>
      </c>
      <c r="DR138">
        <v>0</v>
      </c>
      <c r="DS138">
        <v>0</v>
      </c>
    </row>
    <row r="139" spans="1:123" x14ac:dyDescent="0.25">
      <c r="A139" t="str">
        <f>"04/17/2026 15:38:04.903"</f>
        <v>04/17/2026 15:38:04.903</v>
      </c>
      <c r="C139" t="str">
        <f t="shared" si="11"/>
        <v>FFDFD3C0</v>
      </c>
      <c r="D139" t="s">
        <v>124</v>
      </c>
      <c r="E139" t="str">
        <f>"03"</f>
        <v>03</v>
      </c>
      <c r="H139">
        <v>160</v>
      </c>
      <c r="I139" t="s">
        <v>125</v>
      </c>
      <c r="J139" t="s">
        <v>126</v>
      </c>
      <c r="K139">
        <v>0</v>
      </c>
      <c r="L139">
        <v>3</v>
      </c>
      <c r="M139">
        <v>0</v>
      </c>
      <c r="N139">
        <v>2</v>
      </c>
      <c r="O139">
        <v>1</v>
      </c>
      <c r="P139">
        <v>0</v>
      </c>
      <c r="Q139">
        <v>0</v>
      </c>
      <c r="R139" t="s">
        <v>127</v>
      </c>
      <c r="S139" t="str">
        <f>"15:38:04.672"</f>
        <v>15:38:04.672</v>
      </c>
      <c r="T139" t="str">
        <f>"15:38:04.572"</f>
        <v>15:38:04.572</v>
      </c>
      <c r="U139" t="str">
        <f t="shared" si="12"/>
        <v>A55E09</v>
      </c>
      <c r="V139">
        <v>0</v>
      </c>
      <c r="W139">
        <v>0</v>
      </c>
      <c r="X139">
        <v>2</v>
      </c>
      <c r="Y139">
        <v>0</v>
      </c>
      <c r="AA139">
        <v>0</v>
      </c>
      <c r="AB139">
        <v>9</v>
      </c>
      <c r="AC139">
        <v>3</v>
      </c>
      <c r="AD139">
        <v>0</v>
      </c>
      <c r="AE139">
        <v>9</v>
      </c>
      <c r="AF139" t="s">
        <v>128</v>
      </c>
      <c r="AG139">
        <v>0</v>
      </c>
      <c r="AH139">
        <v>0</v>
      </c>
      <c r="AI139">
        <v>1</v>
      </c>
      <c r="AJ139">
        <v>0</v>
      </c>
      <c r="AK139" t="s">
        <v>202</v>
      </c>
      <c r="AL139">
        <v>33.667966999999997</v>
      </c>
      <c r="AM139" t="s">
        <v>203</v>
      </c>
      <c r="AN139">
        <v>-101.202192</v>
      </c>
      <c r="AO139">
        <v>100</v>
      </c>
      <c r="AP139">
        <v>3300</v>
      </c>
      <c r="AQ139" t="s">
        <v>131</v>
      </c>
      <c r="AR139">
        <v>-16</v>
      </c>
      <c r="AS139">
        <v>78</v>
      </c>
      <c r="AT139">
        <v>128</v>
      </c>
      <c r="BB139" t="str">
        <f t="shared" si="13"/>
        <v>1200</v>
      </c>
      <c r="BC139">
        <v>1</v>
      </c>
      <c r="BD139" t="str">
        <f t="shared" si="14"/>
        <v xml:space="preserve">N445JS  </v>
      </c>
      <c r="BE139">
        <v>7</v>
      </c>
      <c r="BG139">
        <v>0</v>
      </c>
      <c r="BH139">
        <v>0</v>
      </c>
      <c r="BI139">
        <v>0</v>
      </c>
      <c r="BJ139">
        <v>3100</v>
      </c>
      <c r="BK139">
        <v>-200</v>
      </c>
      <c r="BL139" t="s">
        <v>132</v>
      </c>
      <c r="BM139">
        <v>1</v>
      </c>
      <c r="BN139">
        <v>1</v>
      </c>
      <c r="BO139">
        <v>1</v>
      </c>
      <c r="BP139">
        <v>0</v>
      </c>
      <c r="BT139">
        <v>0</v>
      </c>
      <c r="BU139">
        <v>0</v>
      </c>
      <c r="CE139" t="str">
        <f>"15:38:04.675"</f>
        <v>15:38:04.675</v>
      </c>
      <c r="CF139">
        <v>674900856</v>
      </c>
      <c r="CS139">
        <v>0</v>
      </c>
      <c r="CT139">
        <v>2</v>
      </c>
      <c r="CU139">
        <v>0</v>
      </c>
      <c r="CV139">
        <v>2</v>
      </c>
      <c r="CW139">
        <v>0</v>
      </c>
      <c r="CX139">
        <v>7</v>
      </c>
      <c r="CY139">
        <v>7</v>
      </c>
      <c r="CZ139" t="s">
        <v>133</v>
      </c>
      <c r="DA139">
        <v>125</v>
      </c>
      <c r="DB139">
        <v>1</v>
      </c>
      <c r="DC139" t="s">
        <v>134</v>
      </c>
      <c r="DD139" t="s">
        <v>135</v>
      </c>
      <c r="DG139">
        <v>2475263</v>
      </c>
      <c r="DI139">
        <v>0</v>
      </c>
      <c r="DJ139">
        <v>0</v>
      </c>
      <c r="DK139">
        <v>1</v>
      </c>
      <c r="DL139">
        <v>0</v>
      </c>
      <c r="DM139">
        <v>0</v>
      </c>
      <c r="DN139">
        <v>0</v>
      </c>
      <c r="DO139">
        <v>0</v>
      </c>
      <c r="DP139">
        <v>0</v>
      </c>
      <c r="DQ139">
        <v>0</v>
      </c>
      <c r="DR139">
        <v>0</v>
      </c>
      <c r="DS139">
        <v>0</v>
      </c>
    </row>
    <row r="140" spans="1:123" x14ac:dyDescent="0.25">
      <c r="A140" t="str">
        <f>"04/17/2026 15:38:04.904"</f>
        <v>04/17/2026 15:38:04.904</v>
      </c>
      <c r="C140" t="str">
        <f t="shared" si="11"/>
        <v>FFDFD3C0</v>
      </c>
      <c r="D140" t="s">
        <v>136</v>
      </c>
      <c r="E140" t="str">
        <f>"0E"</f>
        <v>0E</v>
      </c>
      <c r="F140">
        <v>1014</v>
      </c>
      <c r="G140" t="s">
        <v>125</v>
      </c>
      <c r="J140" t="s">
        <v>137</v>
      </c>
      <c r="K140">
        <v>0</v>
      </c>
      <c r="L140">
        <v>3</v>
      </c>
      <c r="M140">
        <v>0</v>
      </c>
      <c r="N140">
        <v>2</v>
      </c>
      <c r="O140">
        <v>1</v>
      </c>
      <c r="P140">
        <v>0</v>
      </c>
      <c r="Q140">
        <v>0</v>
      </c>
      <c r="R140" t="s">
        <v>127</v>
      </c>
      <c r="S140" t="str">
        <f>"15:38:04.672"</f>
        <v>15:38:04.672</v>
      </c>
      <c r="T140" t="str">
        <f>"15:38:04.572"</f>
        <v>15:38:04.572</v>
      </c>
      <c r="U140" t="str">
        <f t="shared" si="12"/>
        <v>A55E09</v>
      </c>
      <c r="V140">
        <v>0</v>
      </c>
      <c r="W140">
        <v>0</v>
      </c>
      <c r="X140">
        <v>2</v>
      </c>
      <c r="Y140">
        <v>0</v>
      </c>
      <c r="AA140">
        <v>0</v>
      </c>
      <c r="AB140">
        <v>9</v>
      </c>
      <c r="AC140">
        <v>3</v>
      </c>
      <c r="AD140">
        <v>0</v>
      </c>
      <c r="AE140">
        <v>9</v>
      </c>
      <c r="AF140" t="s">
        <v>128</v>
      </c>
      <c r="AG140">
        <v>0</v>
      </c>
      <c r="AH140">
        <v>0</v>
      </c>
      <c r="AI140">
        <v>1</v>
      </c>
      <c r="AJ140">
        <v>0</v>
      </c>
      <c r="AK140" t="s">
        <v>202</v>
      </c>
      <c r="AL140">
        <v>33.667966999999997</v>
      </c>
      <c r="AM140" t="s">
        <v>203</v>
      </c>
      <c r="AN140">
        <v>-101.202192</v>
      </c>
      <c r="AO140">
        <v>100</v>
      </c>
      <c r="AP140">
        <v>3300</v>
      </c>
      <c r="AQ140" t="s">
        <v>131</v>
      </c>
      <c r="AR140">
        <v>-16</v>
      </c>
      <c r="AS140">
        <v>78</v>
      </c>
      <c r="AT140">
        <v>128</v>
      </c>
      <c r="BB140" t="str">
        <f t="shared" si="13"/>
        <v>1200</v>
      </c>
      <c r="BC140">
        <v>1</v>
      </c>
      <c r="BD140" t="str">
        <f t="shared" si="14"/>
        <v xml:space="preserve">N445JS  </v>
      </c>
      <c r="BE140">
        <v>7</v>
      </c>
      <c r="BG140">
        <v>0</v>
      </c>
      <c r="BH140">
        <v>0</v>
      </c>
      <c r="BI140">
        <v>0</v>
      </c>
      <c r="BJ140">
        <v>3100</v>
      </c>
      <c r="BK140">
        <v>-200</v>
      </c>
      <c r="BL140" t="s">
        <v>132</v>
      </c>
      <c r="BM140">
        <v>1</v>
      </c>
      <c r="BN140">
        <v>1</v>
      </c>
      <c r="BO140">
        <v>1</v>
      </c>
      <c r="BP140">
        <v>0</v>
      </c>
      <c r="BT140">
        <v>0</v>
      </c>
      <c r="BU140">
        <v>0</v>
      </c>
      <c r="CE140" t="str">
        <f>"15:38:04.675"</f>
        <v>15:38:04.675</v>
      </c>
      <c r="CF140">
        <v>674900856</v>
      </c>
      <c r="CS140">
        <v>0</v>
      </c>
      <c r="CT140">
        <v>2</v>
      </c>
      <c r="CU140">
        <v>0</v>
      </c>
      <c r="CV140">
        <v>2</v>
      </c>
      <c r="CW140">
        <v>0</v>
      </c>
      <c r="CX140">
        <v>7</v>
      </c>
      <c r="CY140">
        <v>7</v>
      </c>
      <c r="CZ140" t="s">
        <v>133</v>
      </c>
      <c r="DA140">
        <v>125</v>
      </c>
      <c r="DB140">
        <v>1</v>
      </c>
      <c r="DC140" t="s">
        <v>134</v>
      </c>
      <c r="DD140" t="s">
        <v>135</v>
      </c>
      <c r="DG140">
        <v>2475263</v>
      </c>
      <c r="DI140">
        <v>0</v>
      </c>
      <c r="DJ140">
        <v>0</v>
      </c>
      <c r="DK140">
        <v>1</v>
      </c>
      <c r="DL140">
        <v>0</v>
      </c>
      <c r="DM140">
        <v>0</v>
      </c>
      <c r="DN140">
        <v>0</v>
      </c>
      <c r="DO140">
        <v>0</v>
      </c>
      <c r="DP140">
        <v>0</v>
      </c>
      <c r="DQ140">
        <v>0</v>
      </c>
      <c r="DR140">
        <v>0</v>
      </c>
      <c r="DS140">
        <v>0</v>
      </c>
    </row>
    <row r="141" spans="1:123" x14ac:dyDescent="0.25">
      <c r="A141" t="str">
        <f>"04/17/2026 15:38:04.928"</f>
        <v>04/17/2026 15:38:04.928</v>
      </c>
      <c r="C141" t="str">
        <f t="shared" si="11"/>
        <v>FFDFD3C0</v>
      </c>
      <c r="D141" t="s">
        <v>139</v>
      </c>
      <c r="E141" t="str">
        <f>"28"</f>
        <v>28</v>
      </c>
      <c r="H141">
        <v>140</v>
      </c>
      <c r="I141" t="s">
        <v>140</v>
      </c>
      <c r="J141" t="s">
        <v>141</v>
      </c>
      <c r="K141">
        <v>0</v>
      </c>
      <c r="L141">
        <v>3</v>
      </c>
      <c r="M141">
        <v>0</v>
      </c>
      <c r="N141">
        <v>2</v>
      </c>
      <c r="O141">
        <v>1</v>
      </c>
      <c r="P141">
        <v>0</v>
      </c>
      <c r="Q141">
        <v>0</v>
      </c>
      <c r="R141" t="s">
        <v>127</v>
      </c>
      <c r="S141" t="str">
        <f>"15:38:04.672"</f>
        <v>15:38:04.672</v>
      </c>
      <c r="T141" t="str">
        <f>"15:38:04.572"</f>
        <v>15:38:04.572</v>
      </c>
      <c r="U141" t="str">
        <f t="shared" si="12"/>
        <v>A55E09</v>
      </c>
      <c r="V141">
        <v>0</v>
      </c>
      <c r="W141">
        <v>0</v>
      </c>
      <c r="X141">
        <v>2</v>
      </c>
      <c r="Y141">
        <v>0</v>
      </c>
      <c r="AA141">
        <v>0</v>
      </c>
      <c r="AB141">
        <v>9</v>
      </c>
      <c r="AC141">
        <v>3</v>
      </c>
      <c r="AD141">
        <v>0</v>
      </c>
      <c r="AE141">
        <v>9</v>
      </c>
      <c r="AF141" t="s">
        <v>128</v>
      </c>
      <c r="AG141">
        <v>0</v>
      </c>
      <c r="AH141">
        <v>0</v>
      </c>
      <c r="AI141">
        <v>1</v>
      </c>
      <c r="AJ141">
        <v>0</v>
      </c>
      <c r="AK141" t="s">
        <v>202</v>
      </c>
      <c r="AL141">
        <v>33.667966999999997</v>
      </c>
      <c r="AM141" t="s">
        <v>203</v>
      </c>
      <c r="AN141">
        <v>-101.202192</v>
      </c>
      <c r="AO141">
        <v>100</v>
      </c>
      <c r="AP141">
        <v>3300</v>
      </c>
      <c r="AQ141" t="s">
        <v>131</v>
      </c>
      <c r="AR141">
        <v>-16</v>
      </c>
      <c r="AS141">
        <v>78</v>
      </c>
      <c r="AT141">
        <v>128</v>
      </c>
      <c r="BB141" t="str">
        <f t="shared" si="13"/>
        <v>1200</v>
      </c>
      <c r="BC141">
        <v>1</v>
      </c>
      <c r="BD141" t="str">
        <f t="shared" si="14"/>
        <v xml:space="preserve">N445JS  </v>
      </c>
      <c r="BE141">
        <v>7</v>
      </c>
      <c r="BG141">
        <v>0</v>
      </c>
      <c r="BH141">
        <v>0</v>
      </c>
      <c r="BI141">
        <v>0</v>
      </c>
      <c r="BJ141">
        <v>3100</v>
      </c>
      <c r="BK141">
        <v>-200</v>
      </c>
      <c r="BL141" t="s">
        <v>132</v>
      </c>
      <c r="BM141">
        <v>1</v>
      </c>
      <c r="BN141">
        <v>1</v>
      </c>
      <c r="BO141">
        <v>1</v>
      </c>
      <c r="BP141">
        <v>0</v>
      </c>
      <c r="BT141">
        <v>0</v>
      </c>
      <c r="BU141">
        <v>0</v>
      </c>
      <c r="CE141" t="str">
        <f>"15:38:04.675"</f>
        <v>15:38:04.675</v>
      </c>
      <c r="CF141">
        <v>674900856</v>
      </c>
      <c r="CS141">
        <v>0</v>
      </c>
      <c r="CT141">
        <v>2</v>
      </c>
      <c r="CU141">
        <v>0</v>
      </c>
      <c r="CV141">
        <v>2</v>
      </c>
      <c r="CW141">
        <v>0</v>
      </c>
      <c r="CX141">
        <v>7</v>
      </c>
      <c r="CY141">
        <v>7</v>
      </c>
      <c r="CZ141" t="s">
        <v>133</v>
      </c>
      <c r="DA141">
        <v>125</v>
      </c>
      <c r="DB141">
        <v>1</v>
      </c>
      <c r="DC141" t="s">
        <v>134</v>
      </c>
      <c r="DD141" t="s">
        <v>135</v>
      </c>
      <c r="DG141">
        <v>2475263</v>
      </c>
      <c r="DI141">
        <v>0</v>
      </c>
      <c r="DJ141">
        <v>0</v>
      </c>
      <c r="DK141">
        <v>1</v>
      </c>
      <c r="DL141">
        <v>0</v>
      </c>
      <c r="DM141">
        <v>0</v>
      </c>
      <c r="DN141">
        <v>0</v>
      </c>
      <c r="DO141">
        <v>0</v>
      </c>
      <c r="DP141">
        <v>0</v>
      </c>
      <c r="DQ141">
        <v>0</v>
      </c>
      <c r="DR141">
        <v>0</v>
      </c>
      <c r="DS141">
        <v>0</v>
      </c>
    </row>
    <row r="142" spans="1:123" x14ac:dyDescent="0.25">
      <c r="A142" t="str">
        <f>"04/17/2026 15:38:05.880"</f>
        <v>04/17/2026 15:38:05.880</v>
      </c>
      <c r="C142" t="str">
        <f t="shared" si="11"/>
        <v>FFDFD3C0</v>
      </c>
      <c r="D142" t="s">
        <v>139</v>
      </c>
      <c r="E142" t="str">
        <f>"28"</f>
        <v>28</v>
      </c>
      <c r="H142">
        <v>140</v>
      </c>
      <c r="I142" t="s">
        <v>140</v>
      </c>
      <c r="J142" t="s">
        <v>141</v>
      </c>
      <c r="K142">
        <v>0</v>
      </c>
      <c r="L142">
        <v>3</v>
      </c>
      <c r="M142">
        <v>0</v>
      </c>
      <c r="N142">
        <v>2</v>
      </c>
      <c r="O142">
        <v>1</v>
      </c>
      <c r="P142">
        <v>0</v>
      </c>
      <c r="Q142">
        <v>0</v>
      </c>
      <c r="R142" t="s">
        <v>127</v>
      </c>
      <c r="S142" t="str">
        <f t="shared" ref="S142:T145" si="15">"15:38:05.633"</f>
        <v>15:38:05.633</v>
      </c>
      <c r="T142" t="str">
        <f t="shared" si="15"/>
        <v>15:38:05.633</v>
      </c>
      <c r="U142" t="str">
        <f t="shared" si="12"/>
        <v>A55E09</v>
      </c>
      <c r="V142">
        <v>0</v>
      </c>
      <c r="W142">
        <v>0</v>
      </c>
      <c r="X142">
        <v>2</v>
      </c>
      <c r="Y142">
        <v>0</v>
      </c>
      <c r="AA142">
        <v>0</v>
      </c>
      <c r="AB142">
        <v>9</v>
      </c>
      <c r="AC142">
        <v>3</v>
      </c>
      <c r="AD142">
        <v>0</v>
      </c>
      <c r="AE142">
        <v>9</v>
      </c>
      <c r="AF142" t="s">
        <v>128</v>
      </c>
      <c r="AG142">
        <v>0</v>
      </c>
      <c r="AH142">
        <v>0</v>
      </c>
      <c r="AI142">
        <v>1</v>
      </c>
      <c r="AJ142">
        <v>0</v>
      </c>
      <c r="AK142" t="s">
        <v>204</v>
      </c>
      <c r="AL142">
        <v>33.668311000000003</v>
      </c>
      <c r="AM142" t="s">
        <v>205</v>
      </c>
      <c r="AN142">
        <v>-101.20227800000001</v>
      </c>
      <c r="AO142">
        <v>100</v>
      </c>
      <c r="AP142">
        <v>3300</v>
      </c>
      <c r="AQ142" t="s">
        <v>131</v>
      </c>
      <c r="AR142">
        <v>-17</v>
      </c>
      <c r="AS142">
        <v>78</v>
      </c>
      <c r="AT142">
        <v>0</v>
      </c>
      <c r="BB142" t="str">
        <f t="shared" si="13"/>
        <v>1200</v>
      </c>
      <c r="BC142">
        <v>1</v>
      </c>
      <c r="BD142" t="str">
        <f t="shared" si="14"/>
        <v xml:space="preserve">N445JS  </v>
      </c>
      <c r="BE142">
        <v>7</v>
      </c>
      <c r="BG142">
        <v>0</v>
      </c>
      <c r="BH142">
        <v>0</v>
      </c>
      <c r="BI142">
        <v>0</v>
      </c>
      <c r="BJ142">
        <v>3100</v>
      </c>
      <c r="BK142">
        <v>-200</v>
      </c>
      <c r="BL142" t="s">
        <v>132</v>
      </c>
      <c r="BM142">
        <v>1</v>
      </c>
      <c r="BN142">
        <v>1</v>
      </c>
      <c r="BO142">
        <v>1</v>
      </c>
      <c r="BP142">
        <v>0</v>
      </c>
      <c r="BT142">
        <v>0</v>
      </c>
      <c r="BU142">
        <v>0</v>
      </c>
      <c r="CE142" t="str">
        <f>"15:38:05.635"</f>
        <v>15:38:05.635</v>
      </c>
      <c r="CF142">
        <v>634806742</v>
      </c>
      <c r="CS142">
        <v>0</v>
      </c>
      <c r="CT142">
        <v>2</v>
      </c>
      <c r="CU142">
        <v>0</v>
      </c>
      <c r="CV142">
        <v>2</v>
      </c>
      <c r="CW142">
        <v>0</v>
      </c>
      <c r="CX142">
        <v>7</v>
      </c>
      <c r="CY142">
        <v>7</v>
      </c>
      <c r="CZ142" t="s">
        <v>133</v>
      </c>
      <c r="DA142">
        <v>125</v>
      </c>
      <c r="DB142">
        <v>1</v>
      </c>
      <c r="DC142" t="s">
        <v>134</v>
      </c>
      <c r="DD142" t="s">
        <v>135</v>
      </c>
      <c r="DG142">
        <v>2476183</v>
      </c>
      <c r="DI142">
        <v>0</v>
      </c>
      <c r="DJ142">
        <v>0</v>
      </c>
      <c r="DK142">
        <v>0</v>
      </c>
      <c r="DL142">
        <v>0</v>
      </c>
      <c r="DM142">
        <v>0</v>
      </c>
      <c r="DN142">
        <v>0</v>
      </c>
      <c r="DO142">
        <v>0</v>
      </c>
      <c r="DP142">
        <v>0</v>
      </c>
      <c r="DQ142">
        <v>0</v>
      </c>
      <c r="DR142">
        <v>0</v>
      </c>
      <c r="DS142">
        <v>0</v>
      </c>
    </row>
    <row r="143" spans="1:123" x14ac:dyDescent="0.25">
      <c r="A143" t="str">
        <f>"04/17/2026 15:38:05.905"</f>
        <v>04/17/2026 15:38:05.905</v>
      </c>
      <c r="C143" t="str">
        <f t="shared" si="11"/>
        <v>FFDFD3C0</v>
      </c>
      <c r="D143" t="s">
        <v>124</v>
      </c>
      <c r="E143" t="str">
        <f>"03"</f>
        <v>03</v>
      </c>
      <c r="H143">
        <v>160</v>
      </c>
      <c r="I143" t="s">
        <v>125</v>
      </c>
      <c r="J143" t="s">
        <v>126</v>
      </c>
      <c r="K143">
        <v>0</v>
      </c>
      <c r="L143">
        <v>3</v>
      </c>
      <c r="M143">
        <v>0</v>
      </c>
      <c r="N143">
        <v>2</v>
      </c>
      <c r="O143">
        <v>1</v>
      </c>
      <c r="P143">
        <v>0</v>
      </c>
      <c r="Q143">
        <v>0</v>
      </c>
      <c r="R143" t="s">
        <v>127</v>
      </c>
      <c r="S143" t="str">
        <f t="shared" si="15"/>
        <v>15:38:05.633</v>
      </c>
      <c r="T143" t="str">
        <f t="shared" si="15"/>
        <v>15:38:05.633</v>
      </c>
      <c r="U143" t="str">
        <f t="shared" si="12"/>
        <v>A55E09</v>
      </c>
      <c r="V143">
        <v>0</v>
      </c>
      <c r="W143">
        <v>0</v>
      </c>
      <c r="X143">
        <v>2</v>
      </c>
      <c r="Y143">
        <v>0</v>
      </c>
      <c r="AA143">
        <v>0</v>
      </c>
      <c r="AB143">
        <v>9</v>
      </c>
      <c r="AC143">
        <v>3</v>
      </c>
      <c r="AD143">
        <v>0</v>
      </c>
      <c r="AE143">
        <v>9</v>
      </c>
      <c r="AF143" t="s">
        <v>128</v>
      </c>
      <c r="AG143">
        <v>0</v>
      </c>
      <c r="AH143">
        <v>0</v>
      </c>
      <c r="AI143">
        <v>1</v>
      </c>
      <c r="AJ143">
        <v>0</v>
      </c>
      <c r="AK143" t="s">
        <v>204</v>
      </c>
      <c r="AL143">
        <v>33.668311000000003</v>
      </c>
      <c r="AM143" t="s">
        <v>205</v>
      </c>
      <c r="AN143">
        <v>-101.20227800000001</v>
      </c>
      <c r="AO143">
        <v>100</v>
      </c>
      <c r="AP143">
        <v>3300</v>
      </c>
      <c r="AQ143" t="s">
        <v>131</v>
      </c>
      <c r="AR143">
        <v>-17</v>
      </c>
      <c r="AS143">
        <v>78</v>
      </c>
      <c r="AT143">
        <v>0</v>
      </c>
      <c r="BB143" t="str">
        <f t="shared" si="13"/>
        <v>1200</v>
      </c>
      <c r="BC143">
        <v>1</v>
      </c>
      <c r="BD143" t="str">
        <f t="shared" si="14"/>
        <v xml:space="preserve">N445JS  </v>
      </c>
      <c r="BE143">
        <v>7</v>
      </c>
      <c r="BG143">
        <v>0</v>
      </c>
      <c r="BH143">
        <v>0</v>
      </c>
      <c r="BI143">
        <v>0</v>
      </c>
      <c r="BJ143">
        <v>3100</v>
      </c>
      <c r="BK143">
        <v>-200</v>
      </c>
      <c r="BL143" t="s">
        <v>132</v>
      </c>
      <c r="BM143">
        <v>1</v>
      </c>
      <c r="BN143">
        <v>1</v>
      </c>
      <c r="BO143">
        <v>1</v>
      </c>
      <c r="BP143">
        <v>0</v>
      </c>
      <c r="BT143">
        <v>0</v>
      </c>
      <c r="BU143">
        <v>0</v>
      </c>
      <c r="CE143" t="str">
        <f>"15:38:05.635"</f>
        <v>15:38:05.635</v>
      </c>
      <c r="CF143">
        <v>634806742</v>
      </c>
      <c r="CS143">
        <v>0</v>
      </c>
      <c r="CT143">
        <v>2</v>
      </c>
      <c r="CU143">
        <v>0</v>
      </c>
      <c r="CV143">
        <v>2</v>
      </c>
      <c r="CW143">
        <v>0</v>
      </c>
      <c r="CX143">
        <v>7</v>
      </c>
      <c r="CY143">
        <v>7</v>
      </c>
      <c r="CZ143" t="s">
        <v>133</v>
      </c>
      <c r="DA143">
        <v>125</v>
      </c>
      <c r="DB143">
        <v>1</v>
      </c>
      <c r="DC143" t="s">
        <v>134</v>
      </c>
      <c r="DD143" t="s">
        <v>135</v>
      </c>
      <c r="DG143">
        <v>2476183</v>
      </c>
      <c r="DI143">
        <v>0</v>
      </c>
      <c r="DJ143">
        <v>0</v>
      </c>
      <c r="DK143">
        <v>1</v>
      </c>
      <c r="DL143">
        <v>0</v>
      </c>
      <c r="DM143">
        <v>0</v>
      </c>
      <c r="DN143">
        <v>0</v>
      </c>
      <c r="DO143">
        <v>0</v>
      </c>
      <c r="DP143">
        <v>0</v>
      </c>
      <c r="DQ143">
        <v>0</v>
      </c>
      <c r="DR143">
        <v>0</v>
      </c>
      <c r="DS143">
        <v>0</v>
      </c>
    </row>
    <row r="144" spans="1:123" x14ac:dyDescent="0.25">
      <c r="A144" t="str">
        <f>"04/17/2026 15:38:05.906"</f>
        <v>04/17/2026 15:38:05.906</v>
      </c>
      <c r="C144" t="str">
        <f t="shared" si="11"/>
        <v>FFDFD3C0</v>
      </c>
      <c r="D144" t="s">
        <v>136</v>
      </c>
      <c r="E144" t="str">
        <f>"0E"</f>
        <v>0E</v>
      </c>
      <c r="F144">
        <v>1014</v>
      </c>
      <c r="G144" t="s">
        <v>125</v>
      </c>
      <c r="J144" t="s">
        <v>137</v>
      </c>
      <c r="K144">
        <v>0</v>
      </c>
      <c r="L144">
        <v>3</v>
      </c>
      <c r="M144">
        <v>0</v>
      </c>
      <c r="N144">
        <v>2</v>
      </c>
      <c r="O144">
        <v>1</v>
      </c>
      <c r="P144">
        <v>0</v>
      </c>
      <c r="Q144">
        <v>0</v>
      </c>
      <c r="R144" t="s">
        <v>127</v>
      </c>
      <c r="S144" t="str">
        <f t="shared" si="15"/>
        <v>15:38:05.633</v>
      </c>
      <c r="T144" t="str">
        <f t="shared" si="15"/>
        <v>15:38:05.633</v>
      </c>
      <c r="U144" t="str">
        <f t="shared" si="12"/>
        <v>A55E09</v>
      </c>
      <c r="V144">
        <v>0</v>
      </c>
      <c r="W144">
        <v>0</v>
      </c>
      <c r="X144">
        <v>2</v>
      </c>
      <c r="Y144">
        <v>0</v>
      </c>
      <c r="AA144">
        <v>0</v>
      </c>
      <c r="AB144">
        <v>9</v>
      </c>
      <c r="AC144">
        <v>3</v>
      </c>
      <c r="AD144">
        <v>0</v>
      </c>
      <c r="AE144">
        <v>9</v>
      </c>
      <c r="AF144" t="s">
        <v>128</v>
      </c>
      <c r="AG144">
        <v>0</v>
      </c>
      <c r="AH144">
        <v>0</v>
      </c>
      <c r="AI144">
        <v>1</v>
      </c>
      <c r="AJ144">
        <v>0</v>
      </c>
      <c r="AK144" t="s">
        <v>204</v>
      </c>
      <c r="AL144">
        <v>33.668311000000003</v>
      </c>
      <c r="AM144" t="s">
        <v>205</v>
      </c>
      <c r="AN144">
        <v>-101.20227800000001</v>
      </c>
      <c r="AO144">
        <v>100</v>
      </c>
      <c r="AP144">
        <v>3300</v>
      </c>
      <c r="AQ144" t="s">
        <v>131</v>
      </c>
      <c r="AR144">
        <v>-17</v>
      </c>
      <c r="AS144">
        <v>78</v>
      </c>
      <c r="AT144">
        <v>0</v>
      </c>
      <c r="BB144" t="str">
        <f t="shared" si="13"/>
        <v>1200</v>
      </c>
      <c r="BC144">
        <v>1</v>
      </c>
      <c r="BD144" t="str">
        <f t="shared" si="14"/>
        <v xml:space="preserve">N445JS  </v>
      </c>
      <c r="BE144">
        <v>7</v>
      </c>
      <c r="BG144">
        <v>0</v>
      </c>
      <c r="BH144">
        <v>0</v>
      </c>
      <c r="BI144">
        <v>0</v>
      </c>
      <c r="BJ144">
        <v>3100</v>
      </c>
      <c r="BK144">
        <v>-200</v>
      </c>
      <c r="BL144" t="s">
        <v>132</v>
      </c>
      <c r="BM144">
        <v>1</v>
      </c>
      <c r="BN144">
        <v>1</v>
      </c>
      <c r="BO144">
        <v>1</v>
      </c>
      <c r="BP144">
        <v>0</v>
      </c>
      <c r="BT144">
        <v>0</v>
      </c>
      <c r="BU144">
        <v>0</v>
      </c>
      <c r="CE144" t="str">
        <f>"15:38:05.635"</f>
        <v>15:38:05.635</v>
      </c>
      <c r="CF144">
        <v>634806742</v>
      </c>
      <c r="CS144">
        <v>0</v>
      </c>
      <c r="CT144">
        <v>2</v>
      </c>
      <c r="CU144">
        <v>0</v>
      </c>
      <c r="CV144">
        <v>2</v>
      </c>
      <c r="CW144">
        <v>0</v>
      </c>
      <c r="CX144">
        <v>7</v>
      </c>
      <c r="CY144">
        <v>7</v>
      </c>
      <c r="CZ144" t="s">
        <v>133</v>
      </c>
      <c r="DA144">
        <v>125</v>
      </c>
      <c r="DB144">
        <v>1</v>
      </c>
      <c r="DC144" t="s">
        <v>134</v>
      </c>
      <c r="DD144" t="s">
        <v>135</v>
      </c>
      <c r="DG144">
        <v>2476183</v>
      </c>
      <c r="DI144">
        <v>0</v>
      </c>
      <c r="DJ144">
        <v>0</v>
      </c>
      <c r="DK144">
        <v>1</v>
      </c>
      <c r="DL144">
        <v>0</v>
      </c>
      <c r="DM144">
        <v>0</v>
      </c>
      <c r="DN144">
        <v>0</v>
      </c>
      <c r="DO144">
        <v>0</v>
      </c>
      <c r="DP144">
        <v>0</v>
      </c>
      <c r="DQ144">
        <v>0</v>
      </c>
      <c r="DR144">
        <v>0</v>
      </c>
      <c r="DS144">
        <v>0</v>
      </c>
    </row>
    <row r="145" spans="1:123" x14ac:dyDescent="0.25">
      <c r="A145" t="str">
        <f>"04/17/2026 15:38:05.906"</f>
        <v>04/17/2026 15:38:05.906</v>
      </c>
      <c r="C145" t="str">
        <f t="shared" si="11"/>
        <v>FFDFD3C0</v>
      </c>
      <c r="D145" t="s">
        <v>136</v>
      </c>
      <c r="E145" t="str">
        <f>"0F"</f>
        <v>0F</v>
      </c>
      <c r="F145">
        <v>1015</v>
      </c>
      <c r="G145" t="s">
        <v>138</v>
      </c>
      <c r="J145" t="s">
        <v>137</v>
      </c>
      <c r="K145">
        <v>0</v>
      </c>
      <c r="L145">
        <v>3</v>
      </c>
      <c r="M145">
        <v>0</v>
      </c>
      <c r="N145">
        <v>2</v>
      </c>
      <c r="O145">
        <v>1</v>
      </c>
      <c r="P145">
        <v>0</v>
      </c>
      <c r="Q145">
        <v>0</v>
      </c>
      <c r="R145" t="s">
        <v>127</v>
      </c>
      <c r="S145" t="str">
        <f t="shared" si="15"/>
        <v>15:38:05.633</v>
      </c>
      <c r="T145" t="str">
        <f t="shared" si="15"/>
        <v>15:38:05.633</v>
      </c>
      <c r="U145" t="str">
        <f t="shared" si="12"/>
        <v>A55E09</v>
      </c>
      <c r="V145">
        <v>0</v>
      </c>
      <c r="W145">
        <v>0</v>
      </c>
      <c r="X145">
        <v>2</v>
      </c>
      <c r="Y145">
        <v>0</v>
      </c>
      <c r="AA145">
        <v>0</v>
      </c>
      <c r="AB145">
        <v>9</v>
      </c>
      <c r="AC145">
        <v>3</v>
      </c>
      <c r="AD145">
        <v>0</v>
      </c>
      <c r="AE145">
        <v>9</v>
      </c>
      <c r="AF145" t="s">
        <v>128</v>
      </c>
      <c r="AG145">
        <v>0</v>
      </c>
      <c r="AH145">
        <v>0</v>
      </c>
      <c r="AI145">
        <v>1</v>
      </c>
      <c r="AJ145">
        <v>0</v>
      </c>
      <c r="AK145" t="s">
        <v>204</v>
      </c>
      <c r="AL145">
        <v>33.668311000000003</v>
      </c>
      <c r="AM145" t="s">
        <v>205</v>
      </c>
      <c r="AN145">
        <v>-101.20227800000001</v>
      </c>
      <c r="AO145">
        <v>100</v>
      </c>
      <c r="AP145">
        <v>3300</v>
      </c>
      <c r="AQ145" t="s">
        <v>131</v>
      </c>
      <c r="AR145">
        <v>-17</v>
      </c>
      <c r="AS145">
        <v>78</v>
      </c>
      <c r="AT145">
        <v>0</v>
      </c>
      <c r="BB145" t="str">
        <f t="shared" si="13"/>
        <v>1200</v>
      </c>
      <c r="BC145">
        <v>1</v>
      </c>
      <c r="BD145" t="str">
        <f t="shared" si="14"/>
        <v xml:space="preserve">N445JS  </v>
      </c>
      <c r="BE145">
        <v>7</v>
      </c>
      <c r="BG145">
        <v>0</v>
      </c>
      <c r="BH145">
        <v>0</v>
      </c>
      <c r="BI145">
        <v>0</v>
      </c>
      <c r="BJ145">
        <v>3100</v>
      </c>
      <c r="BK145">
        <v>-200</v>
      </c>
      <c r="BL145" t="s">
        <v>132</v>
      </c>
      <c r="BM145">
        <v>1</v>
      </c>
      <c r="BN145">
        <v>1</v>
      </c>
      <c r="BO145">
        <v>1</v>
      </c>
      <c r="BP145">
        <v>0</v>
      </c>
      <c r="BT145">
        <v>0</v>
      </c>
      <c r="BU145">
        <v>0</v>
      </c>
      <c r="CE145" t="str">
        <f>"15:38:05.635"</f>
        <v>15:38:05.635</v>
      </c>
      <c r="CF145">
        <v>634806742</v>
      </c>
      <c r="CS145">
        <v>0</v>
      </c>
      <c r="CT145">
        <v>2</v>
      </c>
      <c r="CU145">
        <v>0</v>
      </c>
      <c r="CV145">
        <v>2</v>
      </c>
      <c r="CW145">
        <v>0</v>
      </c>
      <c r="CX145">
        <v>7</v>
      </c>
      <c r="CY145">
        <v>7</v>
      </c>
      <c r="CZ145" t="s">
        <v>133</v>
      </c>
      <c r="DA145">
        <v>125</v>
      </c>
      <c r="DB145">
        <v>1</v>
      </c>
      <c r="DC145" t="s">
        <v>134</v>
      </c>
      <c r="DD145" t="s">
        <v>135</v>
      </c>
      <c r="DG145">
        <v>2476183</v>
      </c>
      <c r="DI145">
        <v>0</v>
      </c>
      <c r="DJ145">
        <v>0</v>
      </c>
      <c r="DK145">
        <v>1</v>
      </c>
      <c r="DL145">
        <v>0</v>
      </c>
      <c r="DM145">
        <v>0</v>
      </c>
      <c r="DN145">
        <v>0</v>
      </c>
      <c r="DO145">
        <v>0</v>
      </c>
      <c r="DP145">
        <v>0</v>
      </c>
      <c r="DQ145">
        <v>0</v>
      </c>
      <c r="DR145">
        <v>0</v>
      </c>
      <c r="DS145">
        <v>0</v>
      </c>
    </row>
    <row r="146" spans="1:123" x14ac:dyDescent="0.25">
      <c r="A146" t="str">
        <f>"04/17/2026 15:38:06.932"</f>
        <v>04/17/2026 15:38:06.932</v>
      </c>
      <c r="C146" t="str">
        <f t="shared" si="11"/>
        <v>FFDFD3C0</v>
      </c>
      <c r="D146" t="s">
        <v>139</v>
      </c>
      <c r="E146" t="str">
        <f>"28"</f>
        <v>28</v>
      </c>
      <c r="H146">
        <v>140</v>
      </c>
      <c r="I146" t="s">
        <v>140</v>
      </c>
      <c r="J146" t="s">
        <v>141</v>
      </c>
      <c r="K146">
        <v>0</v>
      </c>
      <c r="L146">
        <v>3</v>
      </c>
      <c r="M146">
        <v>0</v>
      </c>
      <c r="N146">
        <v>2</v>
      </c>
      <c r="O146">
        <v>1</v>
      </c>
      <c r="P146">
        <v>0</v>
      </c>
      <c r="Q146">
        <v>0</v>
      </c>
      <c r="R146" t="s">
        <v>127</v>
      </c>
      <c r="S146" t="str">
        <f>"15:38:06.664"</f>
        <v>15:38:06.664</v>
      </c>
      <c r="T146" t="str">
        <f>"15:38:05.664"</f>
        <v>15:38:05.664</v>
      </c>
      <c r="U146" t="str">
        <f t="shared" si="12"/>
        <v>A55E09</v>
      </c>
      <c r="V146">
        <v>0</v>
      </c>
      <c r="W146">
        <v>0</v>
      </c>
      <c r="X146">
        <v>2</v>
      </c>
      <c r="Y146">
        <v>0</v>
      </c>
      <c r="AA146">
        <v>0</v>
      </c>
      <c r="AB146">
        <v>9</v>
      </c>
      <c r="AC146">
        <v>3</v>
      </c>
      <c r="AD146">
        <v>0</v>
      </c>
      <c r="AE146">
        <v>9</v>
      </c>
      <c r="AF146" t="s">
        <v>128</v>
      </c>
      <c r="AG146">
        <v>0</v>
      </c>
      <c r="AH146">
        <v>0</v>
      </c>
      <c r="AI146">
        <v>1</v>
      </c>
      <c r="AJ146">
        <v>0</v>
      </c>
      <c r="AK146" t="s">
        <v>206</v>
      </c>
      <c r="AL146">
        <v>33.668697000000002</v>
      </c>
      <c r="AM146" t="s">
        <v>207</v>
      </c>
      <c r="AN146">
        <v>-101.202364</v>
      </c>
      <c r="AO146">
        <v>100</v>
      </c>
      <c r="AP146">
        <v>3300</v>
      </c>
      <c r="AQ146" t="s">
        <v>131</v>
      </c>
      <c r="AR146">
        <v>-17</v>
      </c>
      <c r="AS146">
        <v>78</v>
      </c>
      <c r="AT146">
        <v>0</v>
      </c>
      <c r="BB146" t="str">
        <f t="shared" si="13"/>
        <v>1200</v>
      </c>
      <c r="BC146">
        <v>1</v>
      </c>
      <c r="BD146" t="str">
        <f t="shared" si="14"/>
        <v xml:space="preserve">N445JS  </v>
      </c>
      <c r="BE146">
        <v>7</v>
      </c>
      <c r="BG146">
        <v>0</v>
      </c>
      <c r="BH146">
        <v>0</v>
      </c>
      <c r="BI146">
        <v>0</v>
      </c>
      <c r="BJ146">
        <v>3100</v>
      </c>
      <c r="BK146">
        <v>-200</v>
      </c>
      <c r="BL146" t="s">
        <v>132</v>
      </c>
      <c r="BM146">
        <v>1</v>
      </c>
      <c r="BN146">
        <v>1</v>
      </c>
      <c r="BO146">
        <v>1</v>
      </c>
      <c r="BP146">
        <v>0</v>
      </c>
      <c r="BT146">
        <v>0</v>
      </c>
      <c r="BU146">
        <v>0</v>
      </c>
      <c r="CE146" t="str">
        <f>"15:38:06.670"</f>
        <v>15:38:06.670</v>
      </c>
      <c r="CF146">
        <v>669705282</v>
      </c>
      <c r="CS146">
        <v>0</v>
      </c>
      <c r="CT146">
        <v>2</v>
      </c>
      <c r="CU146">
        <v>0</v>
      </c>
      <c r="CV146">
        <v>2</v>
      </c>
      <c r="CW146">
        <v>0</v>
      </c>
      <c r="CX146">
        <v>7</v>
      </c>
      <c r="CY146">
        <v>7</v>
      </c>
      <c r="CZ146" t="s">
        <v>133</v>
      </c>
      <c r="DA146">
        <v>125</v>
      </c>
      <c r="DB146">
        <v>1</v>
      </c>
      <c r="DC146" t="s">
        <v>134</v>
      </c>
      <c r="DD146" t="s">
        <v>135</v>
      </c>
      <c r="DG146">
        <v>2477187</v>
      </c>
      <c r="DI146">
        <v>0</v>
      </c>
      <c r="DJ146">
        <v>0</v>
      </c>
      <c r="DK146">
        <v>0</v>
      </c>
      <c r="DL146">
        <v>0</v>
      </c>
      <c r="DM146">
        <v>0</v>
      </c>
      <c r="DN146">
        <v>0</v>
      </c>
      <c r="DO146">
        <v>0</v>
      </c>
      <c r="DP146">
        <v>0</v>
      </c>
      <c r="DQ146">
        <v>0</v>
      </c>
      <c r="DR146">
        <v>0</v>
      </c>
      <c r="DS146">
        <v>0</v>
      </c>
    </row>
    <row r="147" spans="1:123" x14ac:dyDescent="0.25">
      <c r="A147" t="str">
        <f>"04/17/2026 15:38:06.958"</f>
        <v>04/17/2026 15:38:06.958</v>
      </c>
      <c r="C147" t="str">
        <f t="shared" si="11"/>
        <v>FFDFD3C0</v>
      </c>
      <c r="D147" t="s">
        <v>136</v>
      </c>
      <c r="E147" t="str">
        <f>"0F"</f>
        <v>0F</v>
      </c>
      <c r="F147">
        <v>1015</v>
      </c>
      <c r="G147" t="s">
        <v>138</v>
      </c>
      <c r="J147" t="s">
        <v>137</v>
      </c>
      <c r="K147">
        <v>0</v>
      </c>
      <c r="L147">
        <v>3</v>
      </c>
      <c r="M147">
        <v>0</v>
      </c>
      <c r="N147">
        <v>2</v>
      </c>
      <c r="O147">
        <v>1</v>
      </c>
      <c r="P147">
        <v>0</v>
      </c>
      <c r="Q147">
        <v>0</v>
      </c>
      <c r="R147" t="s">
        <v>127</v>
      </c>
      <c r="S147" t="str">
        <f>"15:38:06.664"</f>
        <v>15:38:06.664</v>
      </c>
      <c r="T147" t="str">
        <f>"15:38:05.664"</f>
        <v>15:38:05.664</v>
      </c>
      <c r="U147" t="str">
        <f t="shared" si="12"/>
        <v>A55E09</v>
      </c>
      <c r="V147">
        <v>0</v>
      </c>
      <c r="W147">
        <v>0</v>
      </c>
      <c r="X147">
        <v>2</v>
      </c>
      <c r="Y147">
        <v>0</v>
      </c>
      <c r="AA147">
        <v>0</v>
      </c>
      <c r="AB147">
        <v>9</v>
      </c>
      <c r="AC147">
        <v>3</v>
      </c>
      <c r="AD147">
        <v>0</v>
      </c>
      <c r="AE147">
        <v>9</v>
      </c>
      <c r="AF147" t="s">
        <v>128</v>
      </c>
      <c r="AG147">
        <v>0</v>
      </c>
      <c r="AH147">
        <v>0</v>
      </c>
      <c r="AI147">
        <v>1</v>
      </c>
      <c r="AJ147">
        <v>0</v>
      </c>
      <c r="AK147" t="s">
        <v>206</v>
      </c>
      <c r="AL147">
        <v>33.668697000000002</v>
      </c>
      <c r="AM147" t="s">
        <v>207</v>
      </c>
      <c r="AN147">
        <v>-101.202364</v>
      </c>
      <c r="AO147">
        <v>100</v>
      </c>
      <c r="AP147">
        <v>3300</v>
      </c>
      <c r="AQ147" t="s">
        <v>131</v>
      </c>
      <c r="AR147">
        <v>-17</v>
      </c>
      <c r="AS147">
        <v>78</v>
      </c>
      <c r="AT147">
        <v>0</v>
      </c>
      <c r="BB147" t="str">
        <f t="shared" si="13"/>
        <v>1200</v>
      </c>
      <c r="BC147">
        <v>1</v>
      </c>
      <c r="BD147" t="str">
        <f t="shared" si="14"/>
        <v xml:space="preserve">N445JS  </v>
      </c>
      <c r="BE147">
        <v>7</v>
      </c>
      <c r="BG147">
        <v>0</v>
      </c>
      <c r="BH147">
        <v>0</v>
      </c>
      <c r="BI147">
        <v>0</v>
      </c>
      <c r="BJ147">
        <v>3100</v>
      </c>
      <c r="BK147">
        <v>-200</v>
      </c>
      <c r="BL147" t="s">
        <v>132</v>
      </c>
      <c r="BM147">
        <v>1</v>
      </c>
      <c r="BN147">
        <v>1</v>
      </c>
      <c r="BO147">
        <v>1</v>
      </c>
      <c r="BP147">
        <v>0</v>
      </c>
      <c r="BT147">
        <v>0</v>
      </c>
      <c r="BU147">
        <v>0</v>
      </c>
      <c r="CE147" t="str">
        <f>"15:38:06.670"</f>
        <v>15:38:06.670</v>
      </c>
      <c r="CF147">
        <v>669705282</v>
      </c>
      <c r="CS147">
        <v>0</v>
      </c>
      <c r="CT147">
        <v>2</v>
      </c>
      <c r="CU147">
        <v>0</v>
      </c>
      <c r="CV147">
        <v>2</v>
      </c>
      <c r="CW147">
        <v>0</v>
      </c>
      <c r="CX147">
        <v>7</v>
      </c>
      <c r="CY147">
        <v>7</v>
      </c>
      <c r="CZ147" t="s">
        <v>133</v>
      </c>
      <c r="DA147">
        <v>125</v>
      </c>
      <c r="DB147">
        <v>1</v>
      </c>
      <c r="DC147" t="s">
        <v>134</v>
      </c>
      <c r="DD147" t="s">
        <v>135</v>
      </c>
      <c r="DG147">
        <v>2477187</v>
      </c>
      <c r="DI147">
        <v>0</v>
      </c>
      <c r="DJ147">
        <v>0</v>
      </c>
      <c r="DK147">
        <v>1</v>
      </c>
      <c r="DL147">
        <v>0</v>
      </c>
      <c r="DM147">
        <v>0</v>
      </c>
      <c r="DN147">
        <v>0</v>
      </c>
      <c r="DO147">
        <v>0</v>
      </c>
      <c r="DP147">
        <v>0</v>
      </c>
      <c r="DQ147">
        <v>0</v>
      </c>
      <c r="DR147">
        <v>0</v>
      </c>
      <c r="DS147">
        <v>0</v>
      </c>
    </row>
    <row r="148" spans="1:123" x14ac:dyDescent="0.25">
      <c r="A148" t="str">
        <f>"04/17/2026 15:38:06.957"</f>
        <v>04/17/2026 15:38:06.957</v>
      </c>
      <c r="C148" t="str">
        <f t="shared" si="11"/>
        <v>FFDFD3C0</v>
      </c>
      <c r="D148" t="s">
        <v>124</v>
      </c>
      <c r="E148" t="str">
        <f>"03"</f>
        <v>03</v>
      </c>
      <c r="H148">
        <v>160</v>
      </c>
      <c r="I148" t="s">
        <v>125</v>
      </c>
      <c r="J148" t="s">
        <v>126</v>
      </c>
      <c r="K148">
        <v>0</v>
      </c>
      <c r="L148">
        <v>3</v>
      </c>
      <c r="M148">
        <v>0</v>
      </c>
      <c r="N148">
        <v>2</v>
      </c>
      <c r="O148">
        <v>1</v>
      </c>
      <c r="P148">
        <v>0</v>
      </c>
      <c r="Q148">
        <v>0</v>
      </c>
      <c r="R148" t="s">
        <v>127</v>
      </c>
      <c r="S148" t="str">
        <f>"15:38:06.664"</f>
        <v>15:38:06.664</v>
      </c>
      <c r="T148" t="str">
        <f>"15:38:05.664"</f>
        <v>15:38:05.664</v>
      </c>
      <c r="U148" t="str">
        <f t="shared" si="12"/>
        <v>A55E09</v>
      </c>
      <c r="V148">
        <v>0</v>
      </c>
      <c r="W148">
        <v>0</v>
      </c>
      <c r="X148">
        <v>2</v>
      </c>
      <c r="Y148">
        <v>0</v>
      </c>
      <c r="AA148">
        <v>0</v>
      </c>
      <c r="AB148">
        <v>9</v>
      </c>
      <c r="AC148">
        <v>3</v>
      </c>
      <c r="AD148">
        <v>0</v>
      </c>
      <c r="AE148">
        <v>9</v>
      </c>
      <c r="AF148" t="s">
        <v>128</v>
      </c>
      <c r="AG148">
        <v>0</v>
      </c>
      <c r="AH148">
        <v>0</v>
      </c>
      <c r="AI148">
        <v>1</v>
      </c>
      <c r="AJ148">
        <v>0</v>
      </c>
      <c r="AK148" t="s">
        <v>206</v>
      </c>
      <c r="AL148">
        <v>33.668697000000002</v>
      </c>
      <c r="AM148" t="s">
        <v>207</v>
      </c>
      <c r="AN148">
        <v>-101.202364</v>
      </c>
      <c r="AO148">
        <v>100</v>
      </c>
      <c r="AP148">
        <v>3300</v>
      </c>
      <c r="AQ148" t="s">
        <v>131</v>
      </c>
      <c r="AR148">
        <v>-17</v>
      </c>
      <c r="AS148">
        <v>78</v>
      </c>
      <c r="AT148">
        <v>0</v>
      </c>
      <c r="BB148" t="str">
        <f t="shared" si="13"/>
        <v>1200</v>
      </c>
      <c r="BC148">
        <v>1</v>
      </c>
      <c r="BD148" t="str">
        <f t="shared" si="14"/>
        <v xml:space="preserve">N445JS  </v>
      </c>
      <c r="BE148">
        <v>7</v>
      </c>
      <c r="BG148">
        <v>0</v>
      </c>
      <c r="BH148">
        <v>0</v>
      </c>
      <c r="BI148">
        <v>0</v>
      </c>
      <c r="BJ148">
        <v>3100</v>
      </c>
      <c r="BK148">
        <v>-200</v>
      </c>
      <c r="BL148" t="s">
        <v>132</v>
      </c>
      <c r="BM148">
        <v>1</v>
      </c>
      <c r="BN148">
        <v>1</v>
      </c>
      <c r="BO148">
        <v>1</v>
      </c>
      <c r="BP148">
        <v>0</v>
      </c>
      <c r="BT148">
        <v>0</v>
      </c>
      <c r="BU148">
        <v>0</v>
      </c>
      <c r="CE148" t="str">
        <f>"15:38:06.670"</f>
        <v>15:38:06.670</v>
      </c>
      <c r="CF148">
        <v>669705282</v>
      </c>
      <c r="CS148">
        <v>0</v>
      </c>
      <c r="CT148">
        <v>2</v>
      </c>
      <c r="CU148">
        <v>0</v>
      </c>
      <c r="CV148">
        <v>2</v>
      </c>
      <c r="CW148">
        <v>0</v>
      </c>
      <c r="CX148">
        <v>7</v>
      </c>
      <c r="CY148">
        <v>7</v>
      </c>
      <c r="CZ148" t="s">
        <v>133</v>
      </c>
      <c r="DA148">
        <v>125</v>
      </c>
      <c r="DB148">
        <v>1</v>
      </c>
      <c r="DC148" t="s">
        <v>134</v>
      </c>
      <c r="DD148" t="s">
        <v>135</v>
      </c>
      <c r="DG148">
        <v>2477187</v>
      </c>
      <c r="DI148">
        <v>0</v>
      </c>
      <c r="DJ148">
        <v>0</v>
      </c>
      <c r="DK148">
        <v>1</v>
      </c>
      <c r="DL148">
        <v>0</v>
      </c>
      <c r="DM148">
        <v>0</v>
      </c>
      <c r="DN148">
        <v>0</v>
      </c>
      <c r="DO148">
        <v>0</v>
      </c>
      <c r="DP148">
        <v>0</v>
      </c>
      <c r="DQ148">
        <v>0</v>
      </c>
      <c r="DR148">
        <v>0</v>
      </c>
      <c r="DS148">
        <v>0</v>
      </c>
    </row>
    <row r="149" spans="1:123" x14ac:dyDescent="0.25">
      <c r="A149" t="str">
        <f>"04/17/2026 15:38:06.957"</f>
        <v>04/17/2026 15:38:06.957</v>
      </c>
      <c r="C149" t="str">
        <f t="shared" si="11"/>
        <v>FFDFD3C0</v>
      </c>
      <c r="D149" t="s">
        <v>136</v>
      </c>
      <c r="E149" t="str">
        <f>"0E"</f>
        <v>0E</v>
      </c>
      <c r="F149">
        <v>1014</v>
      </c>
      <c r="G149" t="s">
        <v>125</v>
      </c>
      <c r="J149" t="s">
        <v>137</v>
      </c>
      <c r="K149">
        <v>0</v>
      </c>
      <c r="L149">
        <v>3</v>
      </c>
      <c r="M149">
        <v>0</v>
      </c>
      <c r="N149">
        <v>2</v>
      </c>
      <c r="O149">
        <v>1</v>
      </c>
      <c r="P149">
        <v>0</v>
      </c>
      <c r="Q149">
        <v>0</v>
      </c>
      <c r="R149" t="s">
        <v>127</v>
      </c>
      <c r="S149" t="str">
        <f>"15:38:06.664"</f>
        <v>15:38:06.664</v>
      </c>
      <c r="T149" t="str">
        <f>"15:38:05.664"</f>
        <v>15:38:05.664</v>
      </c>
      <c r="U149" t="str">
        <f t="shared" si="12"/>
        <v>A55E09</v>
      </c>
      <c r="V149">
        <v>0</v>
      </c>
      <c r="W149">
        <v>0</v>
      </c>
      <c r="X149">
        <v>2</v>
      </c>
      <c r="Y149">
        <v>0</v>
      </c>
      <c r="AA149">
        <v>0</v>
      </c>
      <c r="AB149">
        <v>9</v>
      </c>
      <c r="AC149">
        <v>3</v>
      </c>
      <c r="AD149">
        <v>0</v>
      </c>
      <c r="AE149">
        <v>9</v>
      </c>
      <c r="AF149" t="s">
        <v>128</v>
      </c>
      <c r="AG149">
        <v>0</v>
      </c>
      <c r="AH149">
        <v>0</v>
      </c>
      <c r="AI149">
        <v>1</v>
      </c>
      <c r="AJ149">
        <v>0</v>
      </c>
      <c r="AK149" t="s">
        <v>206</v>
      </c>
      <c r="AL149">
        <v>33.668697000000002</v>
      </c>
      <c r="AM149" t="s">
        <v>207</v>
      </c>
      <c r="AN149">
        <v>-101.202364</v>
      </c>
      <c r="AO149">
        <v>100</v>
      </c>
      <c r="AP149">
        <v>3300</v>
      </c>
      <c r="AQ149" t="s">
        <v>131</v>
      </c>
      <c r="AR149">
        <v>-17</v>
      </c>
      <c r="AS149">
        <v>78</v>
      </c>
      <c r="AT149">
        <v>0</v>
      </c>
      <c r="BB149" t="str">
        <f t="shared" si="13"/>
        <v>1200</v>
      </c>
      <c r="BC149">
        <v>1</v>
      </c>
      <c r="BD149" t="str">
        <f t="shared" si="14"/>
        <v xml:space="preserve">N445JS  </v>
      </c>
      <c r="BE149">
        <v>7</v>
      </c>
      <c r="BG149">
        <v>0</v>
      </c>
      <c r="BH149">
        <v>0</v>
      </c>
      <c r="BI149">
        <v>0</v>
      </c>
      <c r="BJ149">
        <v>3100</v>
      </c>
      <c r="BK149">
        <v>-200</v>
      </c>
      <c r="BL149" t="s">
        <v>132</v>
      </c>
      <c r="BM149">
        <v>1</v>
      </c>
      <c r="BN149">
        <v>1</v>
      </c>
      <c r="BO149">
        <v>1</v>
      </c>
      <c r="BP149">
        <v>0</v>
      </c>
      <c r="BT149">
        <v>0</v>
      </c>
      <c r="BU149">
        <v>0</v>
      </c>
      <c r="CE149" t="str">
        <f>"15:38:06.670"</f>
        <v>15:38:06.670</v>
      </c>
      <c r="CF149">
        <v>669705282</v>
      </c>
      <c r="CS149">
        <v>0</v>
      </c>
      <c r="CT149">
        <v>2</v>
      </c>
      <c r="CU149">
        <v>0</v>
      </c>
      <c r="CV149">
        <v>2</v>
      </c>
      <c r="CW149">
        <v>0</v>
      </c>
      <c r="CX149">
        <v>7</v>
      </c>
      <c r="CY149">
        <v>7</v>
      </c>
      <c r="CZ149" t="s">
        <v>133</v>
      </c>
      <c r="DA149">
        <v>125</v>
      </c>
      <c r="DB149">
        <v>1</v>
      </c>
      <c r="DC149" t="s">
        <v>134</v>
      </c>
      <c r="DD149" t="s">
        <v>135</v>
      </c>
      <c r="DG149">
        <v>2477187</v>
      </c>
      <c r="DI149">
        <v>0</v>
      </c>
      <c r="DJ149">
        <v>0</v>
      </c>
      <c r="DK149">
        <v>1</v>
      </c>
      <c r="DL149">
        <v>0</v>
      </c>
      <c r="DM149">
        <v>0</v>
      </c>
      <c r="DN149">
        <v>0</v>
      </c>
      <c r="DO149">
        <v>0</v>
      </c>
      <c r="DP149">
        <v>0</v>
      </c>
      <c r="DQ149">
        <v>0</v>
      </c>
      <c r="DR149">
        <v>0</v>
      </c>
      <c r="DS149">
        <v>0</v>
      </c>
    </row>
    <row r="150" spans="1:123" x14ac:dyDescent="0.25">
      <c r="A150" t="str">
        <f>"04/17/2026 15:38:07.884"</f>
        <v>04/17/2026 15:38:07.884</v>
      </c>
      <c r="C150" t="str">
        <f t="shared" si="11"/>
        <v>FFDFD3C0</v>
      </c>
      <c r="D150" t="s">
        <v>139</v>
      </c>
      <c r="E150" t="str">
        <f>"28"</f>
        <v>28</v>
      </c>
      <c r="H150">
        <v>140</v>
      </c>
      <c r="I150" t="s">
        <v>140</v>
      </c>
      <c r="J150" t="s">
        <v>141</v>
      </c>
      <c r="K150">
        <v>0</v>
      </c>
      <c r="L150">
        <v>3</v>
      </c>
      <c r="M150">
        <v>0</v>
      </c>
      <c r="N150">
        <v>2</v>
      </c>
      <c r="O150">
        <v>1</v>
      </c>
      <c r="P150">
        <v>0</v>
      </c>
      <c r="Q150">
        <v>0</v>
      </c>
      <c r="R150" t="s">
        <v>127</v>
      </c>
      <c r="S150" t="str">
        <f>"15:38:07.641"</f>
        <v>15:38:07.641</v>
      </c>
      <c r="T150" t="str">
        <f>"15:38:07.141"</f>
        <v>15:38:07.141</v>
      </c>
      <c r="U150" t="str">
        <f t="shared" si="12"/>
        <v>A55E09</v>
      </c>
      <c r="V150">
        <v>0</v>
      </c>
      <c r="W150">
        <v>0</v>
      </c>
      <c r="X150">
        <v>2</v>
      </c>
      <c r="Y150">
        <v>0</v>
      </c>
      <c r="AA150">
        <v>0</v>
      </c>
      <c r="AB150">
        <v>9</v>
      </c>
      <c r="AC150">
        <v>3</v>
      </c>
      <c r="AD150">
        <v>0</v>
      </c>
      <c r="AE150">
        <v>9</v>
      </c>
      <c r="AF150" t="s">
        <v>128</v>
      </c>
      <c r="AG150">
        <v>0</v>
      </c>
      <c r="AH150">
        <v>0</v>
      </c>
      <c r="AI150">
        <v>1</v>
      </c>
      <c r="AJ150">
        <v>0</v>
      </c>
      <c r="AK150" t="s">
        <v>208</v>
      </c>
      <c r="AL150">
        <v>33.669040000000003</v>
      </c>
      <c r="AM150" t="s">
        <v>209</v>
      </c>
      <c r="AN150">
        <v>-101.20245</v>
      </c>
      <c r="AO150">
        <v>100</v>
      </c>
      <c r="AP150">
        <v>3300</v>
      </c>
      <c r="AQ150" t="s">
        <v>131</v>
      </c>
      <c r="AR150">
        <v>-18</v>
      </c>
      <c r="AS150">
        <v>78</v>
      </c>
      <c r="AT150">
        <v>0</v>
      </c>
      <c r="BB150" t="str">
        <f t="shared" si="13"/>
        <v>1200</v>
      </c>
      <c r="BC150">
        <v>1</v>
      </c>
      <c r="BD150" t="str">
        <f t="shared" si="14"/>
        <v xml:space="preserve">N445JS  </v>
      </c>
      <c r="BE150">
        <v>7</v>
      </c>
      <c r="BG150">
        <v>0</v>
      </c>
      <c r="BH150">
        <v>0</v>
      </c>
      <c r="BI150">
        <v>0</v>
      </c>
      <c r="BJ150">
        <v>3075</v>
      </c>
      <c r="BK150">
        <v>-225</v>
      </c>
      <c r="BL150" t="s">
        <v>132</v>
      </c>
      <c r="BM150">
        <v>1</v>
      </c>
      <c r="BN150">
        <v>1</v>
      </c>
      <c r="BO150">
        <v>1</v>
      </c>
      <c r="BP150">
        <v>0</v>
      </c>
      <c r="BT150">
        <v>0</v>
      </c>
      <c r="BU150">
        <v>0</v>
      </c>
      <c r="CE150" t="str">
        <f>"15:38:07.645"</f>
        <v>15:38:07.645</v>
      </c>
      <c r="CF150">
        <v>644609694</v>
      </c>
      <c r="CS150">
        <v>0</v>
      </c>
      <c r="CT150">
        <v>2</v>
      </c>
      <c r="CU150">
        <v>0</v>
      </c>
      <c r="CV150">
        <v>2</v>
      </c>
      <c r="CW150">
        <v>0</v>
      </c>
      <c r="CX150">
        <v>7</v>
      </c>
      <c r="CY150">
        <v>7</v>
      </c>
      <c r="CZ150" t="s">
        <v>133</v>
      </c>
      <c r="DA150">
        <v>125</v>
      </c>
      <c r="DB150">
        <v>1</v>
      </c>
      <c r="DC150" t="s">
        <v>134</v>
      </c>
      <c r="DD150" t="s">
        <v>135</v>
      </c>
      <c r="DG150">
        <v>2478159</v>
      </c>
      <c r="DI150">
        <v>0</v>
      </c>
      <c r="DJ150">
        <v>0</v>
      </c>
      <c r="DK150">
        <v>0</v>
      </c>
      <c r="DL150">
        <v>0</v>
      </c>
      <c r="DM150">
        <v>0</v>
      </c>
      <c r="DN150">
        <v>0</v>
      </c>
      <c r="DO150">
        <v>0</v>
      </c>
      <c r="DP150">
        <v>0</v>
      </c>
      <c r="DQ150">
        <v>0</v>
      </c>
      <c r="DR150">
        <v>0</v>
      </c>
      <c r="DS150">
        <v>0</v>
      </c>
    </row>
    <row r="151" spans="1:123" x14ac:dyDescent="0.25">
      <c r="A151" t="str">
        <f>"04/17/2026 15:38:07.909"</f>
        <v>04/17/2026 15:38:07.909</v>
      </c>
      <c r="C151" t="str">
        <f t="shared" si="11"/>
        <v>FFDFD3C0</v>
      </c>
      <c r="D151" t="s">
        <v>136</v>
      </c>
      <c r="E151" t="str">
        <f>"0E"</f>
        <v>0E</v>
      </c>
      <c r="F151">
        <v>1014</v>
      </c>
      <c r="G151" t="s">
        <v>125</v>
      </c>
      <c r="J151" t="s">
        <v>137</v>
      </c>
      <c r="K151">
        <v>0</v>
      </c>
      <c r="L151">
        <v>3</v>
      </c>
      <c r="M151">
        <v>0</v>
      </c>
      <c r="N151">
        <v>2</v>
      </c>
      <c r="O151">
        <v>1</v>
      </c>
      <c r="P151">
        <v>0</v>
      </c>
      <c r="Q151">
        <v>0</v>
      </c>
      <c r="R151" t="s">
        <v>127</v>
      </c>
      <c r="S151" t="str">
        <f>"15:38:07.641"</f>
        <v>15:38:07.641</v>
      </c>
      <c r="T151" t="str">
        <f>"15:38:07.141"</f>
        <v>15:38:07.141</v>
      </c>
      <c r="U151" t="str">
        <f t="shared" si="12"/>
        <v>A55E09</v>
      </c>
      <c r="V151">
        <v>0</v>
      </c>
      <c r="W151">
        <v>0</v>
      </c>
      <c r="X151">
        <v>2</v>
      </c>
      <c r="Y151">
        <v>0</v>
      </c>
      <c r="AA151">
        <v>0</v>
      </c>
      <c r="AB151">
        <v>9</v>
      </c>
      <c r="AC151">
        <v>3</v>
      </c>
      <c r="AD151">
        <v>0</v>
      </c>
      <c r="AE151">
        <v>9</v>
      </c>
      <c r="AF151" t="s">
        <v>128</v>
      </c>
      <c r="AG151">
        <v>0</v>
      </c>
      <c r="AH151">
        <v>0</v>
      </c>
      <c r="AI151">
        <v>1</v>
      </c>
      <c r="AJ151">
        <v>0</v>
      </c>
      <c r="AK151" t="s">
        <v>208</v>
      </c>
      <c r="AL151">
        <v>33.669040000000003</v>
      </c>
      <c r="AM151" t="s">
        <v>209</v>
      </c>
      <c r="AN151">
        <v>-101.20245</v>
      </c>
      <c r="AO151">
        <v>100</v>
      </c>
      <c r="AP151">
        <v>3300</v>
      </c>
      <c r="AQ151" t="s">
        <v>131</v>
      </c>
      <c r="AR151">
        <v>-18</v>
      </c>
      <c r="AS151">
        <v>78</v>
      </c>
      <c r="AT151">
        <v>0</v>
      </c>
      <c r="BB151" t="str">
        <f t="shared" si="13"/>
        <v>1200</v>
      </c>
      <c r="BC151">
        <v>1</v>
      </c>
      <c r="BD151" t="str">
        <f t="shared" si="14"/>
        <v xml:space="preserve">N445JS  </v>
      </c>
      <c r="BE151">
        <v>7</v>
      </c>
      <c r="BG151">
        <v>0</v>
      </c>
      <c r="BH151">
        <v>0</v>
      </c>
      <c r="BI151">
        <v>0</v>
      </c>
      <c r="BJ151">
        <v>3075</v>
      </c>
      <c r="BK151">
        <v>-225</v>
      </c>
      <c r="BL151" t="s">
        <v>132</v>
      </c>
      <c r="BM151">
        <v>1</v>
      </c>
      <c r="BN151">
        <v>1</v>
      </c>
      <c r="BO151">
        <v>1</v>
      </c>
      <c r="BP151">
        <v>0</v>
      </c>
      <c r="BT151">
        <v>0</v>
      </c>
      <c r="BU151">
        <v>0</v>
      </c>
      <c r="CE151" t="str">
        <f>"15:38:07.645"</f>
        <v>15:38:07.645</v>
      </c>
      <c r="CF151">
        <v>644609694</v>
      </c>
      <c r="CS151">
        <v>0</v>
      </c>
      <c r="CT151">
        <v>2</v>
      </c>
      <c r="CU151">
        <v>0</v>
      </c>
      <c r="CV151">
        <v>2</v>
      </c>
      <c r="CW151">
        <v>0</v>
      </c>
      <c r="CX151">
        <v>7</v>
      </c>
      <c r="CY151">
        <v>7</v>
      </c>
      <c r="CZ151" t="s">
        <v>133</v>
      </c>
      <c r="DA151">
        <v>125</v>
      </c>
      <c r="DB151">
        <v>1</v>
      </c>
      <c r="DC151" t="s">
        <v>134</v>
      </c>
      <c r="DD151" t="s">
        <v>135</v>
      </c>
      <c r="DG151">
        <v>2478159</v>
      </c>
      <c r="DI151">
        <v>0</v>
      </c>
      <c r="DJ151">
        <v>0</v>
      </c>
      <c r="DK151">
        <v>1</v>
      </c>
      <c r="DL151">
        <v>0</v>
      </c>
      <c r="DM151">
        <v>0</v>
      </c>
      <c r="DN151">
        <v>0</v>
      </c>
      <c r="DO151">
        <v>0</v>
      </c>
      <c r="DP151">
        <v>0</v>
      </c>
      <c r="DQ151">
        <v>0</v>
      </c>
      <c r="DR151">
        <v>0</v>
      </c>
      <c r="DS151">
        <v>0</v>
      </c>
    </row>
    <row r="152" spans="1:123" x14ac:dyDescent="0.25">
      <c r="A152" t="str">
        <f>"04/17/2026 15:38:07.909"</f>
        <v>04/17/2026 15:38:07.909</v>
      </c>
      <c r="C152" t="str">
        <f t="shared" si="11"/>
        <v>FFDFD3C0</v>
      </c>
      <c r="D152" t="s">
        <v>124</v>
      </c>
      <c r="E152" t="str">
        <f>"03"</f>
        <v>03</v>
      </c>
      <c r="H152">
        <v>160</v>
      </c>
      <c r="I152" t="s">
        <v>125</v>
      </c>
      <c r="J152" t="s">
        <v>126</v>
      </c>
      <c r="K152">
        <v>0</v>
      </c>
      <c r="L152">
        <v>3</v>
      </c>
      <c r="M152">
        <v>0</v>
      </c>
      <c r="N152">
        <v>2</v>
      </c>
      <c r="O152">
        <v>1</v>
      </c>
      <c r="P152">
        <v>0</v>
      </c>
      <c r="Q152">
        <v>0</v>
      </c>
      <c r="R152" t="s">
        <v>127</v>
      </c>
      <c r="S152" t="str">
        <f>"15:38:07.641"</f>
        <v>15:38:07.641</v>
      </c>
      <c r="T152" t="str">
        <f>"15:38:07.141"</f>
        <v>15:38:07.141</v>
      </c>
      <c r="U152" t="str">
        <f t="shared" si="12"/>
        <v>A55E09</v>
      </c>
      <c r="V152">
        <v>0</v>
      </c>
      <c r="W152">
        <v>0</v>
      </c>
      <c r="X152">
        <v>2</v>
      </c>
      <c r="Y152">
        <v>0</v>
      </c>
      <c r="AA152">
        <v>0</v>
      </c>
      <c r="AB152">
        <v>9</v>
      </c>
      <c r="AC152">
        <v>3</v>
      </c>
      <c r="AD152">
        <v>0</v>
      </c>
      <c r="AE152">
        <v>9</v>
      </c>
      <c r="AF152" t="s">
        <v>128</v>
      </c>
      <c r="AG152">
        <v>0</v>
      </c>
      <c r="AH152">
        <v>0</v>
      </c>
      <c r="AI152">
        <v>1</v>
      </c>
      <c r="AJ152">
        <v>0</v>
      </c>
      <c r="AK152" t="s">
        <v>208</v>
      </c>
      <c r="AL152">
        <v>33.669040000000003</v>
      </c>
      <c r="AM152" t="s">
        <v>209</v>
      </c>
      <c r="AN152">
        <v>-101.20245</v>
      </c>
      <c r="AO152">
        <v>100</v>
      </c>
      <c r="AP152">
        <v>3300</v>
      </c>
      <c r="AQ152" t="s">
        <v>131</v>
      </c>
      <c r="AR152">
        <v>-18</v>
      </c>
      <c r="AS152">
        <v>78</v>
      </c>
      <c r="AT152">
        <v>0</v>
      </c>
      <c r="BB152" t="str">
        <f t="shared" si="13"/>
        <v>1200</v>
      </c>
      <c r="BC152">
        <v>1</v>
      </c>
      <c r="BD152" t="str">
        <f t="shared" si="14"/>
        <v xml:space="preserve">N445JS  </v>
      </c>
      <c r="BE152">
        <v>7</v>
      </c>
      <c r="BG152">
        <v>0</v>
      </c>
      <c r="BH152">
        <v>0</v>
      </c>
      <c r="BI152">
        <v>0</v>
      </c>
      <c r="BJ152">
        <v>3075</v>
      </c>
      <c r="BK152">
        <v>-225</v>
      </c>
      <c r="BL152" t="s">
        <v>132</v>
      </c>
      <c r="BM152">
        <v>1</v>
      </c>
      <c r="BN152">
        <v>1</v>
      </c>
      <c r="BO152">
        <v>1</v>
      </c>
      <c r="BP152">
        <v>0</v>
      </c>
      <c r="BT152">
        <v>0</v>
      </c>
      <c r="BU152">
        <v>0</v>
      </c>
      <c r="CE152" t="str">
        <f>"15:38:07.645"</f>
        <v>15:38:07.645</v>
      </c>
      <c r="CF152">
        <v>644609694</v>
      </c>
      <c r="CS152">
        <v>0</v>
      </c>
      <c r="CT152">
        <v>2</v>
      </c>
      <c r="CU152">
        <v>0</v>
      </c>
      <c r="CV152">
        <v>2</v>
      </c>
      <c r="CW152">
        <v>0</v>
      </c>
      <c r="CX152">
        <v>7</v>
      </c>
      <c r="CY152">
        <v>7</v>
      </c>
      <c r="CZ152" t="s">
        <v>133</v>
      </c>
      <c r="DA152">
        <v>125</v>
      </c>
      <c r="DB152">
        <v>1</v>
      </c>
      <c r="DC152" t="s">
        <v>134</v>
      </c>
      <c r="DD152" t="s">
        <v>135</v>
      </c>
      <c r="DG152">
        <v>2478159</v>
      </c>
      <c r="DI152">
        <v>0</v>
      </c>
      <c r="DJ152">
        <v>0</v>
      </c>
      <c r="DK152">
        <v>1</v>
      </c>
      <c r="DL152">
        <v>0</v>
      </c>
      <c r="DM152">
        <v>0</v>
      </c>
      <c r="DN152">
        <v>0</v>
      </c>
      <c r="DO152">
        <v>0</v>
      </c>
      <c r="DP152">
        <v>0</v>
      </c>
      <c r="DQ152">
        <v>0</v>
      </c>
      <c r="DR152">
        <v>0</v>
      </c>
      <c r="DS152">
        <v>0</v>
      </c>
    </row>
    <row r="153" spans="1:123" x14ac:dyDescent="0.25">
      <c r="A153" t="str">
        <f>"04/17/2026 15:38:07.910"</f>
        <v>04/17/2026 15:38:07.910</v>
      </c>
      <c r="C153" t="str">
        <f t="shared" si="11"/>
        <v>FFDFD3C0</v>
      </c>
      <c r="D153" t="s">
        <v>136</v>
      </c>
      <c r="E153" t="str">
        <f>"0F"</f>
        <v>0F</v>
      </c>
      <c r="F153">
        <v>1015</v>
      </c>
      <c r="G153" t="s">
        <v>138</v>
      </c>
      <c r="J153" t="s">
        <v>137</v>
      </c>
      <c r="K153">
        <v>0</v>
      </c>
      <c r="L153">
        <v>3</v>
      </c>
      <c r="M153">
        <v>0</v>
      </c>
      <c r="N153">
        <v>2</v>
      </c>
      <c r="O153">
        <v>1</v>
      </c>
      <c r="P153">
        <v>0</v>
      </c>
      <c r="Q153">
        <v>0</v>
      </c>
      <c r="R153" t="s">
        <v>127</v>
      </c>
      <c r="S153" t="str">
        <f>"15:38:07.641"</f>
        <v>15:38:07.641</v>
      </c>
      <c r="T153" t="str">
        <f>"15:38:07.141"</f>
        <v>15:38:07.141</v>
      </c>
      <c r="U153" t="str">
        <f t="shared" si="12"/>
        <v>A55E09</v>
      </c>
      <c r="V153">
        <v>0</v>
      </c>
      <c r="W153">
        <v>0</v>
      </c>
      <c r="X153">
        <v>2</v>
      </c>
      <c r="Y153">
        <v>0</v>
      </c>
      <c r="AA153">
        <v>0</v>
      </c>
      <c r="AB153">
        <v>9</v>
      </c>
      <c r="AC153">
        <v>3</v>
      </c>
      <c r="AD153">
        <v>0</v>
      </c>
      <c r="AE153">
        <v>9</v>
      </c>
      <c r="AF153" t="s">
        <v>128</v>
      </c>
      <c r="AG153">
        <v>0</v>
      </c>
      <c r="AH153">
        <v>0</v>
      </c>
      <c r="AI153">
        <v>1</v>
      </c>
      <c r="AJ153">
        <v>0</v>
      </c>
      <c r="AK153" t="s">
        <v>208</v>
      </c>
      <c r="AL153">
        <v>33.669040000000003</v>
      </c>
      <c r="AM153" t="s">
        <v>209</v>
      </c>
      <c r="AN153">
        <v>-101.20245</v>
      </c>
      <c r="AO153">
        <v>100</v>
      </c>
      <c r="AP153">
        <v>3300</v>
      </c>
      <c r="AQ153" t="s">
        <v>131</v>
      </c>
      <c r="AR153">
        <v>-18</v>
      </c>
      <c r="AS153">
        <v>78</v>
      </c>
      <c r="AT153">
        <v>0</v>
      </c>
      <c r="BB153" t="str">
        <f t="shared" si="13"/>
        <v>1200</v>
      </c>
      <c r="BC153">
        <v>1</v>
      </c>
      <c r="BD153" t="str">
        <f t="shared" si="14"/>
        <v xml:space="preserve">N445JS  </v>
      </c>
      <c r="BE153">
        <v>7</v>
      </c>
      <c r="BG153">
        <v>0</v>
      </c>
      <c r="BH153">
        <v>0</v>
      </c>
      <c r="BI153">
        <v>0</v>
      </c>
      <c r="BJ153">
        <v>3075</v>
      </c>
      <c r="BK153">
        <v>-225</v>
      </c>
      <c r="BL153" t="s">
        <v>132</v>
      </c>
      <c r="BM153">
        <v>1</v>
      </c>
      <c r="BN153">
        <v>1</v>
      </c>
      <c r="BO153">
        <v>1</v>
      </c>
      <c r="BP153">
        <v>0</v>
      </c>
      <c r="BT153">
        <v>0</v>
      </c>
      <c r="BU153">
        <v>0</v>
      </c>
      <c r="CE153" t="str">
        <f>"15:38:07.645"</f>
        <v>15:38:07.645</v>
      </c>
      <c r="CF153">
        <v>644609694</v>
      </c>
      <c r="CS153">
        <v>0</v>
      </c>
      <c r="CT153">
        <v>2</v>
      </c>
      <c r="CU153">
        <v>0</v>
      </c>
      <c r="CV153">
        <v>2</v>
      </c>
      <c r="CW153">
        <v>0</v>
      </c>
      <c r="CX153">
        <v>7</v>
      </c>
      <c r="CY153">
        <v>7</v>
      </c>
      <c r="CZ153" t="s">
        <v>133</v>
      </c>
      <c r="DA153">
        <v>125</v>
      </c>
      <c r="DB153">
        <v>1</v>
      </c>
      <c r="DC153" t="s">
        <v>134</v>
      </c>
      <c r="DD153" t="s">
        <v>135</v>
      </c>
      <c r="DG153">
        <v>2478159</v>
      </c>
      <c r="DI153">
        <v>0</v>
      </c>
      <c r="DJ153">
        <v>0</v>
      </c>
      <c r="DK153">
        <v>1</v>
      </c>
      <c r="DL153">
        <v>0</v>
      </c>
      <c r="DM153">
        <v>0</v>
      </c>
      <c r="DN153">
        <v>0</v>
      </c>
      <c r="DO153">
        <v>0</v>
      </c>
      <c r="DP153">
        <v>0</v>
      </c>
      <c r="DQ153">
        <v>0</v>
      </c>
      <c r="DR153">
        <v>0</v>
      </c>
      <c r="DS153">
        <v>0</v>
      </c>
    </row>
    <row r="154" spans="1:123" x14ac:dyDescent="0.25">
      <c r="A154" t="str">
        <f>"04/17/2026 15:38:09.336"</f>
        <v>04/17/2026 15:38:09.336</v>
      </c>
      <c r="C154" t="str">
        <f t="shared" si="11"/>
        <v>FFDFD3C0</v>
      </c>
      <c r="D154" t="s">
        <v>139</v>
      </c>
      <c r="E154" t="str">
        <f>"28"</f>
        <v>28</v>
      </c>
      <c r="H154">
        <v>140</v>
      </c>
      <c r="I154" t="s">
        <v>140</v>
      </c>
      <c r="J154" t="s">
        <v>141</v>
      </c>
      <c r="K154">
        <v>0</v>
      </c>
      <c r="L154">
        <v>3</v>
      </c>
      <c r="M154">
        <v>0</v>
      </c>
      <c r="N154">
        <v>2</v>
      </c>
      <c r="O154">
        <v>1</v>
      </c>
      <c r="P154">
        <v>0</v>
      </c>
      <c r="Q154">
        <v>0</v>
      </c>
      <c r="R154" t="s">
        <v>127</v>
      </c>
      <c r="S154" t="str">
        <f>"15:38:09.063"</f>
        <v>15:38:09.063</v>
      </c>
      <c r="T154" t="str">
        <f>"15:38:08.763"</f>
        <v>15:38:08.763</v>
      </c>
      <c r="U154" t="str">
        <f t="shared" si="12"/>
        <v>A55E09</v>
      </c>
      <c r="V154">
        <v>0</v>
      </c>
      <c r="W154">
        <v>0</v>
      </c>
      <c r="X154">
        <v>2</v>
      </c>
      <c r="Y154">
        <v>0</v>
      </c>
      <c r="AA154">
        <v>0</v>
      </c>
      <c r="AB154">
        <v>9</v>
      </c>
      <c r="AC154">
        <v>3</v>
      </c>
      <c r="AD154">
        <v>0</v>
      </c>
      <c r="AE154">
        <v>9</v>
      </c>
      <c r="AF154" t="s">
        <v>128</v>
      </c>
      <c r="AG154">
        <v>0</v>
      </c>
      <c r="AH154">
        <v>0</v>
      </c>
      <c r="AI154">
        <v>1</v>
      </c>
      <c r="AJ154">
        <v>0</v>
      </c>
      <c r="AK154" t="s">
        <v>210</v>
      </c>
      <c r="AL154">
        <v>33.669576999999997</v>
      </c>
      <c r="AM154" t="s">
        <v>211</v>
      </c>
      <c r="AN154">
        <v>-101.202579</v>
      </c>
      <c r="AO154">
        <v>100</v>
      </c>
      <c r="AP154">
        <v>3300</v>
      </c>
      <c r="AQ154" t="s">
        <v>131</v>
      </c>
      <c r="AR154">
        <v>-19</v>
      </c>
      <c r="AS154">
        <v>79</v>
      </c>
      <c r="AT154">
        <v>-64</v>
      </c>
      <c r="BB154" t="str">
        <f t="shared" si="13"/>
        <v>1200</v>
      </c>
      <c r="BC154">
        <v>1</v>
      </c>
      <c r="BD154" t="str">
        <f t="shared" si="14"/>
        <v xml:space="preserve">N445JS  </v>
      </c>
      <c r="BE154">
        <v>7</v>
      </c>
      <c r="BG154">
        <v>0</v>
      </c>
      <c r="BH154">
        <v>0</v>
      </c>
      <c r="BI154">
        <v>0</v>
      </c>
      <c r="BJ154">
        <v>3100</v>
      </c>
      <c r="BK154">
        <v>-200</v>
      </c>
      <c r="BL154" t="s">
        <v>132</v>
      </c>
      <c r="BM154">
        <v>1</v>
      </c>
      <c r="BN154">
        <v>1</v>
      </c>
      <c r="BO154">
        <v>1</v>
      </c>
      <c r="BP154">
        <v>0</v>
      </c>
      <c r="BT154">
        <v>0</v>
      </c>
      <c r="BU154">
        <v>0</v>
      </c>
      <c r="CE154" t="str">
        <f>"15:38:09.069"</f>
        <v>15:38:09.069</v>
      </c>
      <c r="CF154">
        <v>69469980</v>
      </c>
      <c r="CS154">
        <v>0</v>
      </c>
      <c r="CT154">
        <v>2</v>
      </c>
      <c r="CU154">
        <v>0</v>
      </c>
      <c r="CV154">
        <v>2</v>
      </c>
      <c r="CW154">
        <v>0</v>
      </c>
      <c r="CX154">
        <v>6</v>
      </c>
      <c r="CY154">
        <v>7</v>
      </c>
      <c r="CZ154" t="s">
        <v>133</v>
      </c>
      <c r="DA154">
        <v>125</v>
      </c>
      <c r="DB154">
        <v>1</v>
      </c>
      <c r="DC154" t="s">
        <v>134</v>
      </c>
      <c r="DD154" t="s">
        <v>135</v>
      </c>
      <c r="DG154">
        <v>2479633</v>
      </c>
      <c r="DI154">
        <v>0</v>
      </c>
      <c r="DJ154">
        <v>0</v>
      </c>
      <c r="DK154">
        <v>0</v>
      </c>
      <c r="DL154">
        <v>0</v>
      </c>
      <c r="DM154">
        <v>0</v>
      </c>
      <c r="DN154">
        <v>0</v>
      </c>
      <c r="DO154">
        <v>0</v>
      </c>
      <c r="DP154">
        <v>0</v>
      </c>
      <c r="DQ154">
        <v>0</v>
      </c>
      <c r="DR154">
        <v>0</v>
      </c>
      <c r="DS154">
        <v>0</v>
      </c>
    </row>
    <row r="155" spans="1:123" x14ac:dyDescent="0.25">
      <c r="A155" t="str">
        <f>"04/17/2026 15:38:09.362"</f>
        <v>04/17/2026 15:38:09.362</v>
      </c>
      <c r="C155" t="str">
        <f t="shared" si="11"/>
        <v>FFDFD3C0</v>
      </c>
      <c r="D155" t="s">
        <v>136</v>
      </c>
      <c r="E155" t="str">
        <f>"0F"</f>
        <v>0F</v>
      </c>
      <c r="F155">
        <v>1015</v>
      </c>
      <c r="G155" t="s">
        <v>138</v>
      </c>
      <c r="J155" t="s">
        <v>137</v>
      </c>
      <c r="K155">
        <v>0</v>
      </c>
      <c r="L155">
        <v>3</v>
      </c>
      <c r="M155">
        <v>0</v>
      </c>
      <c r="N155">
        <v>2</v>
      </c>
      <c r="O155">
        <v>1</v>
      </c>
      <c r="P155">
        <v>0</v>
      </c>
      <c r="Q155">
        <v>0</v>
      </c>
      <c r="R155" t="s">
        <v>127</v>
      </c>
      <c r="S155" t="str">
        <f>"15:38:09.063"</f>
        <v>15:38:09.063</v>
      </c>
      <c r="T155" t="str">
        <f>"15:38:08.763"</f>
        <v>15:38:08.763</v>
      </c>
      <c r="U155" t="str">
        <f t="shared" si="12"/>
        <v>A55E09</v>
      </c>
      <c r="V155">
        <v>0</v>
      </c>
      <c r="W155">
        <v>0</v>
      </c>
      <c r="X155">
        <v>2</v>
      </c>
      <c r="Y155">
        <v>0</v>
      </c>
      <c r="AA155">
        <v>0</v>
      </c>
      <c r="AB155">
        <v>9</v>
      </c>
      <c r="AC155">
        <v>3</v>
      </c>
      <c r="AD155">
        <v>0</v>
      </c>
      <c r="AE155">
        <v>9</v>
      </c>
      <c r="AF155" t="s">
        <v>128</v>
      </c>
      <c r="AG155">
        <v>0</v>
      </c>
      <c r="AH155">
        <v>0</v>
      </c>
      <c r="AI155">
        <v>1</v>
      </c>
      <c r="AJ155">
        <v>0</v>
      </c>
      <c r="AK155" t="s">
        <v>210</v>
      </c>
      <c r="AL155">
        <v>33.669576999999997</v>
      </c>
      <c r="AM155" t="s">
        <v>211</v>
      </c>
      <c r="AN155">
        <v>-101.202579</v>
      </c>
      <c r="AO155">
        <v>100</v>
      </c>
      <c r="AP155">
        <v>3300</v>
      </c>
      <c r="AQ155" t="s">
        <v>131</v>
      </c>
      <c r="AR155">
        <v>-19</v>
      </c>
      <c r="AS155">
        <v>79</v>
      </c>
      <c r="AT155">
        <v>-64</v>
      </c>
      <c r="BB155" t="str">
        <f t="shared" si="13"/>
        <v>1200</v>
      </c>
      <c r="BC155">
        <v>1</v>
      </c>
      <c r="BD155" t="str">
        <f t="shared" si="14"/>
        <v xml:space="preserve">N445JS  </v>
      </c>
      <c r="BE155">
        <v>7</v>
      </c>
      <c r="BG155">
        <v>0</v>
      </c>
      <c r="BH155">
        <v>0</v>
      </c>
      <c r="BI155">
        <v>0</v>
      </c>
      <c r="BJ155">
        <v>3100</v>
      </c>
      <c r="BK155">
        <v>-200</v>
      </c>
      <c r="BL155" t="s">
        <v>132</v>
      </c>
      <c r="BM155">
        <v>1</v>
      </c>
      <c r="BN155">
        <v>1</v>
      </c>
      <c r="BO155">
        <v>1</v>
      </c>
      <c r="BP155">
        <v>0</v>
      </c>
      <c r="BT155">
        <v>0</v>
      </c>
      <c r="BU155">
        <v>0</v>
      </c>
      <c r="CE155" t="str">
        <f>"15:38:09.069"</f>
        <v>15:38:09.069</v>
      </c>
      <c r="CF155">
        <v>69469980</v>
      </c>
      <c r="CS155">
        <v>0</v>
      </c>
      <c r="CT155">
        <v>2</v>
      </c>
      <c r="CU155">
        <v>0</v>
      </c>
      <c r="CV155">
        <v>2</v>
      </c>
      <c r="CW155">
        <v>0</v>
      </c>
      <c r="CX155">
        <v>6</v>
      </c>
      <c r="CY155">
        <v>7</v>
      </c>
      <c r="CZ155" t="s">
        <v>133</v>
      </c>
      <c r="DA155">
        <v>125</v>
      </c>
      <c r="DB155">
        <v>1</v>
      </c>
      <c r="DC155" t="s">
        <v>134</v>
      </c>
      <c r="DD155" t="s">
        <v>135</v>
      </c>
      <c r="DG155">
        <v>2479633</v>
      </c>
      <c r="DI155">
        <v>0</v>
      </c>
      <c r="DJ155">
        <v>0</v>
      </c>
      <c r="DK155">
        <v>1</v>
      </c>
      <c r="DL155">
        <v>0</v>
      </c>
      <c r="DM155">
        <v>0</v>
      </c>
      <c r="DN155">
        <v>0</v>
      </c>
      <c r="DO155">
        <v>0</v>
      </c>
      <c r="DP155">
        <v>0</v>
      </c>
      <c r="DQ155">
        <v>0</v>
      </c>
      <c r="DR155">
        <v>0</v>
      </c>
      <c r="DS155">
        <v>0</v>
      </c>
    </row>
    <row r="156" spans="1:123" x14ac:dyDescent="0.25">
      <c r="A156" t="str">
        <f>"04/17/2026 15:38:09.362"</f>
        <v>04/17/2026 15:38:09.362</v>
      </c>
      <c r="C156" t="str">
        <f t="shared" si="11"/>
        <v>FFDFD3C0</v>
      </c>
      <c r="D156" t="s">
        <v>124</v>
      </c>
      <c r="E156" t="str">
        <f>"03"</f>
        <v>03</v>
      </c>
      <c r="H156">
        <v>160</v>
      </c>
      <c r="I156" t="s">
        <v>125</v>
      </c>
      <c r="J156" t="s">
        <v>126</v>
      </c>
      <c r="K156">
        <v>0</v>
      </c>
      <c r="L156">
        <v>3</v>
      </c>
      <c r="M156">
        <v>0</v>
      </c>
      <c r="N156">
        <v>2</v>
      </c>
      <c r="O156">
        <v>1</v>
      </c>
      <c r="P156">
        <v>0</v>
      </c>
      <c r="Q156">
        <v>0</v>
      </c>
      <c r="R156" t="s">
        <v>127</v>
      </c>
      <c r="S156" t="str">
        <f>"15:38:09.063"</f>
        <v>15:38:09.063</v>
      </c>
      <c r="T156" t="str">
        <f>"15:38:08.763"</f>
        <v>15:38:08.763</v>
      </c>
      <c r="U156" t="str">
        <f t="shared" si="12"/>
        <v>A55E09</v>
      </c>
      <c r="V156">
        <v>0</v>
      </c>
      <c r="W156">
        <v>0</v>
      </c>
      <c r="X156">
        <v>2</v>
      </c>
      <c r="Y156">
        <v>0</v>
      </c>
      <c r="AA156">
        <v>0</v>
      </c>
      <c r="AB156">
        <v>9</v>
      </c>
      <c r="AC156">
        <v>3</v>
      </c>
      <c r="AD156">
        <v>0</v>
      </c>
      <c r="AE156">
        <v>9</v>
      </c>
      <c r="AF156" t="s">
        <v>128</v>
      </c>
      <c r="AG156">
        <v>0</v>
      </c>
      <c r="AH156">
        <v>0</v>
      </c>
      <c r="AI156">
        <v>1</v>
      </c>
      <c r="AJ156">
        <v>0</v>
      </c>
      <c r="AK156" t="s">
        <v>210</v>
      </c>
      <c r="AL156">
        <v>33.669576999999997</v>
      </c>
      <c r="AM156" t="s">
        <v>211</v>
      </c>
      <c r="AN156">
        <v>-101.202579</v>
      </c>
      <c r="AO156">
        <v>100</v>
      </c>
      <c r="AP156">
        <v>3300</v>
      </c>
      <c r="AQ156" t="s">
        <v>131</v>
      </c>
      <c r="AR156">
        <v>-19</v>
      </c>
      <c r="AS156">
        <v>79</v>
      </c>
      <c r="AT156">
        <v>-64</v>
      </c>
      <c r="BB156" t="str">
        <f t="shared" si="13"/>
        <v>1200</v>
      </c>
      <c r="BC156">
        <v>1</v>
      </c>
      <c r="BD156" t="str">
        <f t="shared" si="14"/>
        <v xml:space="preserve">N445JS  </v>
      </c>
      <c r="BE156">
        <v>7</v>
      </c>
      <c r="BG156">
        <v>0</v>
      </c>
      <c r="BH156">
        <v>0</v>
      </c>
      <c r="BI156">
        <v>0</v>
      </c>
      <c r="BJ156">
        <v>3100</v>
      </c>
      <c r="BK156">
        <v>-200</v>
      </c>
      <c r="BL156" t="s">
        <v>132</v>
      </c>
      <c r="BM156">
        <v>1</v>
      </c>
      <c r="BN156">
        <v>1</v>
      </c>
      <c r="BO156">
        <v>1</v>
      </c>
      <c r="BP156">
        <v>0</v>
      </c>
      <c r="BT156">
        <v>0</v>
      </c>
      <c r="BU156">
        <v>0</v>
      </c>
      <c r="CE156" t="str">
        <f>"15:38:09.069"</f>
        <v>15:38:09.069</v>
      </c>
      <c r="CF156">
        <v>69469980</v>
      </c>
      <c r="CS156">
        <v>0</v>
      </c>
      <c r="CT156">
        <v>2</v>
      </c>
      <c r="CU156">
        <v>0</v>
      </c>
      <c r="CV156">
        <v>2</v>
      </c>
      <c r="CW156">
        <v>0</v>
      </c>
      <c r="CX156">
        <v>6</v>
      </c>
      <c r="CY156">
        <v>7</v>
      </c>
      <c r="CZ156" t="s">
        <v>133</v>
      </c>
      <c r="DA156">
        <v>125</v>
      </c>
      <c r="DB156">
        <v>1</v>
      </c>
      <c r="DC156" t="s">
        <v>134</v>
      </c>
      <c r="DD156" t="s">
        <v>135</v>
      </c>
      <c r="DG156">
        <v>2479633</v>
      </c>
      <c r="DI156">
        <v>0</v>
      </c>
      <c r="DJ156">
        <v>0</v>
      </c>
      <c r="DK156">
        <v>1</v>
      </c>
      <c r="DL156">
        <v>0</v>
      </c>
      <c r="DM156">
        <v>0</v>
      </c>
      <c r="DN156">
        <v>0</v>
      </c>
      <c r="DO156">
        <v>0</v>
      </c>
      <c r="DP156">
        <v>0</v>
      </c>
      <c r="DQ156">
        <v>0</v>
      </c>
      <c r="DR156">
        <v>0</v>
      </c>
      <c r="DS156">
        <v>0</v>
      </c>
    </row>
    <row r="157" spans="1:123" x14ac:dyDescent="0.25">
      <c r="A157" t="str">
        <f>"04/17/2026 15:38:09.361"</f>
        <v>04/17/2026 15:38:09.361</v>
      </c>
      <c r="C157" t="str">
        <f t="shared" si="11"/>
        <v>FFDFD3C0</v>
      </c>
      <c r="D157" t="s">
        <v>136</v>
      </c>
      <c r="E157" t="str">
        <f>"0E"</f>
        <v>0E</v>
      </c>
      <c r="F157">
        <v>1014</v>
      </c>
      <c r="G157" t="s">
        <v>125</v>
      </c>
      <c r="J157" t="s">
        <v>137</v>
      </c>
      <c r="K157">
        <v>0</v>
      </c>
      <c r="L157">
        <v>3</v>
      </c>
      <c r="M157">
        <v>0</v>
      </c>
      <c r="N157">
        <v>2</v>
      </c>
      <c r="O157">
        <v>1</v>
      </c>
      <c r="P157">
        <v>0</v>
      </c>
      <c r="Q157">
        <v>0</v>
      </c>
      <c r="R157" t="s">
        <v>127</v>
      </c>
      <c r="S157" t="str">
        <f>"15:38:09.063"</f>
        <v>15:38:09.063</v>
      </c>
      <c r="T157" t="str">
        <f>"15:38:08.763"</f>
        <v>15:38:08.763</v>
      </c>
      <c r="U157" t="str">
        <f t="shared" si="12"/>
        <v>A55E09</v>
      </c>
      <c r="V157">
        <v>0</v>
      </c>
      <c r="W157">
        <v>0</v>
      </c>
      <c r="X157">
        <v>2</v>
      </c>
      <c r="Y157">
        <v>0</v>
      </c>
      <c r="AA157">
        <v>0</v>
      </c>
      <c r="AB157">
        <v>9</v>
      </c>
      <c r="AC157">
        <v>3</v>
      </c>
      <c r="AD157">
        <v>0</v>
      </c>
      <c r="AE157">
        <v>9</v>
      </c>
      <c r="AF157" t="s">
        <v>128</v>
      </c>
      <c r="AG157">
        <v>0</v>
      </c>
      <c r="AH157">
        <v>0</v>
      </c>
      <c r="AI157">
        <v>1</v>
      </c>
      <c r="AJ157">
        <v>0</v>
      </c>
      <c r="AK157" t="s">
        <v>210</v>
      </c>
      <c r="AL157">
        <v>33.669576999999997</v>
      </c>
      <c r="AM157" t="s">
        <v>211</v>
      </c>
      <c r="AN157">
        <v>-101.202579</v>
      </c>
      <c r="AO157">
        <v>100</v>
      </c>
      <c r="AP157">
        <v>3300</v>
      </c>
      <c r="AQ157" t="s">
        <v>131</v>
      </c>
      <c r="AR157">
        <v>-19</v>
      </c>
      <c r="AS157">
        <v>79</v>
      </c>
      <c r="AT157">
        <v>-64</v>
      </c>
      <c r="BB157" t="str">
        <f t="shared" si="13"/>
        <v>1200</v>
      </c>
      <c r="BC157">
        <v>1</v>
      </c>
      <c r="BD157" t="str">
        <f t="shared" si="14"/>
        <v xml:space="preserve">N445JS  </v>
      </c>
      <c r="BE157">
        <v>7</v>
      </c>
      <c r="BG157">
        <v>0</v>
      </c>
      <c r="BH157">
        <v>0</v>
      </c>
      <c r="BI157">
        <v>0</v>
      </c>
      <c r="BJ157">
        <v>3100</v>
      </c>
      <c r="BK157">
        <v>-200</v>
      </c>
      <c r="BL157" t="s">
        <v>132</v>
      </c>
      <c r="BM157">
        <v>1</v>
      </c>
      <c r="BN157">
        <v>1</v>
      </c>
      <c r="BO157">
        <v>1</v>
      </c>
      <c r="BP157">
        <v>0</v>
      </c>
      <c r="BT157">
        <v>0</v>
      </c>
      <c r="BU157">
        <v>0</v>
      </c>
      <c r="CE157" t="str">
        <f>"15:38:09.069"</f>
        <v>15:38:09.069</v>
      </c>
      <c r="CF157">
        <v>69469980</v>
      </c>
      <c r="CS157">
        <v>0</v>
      </c>
      <c r="CT157">
        <v>2</v>
      </c>
      <c r="CU157">
        <v>0</v>
      </c>
      <c r="CV157">
        <v>2</v>
      </c>
      <c r="CW157">
        <v>0</v>
      </c>
      <c r="CX157">
        <v>6</v>
      </c>
      <c r="CY157">
        <v>7</v>
      </c>
      <c r="CZ157" t="s">
        <v>133</v>
      </c>
      <c r="DA157">
        <v>125</v>
      </c>
      <c r="DB157">
        <v>1</v>
      </c>
      <c r="DC157" t="s">
        <v>134</v>
      </c>
      <c r="DD157" t="s">
        <v>135</v>
      </c>
      <c r="DG157">
        <v>2479633</v>
      </c>
      <c r="DI157">
        <v>0</v>
      </c>
      <c r="DJ157">
        <v>0</v>
      </c>
      <c r="DK157">
        <v>1</v>
      </c>
      <c r="DL157">
        <v>0</v>
      </c>
      <c r="DM157">
        <v>0</v>
      </c>
      <c r="DN157">
        <v>0</v>
      </c>
      <c r="DO157">
        <v>0</v>
      </c>
      <c r="DP157">
        <v>0</v>
      </c>
      <c r="DQ157">
        <v>0</v>
      </c>
      <c r="DR157">
        <v>0</v>
      </c>
      <c r="DS157">
        <v>0</v>
      </c>
    </row>
    <row r="158" spans="1:123" x14ac:dyDescent="0.25">
      <c r="A158" t="str">
        <f>"04/17/2026 15:38:10.238"</f>
        <v>04/17/2026 15:38:10.238</v>
      </c>
      <c r="C158" t="str">
        <f t="shared" si="11"/>
        <v>FFDFD3C0</v>
      </c>
      <c r="D158" t="s">
        <v>139</v>
      </c>
      <c r="E158" t="str">
        <f>"28"</f>
        <v>28</v>
      </c>
      <c r="H158">
        <v>140</v>
      </c>
      <c r="I158" t="s">
        <v>140</v>
      </c>
      <c r="J158" t="s">
        <v>141</v>
      </c>
      <c r="K158">
        <v>0</v>
      </c>
      <c r="L158">
        <v>3</v>
      </c>
      <c r="M158">
        <v>0</v>
      </c>
      <c r="N158">
        <v>2</v>
      </c>
      <c r="O158">
        <v>1</v>
      </c>
      <c r="P158">
        <v>0</v>
      </c>
      <c r="Q158">
        <v>0</v>
      </c>
      <c r="R158" t="s">
        <v>127</v>
      </c>
      <c r="S158" t="str">
        <f>"15:38:09.984"</f>
        <v>15:38:09.984</v>
      </c>
      <c r="T158" t="str">
        <f>"15:38:09.684"</f>
        <v>15:38:09.684</v>
      </c>
      <c r="U158" t="str">
        <f t="shared" si="12"/>
        <v>A55E09</v>
      </c>
      <c r="V158">
        <v>0</v>
      </c>
      <c r="W158">
        <v>0</v>
      </c>
      <c r="X158">
        <v>2</v>
      </c>
      <c r="Y158">
        <v>0</v>
      </c>
      <c r="AA158">
        <v>0</v>
      </c>
      <c r="AB158">
        <v>9</v>
      </c>
      <c r="AC158">
        <v>3</v>
      </c>
      <c r="AD158">
        <v>0</v>
      </c>
      <c r="AE158">
        <v>9</v>
      </c>
      <c r="AF158" t="s">
        <v>128</v>
      </c>
      <c r="AG158">
        <v>0</v>
      </c>
      <c r="AH158">
        <v>0</v>
      </c>
      <c r="AI158">
        <v>1</v>
      </c>
      <c r="AJ158">
        <v>0</v>
      </c>
      <c r="AK158" t="s">
        <v>212</v>
      </c>
      <c r="AL158">
        <v>33.669877</v>
      </c>
      <c r="AM158" t="s">
        <v>213</v>
      </c>
      <c r="AN158">
        <v>-101.202686</v>
      </c>
      <c r="AO158">
        <v>100</v>
      </c>
      <c r="AP158">
        <v>3300</v>
      </c>
      <c r="AQ158" t="s">
        <v>131</v>
      </c>
      <c r="AR158">
        <v>-19</v>
      </c>
      <c r="AS158">
        <v>79</v>
      </c>
      <c r="AT158">
        <v>256</v>
      </c>
      <c r="BB158" t="str">
        <f t="shared" si="13"/>
        <v>1200</v>
      </c>
      <c r="BC158">
        <v>1</v>
      </c>
      <c r="BD158" t="str">
        <f t="shared" si="14"/>
        <v xml:space="preserve">N445JS  </v>
      </c>
      <c r="BE158">
        <v>7</v>
      </c>
      <c r="BG158">
        <v>0</v>
      </c>
      <c r="BH158">
        <v>0</v>
      </c>
      <c r="BI158">
        <v>0</v>
      </c>
      <c r="BJ158">
        <v>3100</v>
      </c>
      <c r="BK158">
        <v>-200</v>
      </c>
      <c r="BL158" t="s">
        <v>132</v>
      </c>
      <c r="BM158">
        <v>1</v>
      </c>
      <c r="BN158">
        <v>1</v>
      </c>
      <c r="BO158">
        <v>1</v>
      </c>
      <c r="BP158">
        <v>0</v>
      </c>
      <c r="BT158">
        <v>0</v>
      </c>
      <c r="BU158">
        <v>0</v>
      </c>
      <c r="CE158" t="str">
        <f>"15:38:09.984"</f>
        <v>15:38:09.984</v>
      </c>
      <c r="CF158">
        <v>984380276</v>
      </c>
      <c r="CS158">
        <v>0</v>
      </c>
      <c r="CT158">
        <v>2</v>
      </c>
      <c r="CU158">
        <v>0</v>
      </c>
      <c r="CV158">
        <v>2</v>
      </c>
      <c r="CW158">
        <v>0</v>
      </c>
      <c r="CX158">
        <v>7</v>
      </c>
      <c r="CY158">
        <v>7</v>
      </c>
      <c r="CZ158" t="s">
        <v>133</v>
      </c>
      <c r="DA158">
        <v>125</v>
      </c>
      <c r="DB158">
        <v>1</v>
      </c>
      <c r="DC158" t="s">
        <v>134</v>
      </c>
      <c r="DD158" t="s">
        <v>135</v>
      </c>
      <c r="DG158">
        <v>2480552</v>
      </c>
      <c r="DI158">
        <v>0</v>
      </c>
      <c r="DJ158">
        <v>0</v>
      </c>
      <c r="DK158">
        <v>0</v>
      </c>
      <c r="DL158">
        <v>0</v>
      </c>
      <c r="DM158">
        <v>0</v>
      </c>
      <c r="DN158">
        <v>0</v>
      </c>
      <c r="DO158">
        <v>0</v>
      </c>
      <c r="DP158">
        <v>0</v>
      </c>
      <c r="DQ158">
        <v>0</v>
      </c>
      <c r="DR158">
        <v>0</v>
      </c>
      <c r="DS158">
        <v>0</v>
      </c>
    </row>
    <row r="159" spans="1:123" x14ac:dyDescent="0.25">
      <c r="A159" t="str">
        <f>"04/17/2026 15:38:10.264"</f>
        <v>04/17/2026 15:38:10.264</v>
      </c>
      <c r="C159" t="str">
        <f t="shared" si="11"/>
        <v>FFDFD3C0</v>
      </c>
      <c r="D159" t="s">
        <v>136</v>
      </c>
      <c r="E159" t="str">
        <f>"0F"</f>
        <v>0F</v>
      </c>
      <c r="F159">
        <v>1015</v>
      </c>
      <c r="G159" t="s">
        <v>138</v>
      </c>
      <c r="J159" t="s">
        <v>137</v>
      </c>
      <c r="K159">
        <v>0</v>
      </c>
      <c r="L159">
        <v>3</v>
      </c>
      <c r="M159">
        <v>0</v>
      </c>
      <c r="N159">
        <v>2</v>
      </c>
      <c r="O159">
        <v>1</v>
      </c>
      <c r="P159">
        <v>0</v>
      </c>
      <c r="Q159">
        <v>0</v>
      </c>
      <c r="R159" t="s">
        <v>127</v>
      </c>
      <c r="S159" t="str">
        <f>"15:38:09.984"</f>
        <v>15:38:09.984</v>
      </c>
      <c r="T159" t="str">
        <f>"15:38:09.684"</f>
        <v>15:38:09.684</v>
      </c>
      <c r="U159" t="str">
        <f t="shared" si="12"/>
        <v>A55E09</v>
      </c>
      <c r="V159">
        <v>0</v>
      </c>
      <c r="W159">
        <v>0</v>
      </c>
      <c r="X159">
        <v>2</v>
      </c>
      <c r="Y159">
        <v>0</v>
      </c>
      <c r="AA159">
        <v>0</v>
      </c>
      <c r="AB159">
        <v>9</v>
      </c>
      <c r="AC159">
        <v>3</v>
      </c>
      <c r="AD159">
        <v>0</v>
      </c>
      <c r="AE159">
        <v>9</v>
      </c>
      <c r="AF159" t="s">
        <v>128</v>
      </c>
      <c r="AG159">
        <v>0</v>
      </c>
      <c r="AH159">
        <v>0</v>
      </c>
      <c r="AI159">
        <v>1</v>
      </c>
      <c r="AJ159">
        <v>0</v>
      </c>
      <c r="AK159" t="s">
        <v>212</v>
      </c>
      <c r="AL159">
        <v>33.669877</v>
      </c>
      <c r="AM159" t="s">
        <v>213</v>
      </c>
      <c r="AN159">
        <v>-101.202686</v>
      </c>
      <c r="AO159">
        <v>100</v>
      </c>
      <c r="AP159">
        <v>3300</v>
      </c>
      <c r="AQ159" t="s">
        <v>131</v>
      </c>
      <c r="AR159">
        <v>-19</v>
      </c>
      <c r="AS159">
        <v>79</v>
      </c>
      <c r="AT159">
        <v>256</v>
      </c>
      <c r="BB159" t="str">
        <f t="shared" si="13"/>
        <v>1200</v>
      </c>
      <c r="BC159">
        <v>1</v>
      </c>
      <c r="BD159" t="str">
        <f t="shared" si="14"/>
        <v xml:space="preserve">N445JS  </v>
      </c>
      <c r="BE159">
        <v>7</v>
      </c>
      <c r="BG159">
        <v>0</v>
      </c>
      <c r="BH159">
        <v>0</v>
      </c>
      <c r="BI159">
        <v>0</v>
      </c>
      <c r="BJ159">
        <v>3100</v>
      </c>
      <c r="BK159">
        <v>-200</v>
      </c>
      <c r="BL159" t="s">
        <v>132</v>
      </c>
      <c r="BM159">
        <v>1</v>
      </c>
      <c r="BN159">
        <v>1</v>
      </c>
      <c r="BO159">
        <v>1</v>
      </c>
      <c r="BP159">
        <v>0</v>
      </c>
      <c r="BT159">
        <v>0</v>
      </c>
      <c r="BU159">
        <v>0</v>
      </c>
      <c r="CE159" t="str">
        <f>"15:38:09.984"</f>
        <v>15:38:09.984</v>
      </c>
      <c r="CF159">
        <v>984380276</v>
      </c>
      <c r="CS159">
        <v>0</v>
      </c>
      <c r="CT159">
        <v>2</v>
      </c>
      <c r="CU159">
        <v>0</v>
      </c>
      <c r="CV159">
        <v>2</v>
      </c>
      <c r="CW159">
        <v>0</v>
      </c>
      <c r="CX159">
        <v>7</v>
      </c>
      <c r="CY159">
        <v>7</v>
      </c>
      <c r="CZ159" t="s">
        <v>133</v>
      </c>
      <c r="DA159">
        <v>125</v>
      </c>
      <c r="DB159">
        <v>1</v>
      </c>
      <c r="DC159" t="s">
        <v>134</v>
      </c>
      <c r="DD159" t="s">
        <v>135</v>
      </c>
      <c r="DG159">
        <v>2480552</v>
      </c>
      <c r="DI159">
        <v>0</v>
      </c>
      <c r="DJ159">
        <v>0</v>
      </c>
      <c r="DK159">
        <v>1</v>
      </c>
      <c r="DL159">
        <v>0</v>
      </c>
      <c r="DM159">
        <v>0</v>
      </c>
      <c r="DN159">
        <v>0</v>
      </c>
      <c r="DO159">
        <v>0</v>
      </c>
      <c r="DP159">
        <v>0</v>
      </c>
      <c r="DQ159">
        <v>0</v>
      </c>
      <c r="DR159">
        <v>0</v>
      </c>
      <c r="DS159">
        <v>0</v>
      </c>
    </row>
    <row r="160" spans="1:123" x14ac:dyDescent="0.25">
      <c r="A160" t="str">
        <f>"04/17/2026 15:38:10.263"</f>
        <v>04/17/2026 15:38:10.263</v>
      </c>
      <c r="C160" t="str">
        <f t="shared" si="11"/>
        <v>FFDFD3C0</v>
      </c>
      <c r="D160" t="s">
        <v>124</v>
      </c>
      <c r="E160" t="str">
        <f>"03"</f>
        <v>03</v>
      </c>
      <c r="H160">
        <v>160</v>
      </c>
      <c r="I160" t="s">
        <v>125</v>
      </c>
      <c r="J160" t="s">
        <v>126</v>
      </c>
      <c r="K160">
        <v>0</v>
      </c>
      <c r="L160">
        <v>3</v>
      </c>
      <c r="M160">
        <v>0</v>
      </c>
      <c r="N160">
        <v>2</v>
      </c>
      <c r="O160">
        <v>1</v>
      </c>
      <c r="P160">
        <v>0</v>
      </c>
      <c r="Q160">
        <v>0</v>
      </c>
      <c r="R160" t="s">
        <v>127</v>
      </c>
      <c r="S160" t="str">
        <f>"15:38:09.984"</f>
        <v>15:38:09.984</v>
      </c>
      <c r="T160" t="str">
        <f>"15:38:09.684"</f>
        <v>15:38:09.684</v>
      </c>
      <c r="U160" t="str">
        <f t="shared" si="12"/>
        <v>A55E09</v>
      </c>
      <c r="V160">
        <v>0</v>
      </c>
      <c r="W160">
        <v>0</v>
      </c>
      <c r="X160">
        <v>2</v>
      </c>
      <c r="Y160">
        <v>0</v>
      </c>
      <c r="AA160">
        <v>0</v>
      </c>
      <c r="AB160">
        <v>9</v>
      </c>
      <c r="AC160">
        <v>3</v>
      </c>
      <c r="AD160">
        <v>0</v>
      </c>
      <c r="AE160">
        <v>9</v>
      </c>
      <c r="AF160" t="s">
        <v>128</v>
      </c>
      <c r="AG160">
        <v>0</v>
      </c>
      <c r="AH160">
        <v>0</v>
      </c>
      <c r="AI160">
        <v>1</v>
      </c>
      <c r="AJ160">
        <v>0</v>
      </c>
      <c r="AK160" t="s">
        <v>212</v>
      </c>
      <c r="AL160">
        <v>33.669877</v>
      </c>
      <c r="AM160" t="s">
        <v>213</v>
      </c>
      <c r="AN160">
        <v>-101.202686</v>
      </c>
      <c r="AO160">
        <v>100</v>
      </c>
      <c r="AP160">
        <v>3300</v>
      </c>
      <c r="AQ160" t="s">
        <v>131</v>
      </c>
      <c r="AR160">
        <v>-19</v>
      </c>
      <c r="AS160">
        <v>79</v>
      </c>
      <c r="AT160">
        <v>256</v>
      </c>
      <c r="BB160" t="str">
        <f t="shared" si="13"/>
        <v>1200</v>
      </c>
      <c r="BC160">
        <v>1</v>
      </c>
      <c r="BD160" t="str">
        <f t="shared" si="14"/>
        <v xml:space="preserve">N445JS  </v>
      </c>
      <c r="BE160">
        <v>7</v>
      </c>
      <c r="BG160">
        <v>0</v>
      </c>
      <c r="BH160">
        <v>0</v>
      </c>
      <c r="BI160">
        <v>0</v>
      </c>
      <c r="BJ160">
        <v>3100</v>
      </c>
      <c r="BK160">
        <v>-200</v>
      </c>
      <c r="BL160" t="s">
        <v>132</v>
      </c>
      <c r="BM160">
        <v>1</v>
      </c>
      <c r="BN160">
        <v>1</v>
      </c>
      <c r="BO160">
        <v>1</v>
      </c>
      <c r="BP160">
        <v>0</v>
      </c>
      <c r="BT160">
        <v>0</v>
      </c>
      <c r="BU160">
        <v>0</v>
      </c>
      <c r="CE160" t="str">
        <f>"15:38:09.984"</f>
        <v>15:38:09.984</v>
      </c>
      <c r="CF160">
        <v>984380276</v>
      </c>
      <c r="CS160">
        <v>0</v>
      </c>
      <c r="CT160">
        <v>2</v>
      </c>
      <c r="CU160">
        <v>0</v>
      </c>
      <c r="CV160">
        <v>2</v>
      </c>
      <c r="CW160">
        <v>0</v>
      </c>
      <c r="CX160">
        <v>7</v>
      </c>
      <c r="CY160">
        <v>7</v>
      </c>
      <c r="CZ160" t="s">
        <v>133</v>
      </c>
      <c r="DA160">
        <v>125</v>
      </c>
      <c r="DB160">
        <v>1</v>
      </c>
      <c r="DC160" t="s">
        <v>134</v>
      </c>
      <c r="DD160" t="s">
        <v>135</v>
      </c>
      <c r="DG160">
        <v>2480552</v>
      </c>
      <c r="DI160">
        <v>0</v>
      </c>
      <c r="DJ160">
        <v>0</v>
      </c>
      <c r="DK160">
        <v>1</v>
      </c>
      <c r="DL160">
        <v>0</v>
      </c>
      <c r="DM160">
        <v>0</v>
      </c>
      <c r="DN160">
        <v>0</v>
      </c>
      <c r="DO160">
        <v>0</v>
      </c>
      <c r="DP160">
        <v>0</v>
      </c>
      <c r="DQ160">
        <v>0</v>
      </c>
      <c r="DR160">
        <v>0</v>
      </c>
      <c r="DS160">
        <v>0</v>
      </c>
    </row>
    <row r="161" spans="1:123" x14ac:dyDescent="0.25">
      <c r="A161" t="str">
        <f>"04/17/2026 15:38:10.263"</f>
        <v>04/17/2026 15:38:10.263</v>
      </c>
      <c r="C161" t="str">
        <f t="shared" si="11"/>
        <v>FFDFD3C0</v>
      </c>
      <c r="D161" t="s">
        <v>136</v>
      </c>
      <c r="E161" t="str">
        <f>"0E"</f>
        <v>0E</v>
      </c>
      <c r="F161">
        <v>1014</v>
      </c>
      <c r="G161" t="s">
        <v>125</v>
      </c>
      <c r="J161" t="s">
        <v>137</v>
      </c>
      <c r="K161">
        <v>0</v>
      </c>
      <c r="L161">
        <v>3</v>
      </c>
      <c r="M161">
        <v>0</v>
      </c>
      <c r="N161">
        <v>2</v>
      </c>
      <c r="O161">
        <v>1</v>
      </c>
      <c r="P161">
        <v>0</v>
      </c>
      <c r="Q161">
        <v>0</v>
      </c>
      <c r="R161" t="s">
        <v>127</v>
      </c>
      <c r="S161" t="str">
        <f>"15:38:09.984"</f>
        <v>15:38:09.984</v>
      </c>
      <c r="T161" t="str">
        <f>"15:38:09.684"</f>
        <v>15:38:09.684</v>
      </c>
      <c r="U161" t="str">
        <f t="shared" si="12"/>
        <v>A55E09</v>
      </c>
      <c r="V161">
        <v>0</v>
      </c>
      <c r="W161">
        <v>0</v>
      </c>
      <c r="X161">
        <v>2</v>
      </c>
      <c r="Y161">
        <v>0</v>
      </c>
      <c r="AA161">
        <v>0</v>
      </c>
      <c r="AB161">
        <v>9</v>
      </c>
      <c r="AC161">
        <v>3</v>
      </c>
      <c r="AD161">
        <v>0</v>
      </c>
      <c r="AE161">
        <v>9</v>
      </c>
      <c r="AF161" t="s">
        <v>128</v>
      </c>
      <c r="AG161">
        <v>0</v>
      </c>
      <c r="AH161">
        <v>0</v>
      </c>
      <c r="AI161">
        <v>1</v>
      </c>
      <c r="AJ161">
        <v>0</v>
      </c>
      <c r="AK161" t="s">
        <v>212</v>
      </c>
      <c r="AL161">
        <v>33.669877</v>
      </c>
      <c r="AM161" t="s">
        <v>213</v>
      </c>
      <c r="AN161">
        <v>-101.202686</v>
      </c>
      <c r="AO161">
        <v>100</v>
      </c>
      <c r="AP161">
        <v>3300</v>
      </c>
      <c r="AQ161" t="s">
        <v>131</v>
      </c>
      <c r="AR161">
        <v>-19</v>
      </c>
      <c r="AS161">
        <v>79</v>
      </c>
      <c r="AT161">
        <v>256</v>
      </c>
      <c r="BB161" t="str">
        <f t="shared" si="13"/>
        <v>1200</v>
      </c>
      <c r="BC161">
        <v>1</v>
      </c>
      <c r="BD161" t="str">
        <f t="shared" si="14"/>
        <v xml:space="preserve">N445JS  </v>
      </c>
      <c r="BE161">
        <v>7</v>
      </c>
      <c r="BG161">
        <v>0</v>
      </c>
      <c r="BH161">
        <v>0</v>
      </c>
      <c r="BI161">
        <v>0</v>
      </c>
      <c r="BJ161">
        <v>3100</v>
      </c>
      <c r="BK161">
        <v>-200</v>
      </c>
      <c r="BL161" t="s">
        <v>132</v>
      </c>
      <c r="BM161">
        <v>1</v>
      </c>
      <c r="BN161">
        <v>1</v>
      </c>
      <c r="BO161">
        <v>1</v>
      </c>
      <c r="BP161">
        <v>0</v>
      </c>
      <c r="BT161">
        <v>0</v>
      </c>
      <c r="BU161">
        <v>0</v>
      </c>
      <c r="CE161" t="str">
        <f>"15:38:09.984"</f>
        <v>15:38:09.984</v>
      </c>
      <c r="CF161">
        <v>984380276</v>
      </c>
      <c r="CS161">
        <v>0</v>
      </c>
      <c r="CT161">
        <v>2</v>
      </c>
      <c r="CU161">
        <v>0</v>
      </c>
      <c r="CV161">
        <v>2</v>
      </c>
      <c r="CW161">
        <v>0</v>
      </c>
      <c r="CX161">
        <v>7</v>
      </c>
      <c r="CY161">
        <v>7</v>
      </c>
      <c r="CZ161" t="s">
        <v>133</v>
      </c>
      <c r="DA161">
        <v>125</v>
      </c>
      <c r="DB161">
        <v>1</v>
      </c>
      <c r="DC161" t="s">
        <v>134</v>
      </c>
      <c r="DD161" t="s">
        <v>135</v>
      </c>
      <c r="DG161">
        <v>2480552</v>
      </c>
      <c r="DI161">
        <v>0</v>
      </c>
      <c r="DJ161">
        <v>0</v>
      </c>
      <c r="DK161">
        <v>1</v>
      </c>
      <c r="DL161">
        <v>0</v>
      </c>
      <c r="DM161">
        <v>0</v>
      </c>
      <c r="DN161">
        <v>0</v>
      </c>
      <c r="DO161">
        <v>0</v>
      </c>
      <c r="DP161">
        <v>0</v>
      </c>
      <c r="DQ161">
        <v>0</v>
      </c>
      <c r="DR161">
        <v>0</v>
      </c>
      <c r="DS161">
        <v>0</v>
      </c>
    </row>
    <row r="162" spans="1:123" x14ac:dyDescent="0.25">
      <c r="A162" t="str">
        <f>"04/17/2026 15:38:11.240"</f>
        <v>04/17/2026 15:38:11.240</v>
      </c>
      <c r="C162" t="str">
        <f t="shared" si="11"/>
        <v>FFDFD3C0</v>
      </c>
      <c r="D162" t="s">
        <v>139</v>
      </c>
      <c r="E162" t="str">
        <f>"28"</f>
        <v>28</v>
      </c>
      <c r="H162">
        <v>140</v>
      </c>
      <c r="I162" t="s">
        <v>140</v>
      </c>
      <c r="J162" t="s">
        <v>141</v>
      </c>
      <c r="K162">
        <v>0</v>
      </c>
      <c r="L162">
        <v>3</v>
      </c>
      <c r="M162">
        <v>0</v>
      </c>
      <c r="N162">
        <v>2</v>
      </c>
      <c r="O162">
        <v>1</v>
      </c>
      <c r="P162">
        <v>0</v>
      </c>
      <c r="Q162">
        <v>0</v>
      </c>
      <c r="R162" t="s">
        <v>127</v>
      </c>
      <c r="S162" t="str">
        <f>"15:38:10.984"</f>
        <v>15:38:10.984</v>
      </c>
      <c r="T162" t="str">
        <f>"15:38:10.784"</f>
        <v>15:38:10.784</v>
      </c>
      <c r="U162" t="str">
        <f t="shared" si="12"/>
        <v>A55E09</v>
      </c>
      <c r="V162">
        <v>0</v>
      </c>
      <c r="W162">
        <v>0</v>
      </c>
      <c r="X162">
        <v>2</v>
      </c>
      <c r="Y162">
        <v>0</v>
      </c>
      <c r="AA162">
        <v>0</v>
      </c>
      <c r="AB162">
        <v>9</v>
      </c>
      <c r="AC162">
        <v>3</v>
      </c>
      <c r="AD162">
        <v>0</v>
      </c>
      <c r="AE162">
        <v>9</v>
      </c>
      <c r="AF162" t="s">
        <v>128</v>
      </c>
      <c r="AG162">
        <v>0</v>
      </c>
      <c r="AH162">
        <v>0</v>
      </c>
      <c r="AI162">
        <v>1</v>
      </c>
      <c r="AJ162">
        <v>0</v>
      </c>
      <c r="AK162" t="s">
        <v>214</v>
      </c>
      <c r="AL162">
        <v>33.670262999999998</v>
      </c>
      <c r="AM162" t="s">
        <v>215</v>
      </c>
      <c r="AN162">
        <v>-101.202793</v>
      </c>
      <c r="AO162">
        <v>100</v>
      </c>
      <c r="AP162">
        <v>3300</v>
      </c>
      <c r="AQ162" t="s">
        <v>131</v>
      </c>
      <c r="AR162">
        <v>-20</v>
      </c>
      <c r="AS162">
        <v>79</v>
      </c>
      <c r="AT162">
        <v>-128</v>
      </c>
      <c r="BB162" t="str">
        <f t="shared" si="13"/>
        <v>1200</v>
      </c>
      <c r="BC162">
        <v>1</v>
      </c>
      <c r="BD162" t="str">
        <f t="shared" si="14"/>
        <v xml:space="preserve">N445JS  </v>
      </c>
      <c r="BE162">
        <v>7</v>
      </c>
      <c r="BG162">
        <v>0</v>
      </c>
      <c r="BH162">
        <v>0</v>
      </c>
      <c r="BI162">
        <v>0</v>
      </c>
      <c r="BJ162">
        <v>3100</v>
      </c>
      <c r="BK162">
        <v>-200</v>
      </c>
      <c r="BL162" t="s">
        <v>132</v>
      </c>
      <c r="BM162">
        <v>1</v>
      </c>
      <c r="BN162">
        <v>1</v>
      </c>
      <c r="BO162">
        <v>1</v>
      </c>
      <c r="BP162">
        <v>0</v>
      </c>
      <c r="BT162">
        <v>0</v>
      </c>
      <c r="BU162">
        <v>0</v>
      </c>
      <c r="CE162" t="str">
        <f>"15:38:10.989"</f>
        <v>15:38:10.989</v>
      </c>
      <c r="CF162">
        <v>989281747</v>
      </c>
      <c r="CS162">
        <v>0</v>
      </c>
      <c r="CT162">
        <v>2</v>
      </c>
      <c r="CU162">
        <v>0</v>
      </c>
      <c r="CV162">
        <v>2</v>
      </c>
      <c r="CW162">
        <v>0</v>
      </c>
      <c r="CX162">
        <v>7</v>
      </c>
      <c r="CY162">
        <v>7</v>
      </c>
      <c r="CZ162" t="s">
        <v>133</v>
      </c>
      <c r="DA162">
        <v>125</v>
      </c>
      <c r="DB162">
        <v>1</v>
      </c>
      <c r="DC162" t="s">
        <v>134</v>
      </c>
      <c r="DD162" t="s">
        <v>135</v>
      </c>
      <c r="DG162">
        <v>2481488</v>
      </c>
      <c r="DI162">
        <v>0</v>
      </c>
      <c r="DJ162">
        <v>0</v>
      </c>
      <c r="DK162">
        <v>0</v>
      </c>
      <c r="DL162">
        <v>0</v>
      </c>
      <c r="DM162">
        <v>0</v>
      </c>
      <c r="DN162">
        <v>0</v>
      </c>
      <c r="DO162">
        <v>0</v>
      </c>
      <c r="DP162">
        <v>0</v>
      </c>
      <c r="DQ162">
        <v>0</v>
      </c>
      <c r="DR162">
        <v>0</v>
      </c>
      <c r="DS162">
        <v>0</v>
      </c>
    </row>
    <row r="163" spans="1:123" x14ac:dyDescent="0.25">
      <c r="A163" t="str">
        <f>"04/17/2026 15:38:11.264"</f>
        <v>04/17/2026 15:38:11.264</v>
      </c>
      <c r="C163" t="str">
        <f t="shared" si="11"/>
        <v>FFDFD3C0</v>
      </c>
      <c r="D163" t="s">
        <v>124</v>
      </c>
      <c r="E163" t="str">
        <f>"03"</f>
        <v>03</v>
      </c>
      <c r="H163">
        <v>160</v>
      </c>
      <c r="I163" t="s">
        <v>125</v>
      </c>
      <c r="J163" t="s">
        <v>126</v>
      </c>
      <c r="K163">
        <v>0</v>
      </c>
      <c r="L163">
        <v>3</v>
      </c>
      <c r="M163">
        <v>0</v>
      </c>
      <c r="N163">
        <v>2</v>
      </c>
      <c r="O163">
        <v>1</v>
      </c>
      <c r="P163">
        <v>0</v>
      </c>
      <c r="Q163">
        <v>0</v>
      </c>
      <c r="R163" t="s">
        <v>127</v>
      </c>
      <c r="S163" t="str">
        <f>"15:38:10.984"</f>
        <v>15:38:10.984</v>
      </c>
      <c r="T163" t="str">
        <f>"15:38:10.784"</f>
        <v>15:38:10.784</v>
      </c>
      <c r="U163" t="str">
        <f t="shared" si="12"/>
        <v>A55E09</v>
      </c>
      <c r="V163">
        <v>0</v>
      </c>
      <c r="W163">
        <v>0</v>
      </c>
      <c r="X163">
        <v>2</v>
      </c>
      <c r="Y163">
        <v>0</v>
      </c>
      <c r="AA163">
        <v>0</v>
      </c>
      <c r="AB163">
        <v>9</v>
      </c>
      <c r="AC163">
        <v>3</v>
      </c>
      <c r="AD163">
        <v>0</v>
      </c>
      <c r="AE163">
        <v>9</v>
      </c>
      <c r="AF163" t="s">
        <v>128</v>
      </c>
      <c r="AG163">
        <v>0</v>
      </c>
      <c r="AH163">
        <v>0</v>
      </c>
      <c r="AI163">
        <v>1</v>
      </c>
      <c r="AJ163">
        <v>0</v>
      </c>
      <c r="AK163" t="s">
        <v>214</v>
      </c>
      <c r="AL163">
        <v>33.670262999999998</v>
      </c>
      <c r="AM163" t="s">
        <v>215</v>
      </c>
      <c r="AN163">
        <v>-101.202793</v>
      </c>
      <c r="AO163">
        <v>100</v>
      </c>
      <c r="AP163">
        <v>3300</v>
      </c>
      <c r="AQ163" t="s">
        <v>131</v>
      </c>
      <c r="AR163">
        <v>-20</v>
      </c>
      <c r="AS163">
        <v>79</v>
      </c>
      <c r="AT163">
        <v>-128</v>
      </c>
      <c r="BB163" t="str">
        <f t="shared" si="13"/>
        <v>1200</v>
      </c>
      <c r="BC163">
        <v>1</v>
      </c>
      <c r="BD163" t="str">
        <f t="shared" si="14"/>
        <v xml:space="preserve">N445JS  </v>
      </c>
      <c r="BE163">
        <v>7</v>
      </c>
      <c r="BG163">
        <v>0</v>
      </c>
      <c r="BH163">
        <v>0</v>
      </c>
      <c r="BI163">
        <v>0</v>
      </c>
      <c r="BJ163">
        <v>3100</v>
      </c>
      <c r="BK163">
        <v>-200</v>
      </c>
      <c r="BL163" t="s">
        <v>132</v>
      </c>
      <c r="BM163">
        <v>1</v>
      </c>
      <c r="BN163">
        <v>1</v>
      </c>
      <c r="BO163">
        <v>1</v>
      </c>
      <c r="BP163">
        <v>0</v>
      </c>
      <c r="BT163">
        <v>0</v>
      </c>
      <c r="BU163">
        <v>0</v>
      </c>
      <c r="CE163" t="str">
        <f>"15:38:10.989"</f>
        <v>15:38:10.989</v>
      </c>
      <c r="CF163">
        <v>989281747</v>
      </c>
      <c r="CS163">
        <v>0</v>
      </c>
      <c r="CT163">
        <v>2</v>
      </c>
      <c r="CU163">
        <v>0</v>
      </c>
      <c r="CV163">
        <v>2</v>
      </c>
      <c r="CW163">
        <v>0</v>
      </c>
      <c r="CX163">
        <v>7</v>
      </c>
      <c r="CY163">
        <v>7</v>
      </c>
      <c r="CZ163" t="s">
        <v>133</v>
      </c>
      <c r="DA163">
        <v>125</v>
      </c>
      <c r="DB163">
        <v>1</v>
      </c>
      <c r="DC163" t="s">
        <v>134</v>
      </c>
      <c r="DD163" t="s">
        <v>135</v>
      </c>
      <c r="DG163">
        <v>2481488</v>
      </c>
      <c r="DI163">
        <v>0</v>
      </c>
      <c r="DJ163">
        <v>0</v>
      </c>
      <c r="DK163">
        <v>1</v>
      </c>
      <c r="DL163">
        <v>0</v>
      </c>
      <c r="DM163">
        <v>0</v>
      </c>
      <c r="DN163">
        <v>0</v>
      </c>
      <c r="DO163">
        <v>0</v>
      </c>
      <c r="DP163">
        <v>0</v>
      </c>
      <c r="DQ163">
        <v>0</v>
      </c>
      <c r="DR163">
        <v>0</v>
      </c>
      <c r="DS163">
        <v>0</v>
      </c>
    </row>
    <row r="164" spans="1:123" x14ac:dyDescent="0.25">
      <c r="A164" t="str">
        <f>"04/17/2026 15:38:11.265"</f>
        <v>04/17/2026 15:38:11.265</v>
      </c>
      <c r="C164" t="str">
        <f t="shared" si="11"/>
        <v>FFDFD3C0</v>
      </c>
      <c r="D164" t="s">
        <v>136</v>
      </c>
      <c r="E164" t="str">
        <f>"0F"</f>
        <v>0F</v>
      </c>
      <c r="F164">
        <v>1015</v>
      </c>
      <c r="G164" t="s">
        <v>138</v>
      </c>
      <c r="J164" t="s">
        <v>137</v>
      </c>
      <c r="K164">
        <v>0</v>
      </c>
      <c r="L164">
        <v>3</v>
      </c>
      <c r="M164">
        <v>0</v>
      </c>
      <c r="N164">
        <v>2</v>
      </c>
      <c r="O164">
        <v>1</v>
      </c>
      <c r="P164">
        <v>0</v>
      </c>
      <c r="Q164">
        <v>0</v>
      </c>
      <c r="R164" t="s">
        <v>127</v>
      </c>
      <c r="S164" t="str">
        <f>"15:38:10.984"</f>
        <v>15:38:10.984</v>
      </c>
      <c r="T164" t="str">
        <f>"15:38:10.784"</f>
        <v>15:38:10.784</v>
      </c>
      <c r="U164" t="str">
        <f t="shared" si="12"/>
        <v>A55E09</v>
      </c>
      <c r="V164">
        <v>0</v>
      </c>
      <c r="W164">
        <v>0</v>
      </c>
      <c r="X164">
        <v>2</v>
      </c>
      <c r="Y164">
        <v>0</v>
      </c>
      <c r="AA164">
        <v>0</v>
      </c>
      <c r="AB164">
        <v>9</v>
      </c>
      <c r="AC164">
        <v>3</v>
      </c>
      <c r="AD164">
        <v>0</v>
      </c>
      <c r="AE164">
        <v>9</v>
      </c>
      <c r="AF164" t="s">
        <v>128</v>
      </c>
      <c r="AG164">
        <v>0</v>
      </c>
      <c r="AH164">
        <v>0</v>
      </c>
      <c r="AI164">
        <v>1</v>
      </c>
      <c r="AJ164">
        <v>0</v>
      </c>
      <c r="AK164" t="s">
        <v>214</v>
      </c>
      <c r="AL164">
        <v>33.670262999999998</v>
      </c>
      <c r="AM164" t="s">
        <v>215</v>
      </c>
      <c r="AN164">
        <v>-101.202793</v>
      </c>
      <c r="AO164">
        <v>100</v>
      </c>
      <c r="AP164">
        <v>3300</v>
      </c>
      <c r="AQ164" t="s">
        <v>131</v>
      </c>
      <c r="AR164">
        <v>-20</v>
      </c>
      <c r="AS164">
        <v>79</v>
      </c>
      <c r="AT164">
        <v>-128</v>
      </c>
      <c r="BB164" t="str">
        <f t="shared" si="13"/>
        <v>1200</v>
      </c>
      <c r="BC164">
        <v>1</v>
      </c>
      <c r="BD164" t="str">
        <f t="shared" si="14"/>
        <v xml:space="preserve">N445JS  </v>
      </c>
      <c r="BE164">
        <v>7</v>
      </c>
      <c r="BG164">
        <v>0</v>
      </c>
      <c r="BH164">
        <v>0</v>
      </c>
      <c r="BI164">
        <v>0</v>
      </c>
      <c r="BJ164">
        <v>3100</v>
      </c>
      <c r="BK164">
        <v>-200</v>
      </c>
      <c r="BL164" t="s">
        <v>132</v>
      </c>
      <c r="BM164">
        <v>1</v>
      </c>
      <c r="BN164">
        <v>1</v>
      </c>
      <c r="BO164">
        <v>1</v>
      </c>
      <c r="BP164">
        <v>0</v>
      </c>
      <c r="BT164">
        <v>0</v>
      </c>
      <c r="BU164">
        <v>0</v>
      </c>
      <c r="CE164" t="str">
        <f>"15:38:10.989"</f>
        <v>15:38:10.989</v>
      </c>
      <c r="CF164">
        <v>989281747</v>
      </c>
      <c r="CS164">
        <v>0</v>
      </c>
      <c r="CT164">
        <v>2</v>
      </c>
      <c r="CU164">
        <v>0</v>
      </c>
      <c r="CV164">
        <v>2</v>
      </c>
      <c r="CW164">
        <v>0</v>
      </c>
      <c r="CX164">
        <v>7</v>
      </c>
      <c r="CY164">
        <v>7</v>
      </c>
      <c r="CZ164" t="s">
        <v>133</v>
      </c>
      <c r="DA164">
        <v>125</v>
      </c>
      <c r="DB164">
        <v>1</v>
      </c>
      <c r="DC164" t="s">
        <v>134</v>
      </c>
      <c r="DD164" t="s">
        <v>135</v>
      </c>
      <c r="DG164">
        <v>2481488</v>
      </c>
      <c r="DI164">
        <v>0</v>
      </c>
      <c r="DJ164">
        <v>0</v>
      </c>
      <c r="DK164">
        <v>1</v>
      </c>
      <c r="DL164">
        <v>0</v>
      </c>
      <c r="DM164">
        <v>0</v>
      </c>
      <c r="DN164">
        <v>0</v>
      </c>
      <c r="DO164">
        <v>0</v>
      </c>
      <c r="DP164">
        <v>0</v>
      </c>
      <c r="DQ164">
        <v>0</v>
      </c>
      <c r="DR164">
        <v>0</v>
      </c>
      <c r="DS164">
        <v>0</v>
      </c>
    </row>
    <row r="165" spans="1:123" x14ac:dyDescent="0.25">
      <c r="A165" t="str">
        <f>"04/17/2026 15:38:11.264"</f>
        <v>04/17/2026 15:38:11.264</v>
      </c>
      <c r="C165" t="str">
        <f t="shared" si="11"/>
        <v>FFDFD3C0</v>
      </c>
      <c r="D165" t="s">
        <v>136</v>
      </c>
      <c r="E165" t="str">
        <f>"0E"</f>
        <v>0E</v>
      </c>
      <c r="F165">
        <v>1014</v>
      </c>
      <c r="G165" t="s">
        <v>125</v>
      </c>
      <c r="J165" t="s">
        <v>137</v>
      </c>
      <c r="K165">
        <v>0</v>
      </c>
      <c r="L165">
        <v>3</v>
      </c>
      <c r="M165">
        <v>0</v>
      </c>
      <c r="N165">
        <v>2</v>
      </c>
      <c r="O165">
        <v>1</v>
      </c>
      <c r="P165">
        <v>0</v>
      </c>
      <c r="Q165">
        <v>0</v>
      </c>
      <c r="R165" t="s">
        <v>127</v>
      </c>
      <c r="S165" t="str">
        <f>"15:38:10.984"</f>
        <v>15:38:10.984</v>
      </c>
      <c r="T165" t="str">
        <f>"15:38:10.784"</f>
        <v>15:38:10.784</v>
      </c>
      <c r="U165" t="str">
        <f t="shared" si="12"/>
        <v>A55E09</v>
      </c>
      <c r="V165">
        <v>0</v>
      </c>
      <c r="W165">
        <v>0</v>
      </c>
      <c r="X165">
        <v>2</v>
      </c>
      <c r="Y165">
        <v>0</v>
      </c>
      <c r="AA165">
        <v>0</v>
      </c>
      <c r="AB165">
        <v>9</v>
      </c>
      <c r="AC165">
        <v>3</v>
      </c>
      <c r="AD165">
        <v>0</v>
      </c>
      <c r="AE165">
        <v>9</v>
      </c>
      <c r="AF165" t="s">
        <v>128</v>
      </c>
      <c r="AG165">
        <v>0</v>
      </c>
      <c r="AH165">
        <v>0</v>
      </c>
      <c r="AI165">
        <v>1</v>
      </c>
      <c r="AJ165">
        <v>0</v>
      </c>
      <c r="AK165" t="s">
        <v>214</v>
      </c>
      <c r="AL165">
        <v>33.670262999999998</v>
      </c>
      <c r="AM165" t="s">
        <v>215</v>
      </c>
      <c r="AN165">
        <v>-101.202793</v>
      </c>
      <c r="AO165">
        <v>100</v>
      </c>
      <c r="AP165">
        <v>3300</v>
      </c>
      <c r="AQ165" t="s">
        <v>131</v>
      </c>
      <c r="AR165">
        <v>-20</v>
      </c>
      <c r="AS165">
        <v>79</v>
      </c>
      <c r="AT165">
        <v>-128</v>
      </c>
      <c r="BB165" t="str">
        <f t="shared" si="13"/>
        <v>1200</v>
      </c>
      <c r="BC165">
        <v>1</v>
      </c>
      <c r="BD165" t="str">
        <f t="shared" si="14"/>
        <v xml:space="preserve">N445JS  </v>
      </c>
      <c r="BE165">
        <v>7</v>
      </c>
      <c r="BG165">
        <v>0</v>
      </c>
      <c r="BH165">
        <v>0</v>
      </c>
      <c r="BI165">
        <v>0</v>
      </c>
      <c r="BJ165">
        <v>3100</v>
      </c>
      <c r="BK165">
        <v>-200</v>
      </c>
      <c r="BL165" t="s">
        <v>132</v>
      </c>
      <c r="BM165">
        <v>1</v>
      </c>
      <c r="BN165">
        <v>1</v>
      </c>
      <c r="BO165">
        <v>1</v>
      </c>
      <c r="BP165">
        <v>0</v>
      </c>
      <c r="BT165">
        <v>0</v>
      </c>
      <c r="BU165">
        <v>0</v>
      </c>
      <c r="CE165" t="str">
        <f>"15:38:10.989"</f>
        <v>15:38:10.989</v>
      </c>
      <c r="CF165">
        <v>989281747</v>
      </c>
      <c r="CS165">
        <v>0</v>
      </c>
      <c r="CT165">
        <v>2</v>
      </c>
      <c r="CU165">
        <v>0</v>
      </c>
      <c r="CV165">
        <v>2</v>
      </c>
      <c r="CW165">
        <v>0</v>
      </c>
      <c r="CX165">
        <v>7</v>
      </c>
      <c r="CY165">
        <v>7</v>
      </c>
      <c r="CZ165" t="s">
        <v>133</v>
      </c>
      <c r="DA165">
        <v>125</v>
      </c>
      <c r="DB165">
        <v>1</v>
      </c>
      <c r="DC165" t="s">
        <v>134</v>
      </c>
      <c r="DD165" t="s">
        <v>135</v>
      </c>
      <c r="DG165">
        <v>2481488</v>
      </c>
      <c r="DI165">
        <v>0</v>
      </c>
      <c r="DJ165">
        <v>0</v>
      </c>
      <c r="DK165">
        <v>1</v>
      </c>
      <c r="DL165">
        <v>0</v>
      </c>
      <c r="DM165">
        <v>0</v>
      </c>
      <c r="DN165">
        <v>0</v>
      </c>
      <c r="DO165">
        <v>0</v>
      </c>
      <c r="DP165">
        <v>0</v>
      </c>
      <c r="DQ165">
        <v>0</v>
      </c>
      <c r="DR165">
        <v>0</v>
      </c>
      <c r="DS165">
        <v>0</v>
      </c>
    </row>
    <row r="166" spans="1:123" x14ac:dyDescent="0.25">
      <c r="A166" t="str">
        <f>"04/17/2026 15:38:12.166"</f>
        <v>04/17/2026 15:38:12.166</v>
      </c>
      <c r="C166" t="str">
        <f t="shared" si="11"/>
        <v>FFDFD3C0</v>
      </c>
      <c r="D166" t="s">
        <v>124</v>
      </c>
      <c r="E166" t="str">
        <f>"03"</f>
        <v>03</v>
      </c>
      <c r="H166">
        <v>160</v>
      </c>
      <c r="I166" t="s">
        <v>125</v>
      </c>
      <c r="J166" t="s">
        <v>126</v>
      </c>
      <c r="K166">
        <v>0</v>
      </c>
      <c r="L166">
        <v>3</v>
      </c>
      <c r="M166">
        <v>0</v>
      </c>
      <c r="N166">
        <v>2</v>
      </c>
      <c r="O166">
        <v>1</v>
      </c>
      <c r="P166">
        <v>0</v>
      </c>
      <c r="Q166">
        <v>0</v>
      </c>
      <c r="R166" t="s">
        <v>127</v>
      </c>
      <c r="S166" t="str">
        <f>"15:38:11.898"</f>
        <v>15:38:11.898</v>
      </c>
      <c r="T166" t="str">
        <f>"15:38:11.798"</f>
        <v>15:38:11.798</v>
      </c>
      <c r="U166" t="str">
        <f t="shared" si="12"/>
        <v>A55E09</v>
      </c>
      <c r="V166">
        <v>0</v>
      </c>
      <c r="W166">
        <v>0</v>
      </c>
      <c r="X166">
        <v>2</v>
      </c>
      <c r="Y166">
        <v>0</v>
      </c>
      <c r="AA166">
        <v>0</v>
      </c>
      <c r="AB166">
        <v>9</v>
      </c>
      <c r="AC166">
        <v>3</v>
      </c>
      <c r="AD166">
        <v>0</v>
      </c>
      <c r="AE166">
        <v>9</v>
      </c>
      <c r="AF166" t="s">
        <v>128</v>
      </c>
      <c r="AG166">
        <v>0</v>
      </c>
      <c r="AH166">
        <v>0</v>
      </c>
      <c r="AI166">
        <v>1</v>
      </c>
      <c r="AJ166">
        <v>0</v>
      </c>
      <c r="AK166" t="s">
        <v>216</v>
      </c>
      <c r="AL166">
        <v>33.670628000000001</v>
      </c>
      <c r="AM166" t="s">
        <v>217</v>
      </c>
      <c r="AN166">
        <v>-101.202922</v>
      </c>
      <c r="AO166">
        <v>100</v>
      </c>
      <c r="AP166">
        <v>3300</v>
      </c>
      <c r="AQ166" t="s">
        <v>131</v>
      </c>
      <c r="AR166">
        <v>-20</v>
      </c>
      <c r="AS166">
        <v>79</v>
      </c>
      <c r="AT166">
        <v>-128</v>
      </c>
      <c r="BB166" t="str">
        <f t="shared" si="13"/>
        <v>1200</v>
      </c>
      <c r="BC166">
        <v>1</v>
      </c>
      <c r="BD166" t="str">
        <f t="shared" si="14"/>
        <v xml:space="preserve">N445JS  </v>
      </c>
      <c r="BE166">
        <v>7</v>
      </c>
      <c r="BG166">
        <v>0</v>
      </c>
      <c r="BH166">
        <v>0</v>
      </c>
      <c r="BI166">
        <v>0</v>
      </c>
      <c r="BJ166">
        <v>3100</v>
      </c>
      <c r="BK166">
        <v>-200</v>
      </c>
      <c r="BL166" t="s">
        <v>132</v>
      </c>
      <c r="BM166">
        <v>1</v>
      </c>
      <c r="BN166">
        <v>1</v>
      </c>
      <c r="BO166">
        <v>1</v>
      </c>
      <c r="BP166">
        <v>0</v>
      </c>
      <c r="BT166">
        <v>0</v>
      </c>
      <c r="BU166">
        <v>0</v>
      </c>
      <c r="CE166" t="str">
        <f>"15:38:11.904"</f>
        <v>15:38:11.904</v>
      </c>
      <c r="CF166">
        <v>904192035</v>
      </c>
      <c r="CS166">
        <v>0</v>
      </c>
      <c r="CT166">
        <v>2</v>
      </c>
      <c r="CU166">
        <v>0</v>
      </c>
      <c r="CV166">
        <v>2</v>
      </c>
      <c r="CW166">
        <v>0</v>
      </c>
      <c r="CX166">
        <v>7</v>
      </c>
      <c r="CY166">
        <v>7</v>
      </c>
      <c r="CZ166" t="s">
        <v>133</v>
      </c>
      <c r="DA166">
        <v>125</v>
      </c>
      <c r="DB166">
        <v>1</v>
      </c>
      <c r="DC166" t="s">
        <v>134</v>
      </c>
      <c r="DD166" t="s">
        <v>135</v>
      </c>
      <c r="DG166">
        <v>2482407</v>
      </c>
      <c r="DI166">
        <v>0</v>
      </c>
      <c r="DJ166">
        <v>0</v>
      </c>
      <c r="DK166">
        <v>0</v>
      </c>
      <c r="DL166">
        <v>0</v>
      </c>
      <c r="DM166">
        <v>0</v>
      </c>
      <c r="DN166">
        <v>0</v>
      </c>
      <c r="DO166">
        <v>0</v>
      </c>
      <c r="DP166">
        <v>0</v>
      </c>
      <c r="DQ166">
        <v>0</v>
      </c>
      <c r="DR166">
        <v>0</v>
      </c>
      <c r="DS166">
        <v>0</v>
      </c>
    </row>
    <row r="167" spans="1:123" x14ac:dyDescent="0.25">
      <c r="A167" t="str">
        <f>"04/17/2026 15:38:12.167"</f>
        <v>04/17/2026 15:38:12.167</v>
      </c>
      <c r="C167" t="str">
        <f t="shared" si="11"/>
        <v>FFDFD3C0</v>
      </c>
      <c r="D167" t="s">
        <v>136</v>
      </c>
      <c r="E167" t="str">
        <f>"0F"</f>
        <v>0F</v>
      </c>
      <c r="F167">
        <v>1015</v>
      </c>
      <c r="G167" t="s">
        <v>138</v>
      </c>
      <c r="J167" t="s">
        <v>137</v>
      </c>
      <c r="K167">
        <v>0</v>
      </c>
      <c r="L167">
        <v>3</v>
      </c>
      <c r="M167">
        <v>0</v>
      </c>
      <c r="N167">
        <v>2</v>
      </c>
      <c r="O167">
        <v>1</v>
      </c>
      <c r="P167">
        <v>0</v>
      </c>
      <c r="Q167">
        <v>0</v>
      </c>
      <c r="R167" t="s">
        <v>127</v>
      </c>
      <c r="S167" t="str">
        <f>"15:38:11.898"</f>
        <v>15:38:11.898</v>
      </c>
      <c r="T167" t="str">
        <f>"15:38:11.798"</f>
        <v>15:38:11.798</v>
      </c>
      <c r="U167" t="str">
        <f t="shared" si="12"/>
        <v>A55E09</v>
      </c>
      <c r="V167">
        <v>0</v>
      </c>
      <c r="W167">
        <v>0</v>
      </c>
      <c r="X167">
        <v>2</v>
      </c>
      <c r="Y167">
        <v>0</v>
      </c>
      <c r="AA167">
        <v>0</v>
      </c>
      <c r="AB167">
        <v>9</v>
      </c>
      <c r="AC167">
        <v>3</v>
      </c>
      <c r="AD167">
        <v>0</v>
      </c>
      <c r="AE167">
        <v>9</v>
      </c>
      <c r="AF167" t="s">
        <v>128</v>
      </c>
      <c r="AG167">
        <v>0</v>
      </c>
      <c r="AH167">
        <v>0</v>
      </c>
      <c r="AI167">
        <v>1</v>
      </c>
      <c r="AJ167">
        <v>0</v>
      </c>
      <c r="AK167" t="s">
        <v>216</v>
      </c>
      <c r="AL167">
        <v>33.670628000000001</v>
      </c>
      <c r="AM167" t="s">
        <v>217</v>
      </c>
      <c r="AN167">
        <v>-101.202922</v>
      </c>
      <c r="AO167">
        <v>100</v>
      </c>
      <c r="AP167">
        <v>3300</v>
      </c>
      <c r="AQ167" t="s">
        <v>131</v>
      </c>
      <c r="AR167">
        <v>-20</v>
      </c>
      <c r="AS167">
        <v>79</v>
      </c>
      <c r="AT167">
        <v>-128</v>
      </c>
      <c r="BB167" t="str">
        <f t="shared" si="13"/>
        <v>1200</v>
      </c>
      <c r="BC167">
        <v>1</v>
      </c>
      <c r="BD167" t="str">
        <f t="shared" si="14"/>
        <v xml:space="preserve">N445JS  </v>
      </c>
      <c r="BE167">
        <v>7</v>
      </c>
      <c r="BG167">
        <v>0</v>
      </c>
      <c r="BH167">
        <v>0</v>
      </c>
      <c r="BI167">
        <v>0</v>
      </c>
      <c r="BJ167">
        <v>3100</v>
      </c>
      <c r="BK167">
        <v>-200</v>
      </c>
      <c r="BL167" t="s">
        <v>132</v>
      </c>
      <c r="BM167">
        <v>1</v>
      </c>
      <c r="BN167">
        <v>1</v>
      </c>
      <c r="BO167">
        <v>1</v>
      </c>
      <c r="BP167">
        <v>0</v>
      </c>
      <c r="BT167">
        <v>0</v>
      </c>
      <c r="BU167">
        <v>0</v>
      </c>
      <c r="CE167" t="str">
        <f>"15:38:11.904"</f>
        <v>15:38:11.904</v>
      </c>
      <c r="CF167">
        <v>904192035</v>
      </c>
      <c r="CS167">
        <v>0</v>
      </c>
      <c r="CT167">
        <v>2</v>
      </c>
      <c r="CU167">
        <v>0</v>
      </c>
      <c r="CV167">
        <v>2</v>
      </c>
      <c r="CW167">
        <v>0</v>
      </c>
      <c r="CX167">
        <v>7</v>
      </c>
      <c r="CY167">
        <v>7</v>
      </c>
      <c r="CZ167" t="s">
        <v>133</v>
      </c>
      <c r="DA167">
        <v>125</v>
      </c>
      <c r="DB167">
        <v>1</v>
      </c>
      <c r="DC167" t="s">
        <v>134</v>
      </c>
      <c r="DD167" t="s">
        <v>135</v>
      </c>
      <c r="DG167">
        <v>2482407</v>
      </c>
      <c r="DI167">
        <v>0</v>
      </c>
      <c r="DJ167">
        <v>0</v>
      </c>
      <c r="DK167">
        <v>1</v>
      </c>
      <c r="DL167">
        <v>0</v>
      </c>
      <c r="DM167">
        <v>0</v>
      </c>
      <c r="DN167">
        <v>0</v>
      </c>
      <c r="DO167">
        <v>0</v>
      </c>
      <c r="DP167">
        <v>0</v>
      </c>
      <c r="DQ167">
        <v>0</v>
      </c>
      <c r="DR167">
        <v>0</v>
      </c>
      <c r="DS167">
        <v>0</v>
      </c>
    </row>
    <row r="168" spans="1:123" x14ac:dyDescent="0.25">
      <c r="A168" t="str">
        <f>"04/17/2026 15:38:12.166"</f>
        <v>04/17/2026 15:38:12.166</v>
      </c>
      <c r="C168" t="str">
        <f t="shared" si="11"/>
        <v>FFDFD3C0</v>
      </c>
      <c r="D168" t="s">
        <v>136</v>
      </c>
      <c r="E168" t="str">
        <f>"0E"</f>
        <v>0E</v>
      </c>
      <c r="F168">
        <v>1014</v>
      </c>
      <c r="G168" t="s">
        <v>125</v>
      </c>
      <c r="J168" t="s">
        <v>137</v>
      </c>
      <c r="K168">
        <v>0</v>
      </c>
      <c r="L168">
        <v>3</v>
      </c>
      <c r="M168">
        <v>0</v>
      </c>
      <c r="N168">
        <v>2</v>
      </c>
      <c r="O168">
        <v>1</v>
      </c>
      <c r="P168">
        <v>0</v>
      </c>
      <c r="Q168">
        <v>0</v>
      </c>
      <c r="R168" t="s">
        <v>127</v>
      </c>
      <c r="S168" t="str">
        <f>"15:38:11.898"</f>
        <v>15:38:11.898</v>
      </c>
      <c r="T168" t="str">
        <f>"15:38:11.798"</f>
        <v>15:38:11.798</v>
      </c>
      <c r="U168" t="str">
        <f t="shared" si="12"/>
        <v>A55E09</v>
      </c>
      <c r="V168">
        <v>0</v>
      </c>
      <c r="W168">
        <v>0</v>
      </c>
      <c r="X168">
        <v>2</v>
      </c>
      <c r="Y168">
        <v>0</v>
      </c>
      <c r="AA168">
        <v>0</v>
      </c>
      <c r="AB168">
        <v>9</v>
      </c>
      <c r="AC168">
        <v>3</v>
      </c>
      <c r="AD168">
        <v>0</v>
      </c>
      <c r="AE168">
        <v>9</v>
      </c>
      <c r="AF168" t="s">
        <v>128</v>
      </c>
      <c r="AG168">
        <v>0</v>
      </c>
      <c r="AH168">
        <v>0</v>
      </c>
      <c r="AI168">
        <v>1</v>
      </c>
      <c r="AJ168">
        <v>0</v>
      </c>
      <c r="AK168" t="s">
        <v>216</v>
      </c>
      <c r="AL168">
        <v>33.670628000000001</v>
      </c>
      <c r="AM168" t="s">
        <v>217</v>
      </c>
      <c r="AN168">
        <v>-101.202922</v>
      </c>
      <c r="AO168">
        <v>100</v>
      </c>
      <c r="AP168">
        <v>3300</v>
      </c>
      <c r="AQ168" t="s">
        <v>131</v>
      </c>
      <c r="AR168">
        <v>-20</v>
      </c>
      <c r="AS168">
        <v>79</v>
      </c>
      <c r="AT168">
        <v>-128</v>
      </c>
      <c r="BB168" t="str">
        <f t="shared" si="13"/>
        <v>1200</v>
      </c>
      <c r="BC168">
        <v>1</v>
      </c>
      <c r="BD168" t="str">
        <f t="shared" si="14"/>
        <v xml:space="preserve">N445JS  </v>
      </c>
      <c r="BE168">
        <v>7</v>
      </c>
      <c r="BG168">
        <v>0</v>
      </c>
      <c r="BH168">
        <v>0</v>
      </c>
      <c r="BI168">
        <v>0</v>
      </c>
      <c r="BJ168">
        <v>3100</v>
      </c>
      <c r="BK168">
        <v>-200</v>
      </c>
      <c r="BL168" t="s">
        <v>132</v>
      </c>
      <c r="BM168">
        <v>1</v>
      </c>
      <c r="BN168">
        <v>1</v>
      </c>
      <c r="BO168">
        <v>1</v>
      </c>
      <c r="BP168">
        <v>0</v>
      </c>
      <c r="BT168">
        <v>0</v>
      </c>
      <c r="BU168">
        <v>0</v>
      </c>
      <c r="CE168" t="str">
        <f>"15:38:11.904"</f>
        <v>15:38:11.904</v>
      </c>
      <c r="CF168">
        <v>904192035</v>
      </c>
      <c r="CS168">
        <v>0</v>
      </c>
      <c r="CT168">
        <v>2</v>
      </c>
      <c r="CU168">
        <v>0</v>
      </c>
      <c r="CV168">
        <v>2</v>
      </c>
      <c r="CW168">
        <v>0</v>
      </c>
      <c r="CX168">
        <v>7</v>
      </c>
      <c r="CY168">
        <v>7</v>
      </c>
      <c r="CZ168" t="s">
        <v>133</v>
      </c>
      <c r="DA168">
        <v>125</v>
      </c>
      <c r="DB168">
        <v>1</v>
      </c>
      <c r="DC168" t="s">
        <v>134</v>
      </c>
      <c r="DD168" t="s">
        <v>135</v>
      </c>
      <c r="DG168">
        <v>2482407</v>
      </c>
      <c r="DI168">
        <v>0</v>
      </c>
      <c r="DJ168">
        <v>0</v>
      </c>
      <c r="DK168">
        <v>1</v>
      </c>
      <c r="DL168">
        <v>0</v>
      </c>
      <c r="DM168">
        <v>0</v>
      </c>
      <c r="DN168">
        <v>0</v>
      </c>
      <c r="DO168">
        <v>0</v>
      </c>
      <c r="DP168">
        <v>0</v>
      </c>
      <c r="DQ168">
        <v>0</v>
      </c>
      <c r="DR168">
        <v>0</v>
      </c>
      <c r="DS168">
        <v>0</v>
      </c>
    </row>
    <row r="169" spans="1:123" x14ac:dyDescent="0.25">
      <c r="A169" t="str">
        <f>"04/17/2026 15:38:12.192"</f>
        <v>04/17/2026 15:38:12.192</v>
      </c>
      <c r="C169" t="str">
        <f t="shared" si="11"/>
        <v>FFDFD3C0</v>
      </c>
      <c r="D169" t="s">
        <v>139</v>
      </c>
      <c r="E169" t="str">
        <f>"28"</f>
        <v>28</v>
      </c>
      <c r="H169">
        <v>140</v>
      </c>
      <c r="I169" t="s">
        <v>140</v>
      </c>
      <c r="J169" t="s">
        <v>141</v>
      </c>
      <c r="K169">
        <v>0</v>
      </c>
      <c r="L169">
        <v>3</v>
      </c>
      <c r="M169">
        <v>0</v>
      </c>
      <c r="N169">
        <v>2</v>
      </c>
      <c r="O169">
        <v>1</v>
      </c>
      <c r="P169">
        <v>0</v>
      </c>
      <c r="Q169">
        <v>0</v>
      </c>
      <c r="R169" t="s">
        <v>127</v>
      </c>
      <c r="S169" t="str">
        <f>"15:38:11.898"</f>
        <v>15:38:11.898</v>
      </c>
      <c r="T169" t="str">
        <f>"15:38:11.798"</f>
        <v>15:38:11.798</v>
      </c>
      <c r="U169" t="str">
        <f t="shared" si="12"/>
        <v>A55E09</v>
      </c>
      <c r="V169">
        <v>0</v>
      </c>
      <c r="W169">
        <v>0</v>
      </c>
      <c r="X169">
        <v>2</v>
      </c>
      <c r="Y169">
        <v>0</v>
      </c>
      <c r="AA169">
        <v>0</v>
      </c>
      <c r="AB169">
        <v>9</v>
      </c>
      <c r="AC169">
        <v>3</v>
      </c>
      <c r="AD169">
        <v>0</v>
      </c>
      <c r="AE169">
        <v>9</v>
      </c>
      <c r="AF169" t="s">
        <v>128</v>
      </c>
      <c r="AG169">
        <v>0</v>
      </c>
      <c r="AH169">
        <v>0</v>
      </c>
      <c r="AI169">
        <v>1</v>
      </c>
      <c r="AJ169">
        <v>0</v>
      </c>
      <c r="AK169" t="s">
        <v>216</v>
      </c>
      <c r="AL169">
        <v>33.670628000000001</v>
      </c>
      <c r="AM169" t="s">
        <v>217</v>
      </c>
      <c r="AN169">
        <v>-101.202922</v>
      </c>
      <c r="AO169">
        <v>100</v>
      </c>
      <c r="AP169">
        <v>3300</v>
      </c>
      <c r="AQ169" t="s">
        <v>131</v>
      </c>
      <c r="AR169">
        <v>-20</v>
      </c>
      <c r="AS169">
        <v>79</v>
      </c>
      <c r="AT169">
        <v>-128</v>
      </c>
      <c r="BB169" t="str">
        <f t="shared" si="13"/>
        <v>1200</v>
      </c>
      <c r="BC169">
        <v>1</v>
      </c>
      <c r="BD169" t="str">
        <f t="shared" si="14"/>
        <v xml:space="preserve">N445JS  </v>
      </c>
      <c r="BE169">
        <v>7</v>
      </c>
      <c r="BG169">
        <v>0</v>
      </c>
      <c r="BH169">
        <v>0</v>
      </c>
      <c r="BI169">
        <v>0</v>
      </c>
      <c r="BJ169">
        <v>3100</v>
      </c>
      <c r="BK169">
        <v>-200</v>
      </c>
      <c r="BL169" t="s">
        <v>132</v>
      </c>
      <c r="BM169">
        <v>1</v>
      </c>
      <c r="BN169">
        <v>1</v>
      </c>
      <c r="BO169">
        <v>1</v>
      </c>
      <c r="BP169">
        <v>0</v>
      </c>
      <c r="BT169">
        <v>0</v>
      </c>
      <c r="BU169">
        <v>0</v>
      </c>
      <c r="CE169" t="str">
        <f>"15:38:11.904"</f>
        <v>15:38:11.904</v>
      </c>
      <c r="CF169">
        <v>904192035</v>
      </c>
      <c r="CS169">
        <v>0</v>
      </c>
      <c r="CT169">
        <v>2</v>
      </c>
      <c r="CU169">
        <v>0</v>
      </c>
      <c r="CV169">
        <v>2</v>
      </c>
      <c r="CW169">
        <v>0</v>
      </c>
      <c r="CX169">
        <v>7</v>
      </c>
      <c r="CY169">
        <v>7</v>
      </c>
      <c r="CZ169" t="s">
        <v>133</v>
      </c>
      <c r="DA169">
        <v>125</v>
      </c>
      <c r="DB169">
        <v>1</v>
      </c>
      <c r="DC169" t="s">
        <v>134</v>
      </c>
      <c r="DD169" t="s">
        <v>135</v>
      </c>
      <c r="DG169">
        <v>2482407</v>
      </c>
      <c r="DI169">
        <v>0</v>
      </c>
      <c r="DJ169">
        <v>0</v>
      </c>
      <c r="DK169">
        <v>1</v>
      </c>
      <c r="DL169">
        <v>0</v>
      </c>
      <c r="DM169">
        <v>0</v>
      </c>
      <c r="DN169">
        <v>0</v>
      </c>
      <c r="DO169">
        <v>0</v>
      </c>
      <c r="DP169">
        <v>0</v>
      </c>
      <c r="DQ169">
        <v>0</v>
      </c>
      <c r="DR169">
        <v>0</v>
      </c>
      <c r="DS169">
        <v>0</v>
      </c>
    </row>
    <row r="170" spans="1:123" x14ac:dyDescent="0.25">
      <c r="A170" t="str">
        <f>"04/17/2026 15:38:13.268"</f>
        <v>04/17/2026 15:38:13.268</v>
      </c>
      <c r="C170" t="str">
        <f t="shared" si="11"/>
        <v>FFDFD3C0</v>
      </c>
      <c r="D170" t="s">
        <v>136</v>
      </c>
      <c r="E170" t="str">
        <f>"0E"</f>
        <v>0E</v>
      </c>
      <c r="F170">
        <v>1014</v>
      </c>
      <c r="G170" t="s">
        <v>125</v>
      </c>
      <c r="J170" t="s">
        <v>137</v>
      </c>
      <c r="K170">
        <v>0</v>
      </c>
      <c r="L170">
        <v>3</v>
      </c>
      <c r="M170">
        <v>0</v>
      </c>
      <c r="N170">
        <v>2</v>
      </c>
      <c r="O170">
        <v>1</v>
      </c>
      <c r="P170">
        <v>0</v>
      </c>
      <c r="Q170">
        <v>0</v>
      </c>
      <c r="R170" t="s">
        <v>127</v>
      </c>
      <c r="S170" t="str">
        <f>"15:38:12.992"</f>
        <v>15:38:12.992</v>
      </c>
      <c r="T170" t="str">
        <f>"15:38:12.692"</f>
        <v>15:38:12.692</v>
      </c>
      <c r="U170" t="str">
        <f t="shared" si="12"/>
        <v>A55E09</v>
      </c>
      <c r="V170">
        <v>0</v>
      </c>
      <c r="W170">
        <v>0</v>
      </c>
      <c r="X170">
        <v>2</v>
      </c>
      <c r="Y170">
        <v>0</v>
      </c>
      <c r="AA170">
        <v>0</v>
      </c>
      <c r="AB170">
        <v>9</v>
      </c>
      <c r="AC170">
        <v>3</v>
      </c>
      <c r="AD170">
        <v>0</v>
      </c>
      <c r="AE170">
        <v>9</v>
      </c>
      <c r="AF170" t="s">
        <v>128</v>
      </c>
      <c r="AG170">
        <v>0</v>
      </c>
      <c r="AH170">
        <v>0</v>
      </c>
      <c r="AI170">
        <v>1</v>
      </c>
      <c r="AJ170">
        <v>0</v>
      </c>
      <c r="AK170" t="s">
        <v>218</v>
      </c>
      <c r="AL170">
        <v>33.670993000000003</v>
      </c>
      <c r="AM170" t="s">
        <v>219</v>
      </c>
      <c r="AN170">
        <v>-101.20309399999999</v>
      </c>
      <c r="AO170">
        <v>100</v>
      </c>
      <c r="AP170">
        <v>3300</v>
      </c>
      <c r="AQ170" t="s">
        <v>131</v>
      </c>
      <c r="AR170">
        <v>-20</v>
      </c>
      <c r="AS170">
        <v>79</v>
      </c>
      <c r="AT170">
        <v>-128</v>
      </c>
      <c r="BB170" t="str">
        <f t="shared" si="13"/>
        <v>1200</v>
      </c>
      <c r="BC170">
        <v>1</v>
      </c>
      <c r="BD170" t="str">
        <f t="shared" si="14"/>
        <v xml:space="preserve">N445JS  </v>
      </c>
      <c r="BE170">
        <v>7</v>
      </c>
      <c r="BG170">
        <v>0</v>
      </c>
      <c r="BH170">
        <v>0</v>
      </c>
      <c r="BI170">
        <v>0</v>
      </c>
      <c r="BJ170">
        <v>3075</v>
      </c>
      <c r="BK170">
        <v>-225</v>
      </c>
      <c r="BL170" t="s">
        <v>132</v>
      </c>
      <c r="BM170">
        <v>1</v>
      </c>
      <c r="BN170">
        <v>1</v>
      </c>
      <c r="BO170">
        <v>1</v>
      </c>
      <c r="BP170">
        <v>0</v>
      </c>
      <c r="BT170">
        <v>0</v>
      </c>
      <c r="BU170">
        <v>0</v>
      </c>
      <c r="CE170" t="str">
        <f>"15:38:12.999"</f>
        <v>15:38:12.999</v>
      </c>
      <c r="CF170">
        <v>999084678</v>
      </c>
      <c r="CS170">
        <v>0</v>
      </c>
      <c r="CT170">
        <v>2</v>
      </c>
      <c r="CU170">
        <v>0</v>
      </c>
      <c r="CV170">
        <v>2</v>
      </c>
      <c r="CW170">
        <v>0</v>
      </c>
      <c r="CX170">
        <v>6</v>
      </c>
      <c r="CY170">
        <v>7</v>
      </c>
      <c r="CZ170" t="s">
        <v>133</v>
      </c>
      <c r="DA170">
        <v>125</v>
      </c>
      <c r="DB170">
        <v>1</v>
      </c>
      <c r="DC170" t="s">
        <v>134</v>
      </c>
      <c r="DD170" t="s">
        <v>135</v>
      </c>
      <c r="DG170">
        <v>2483478</v>
      </c>
      <c r="DI170">
        <v>0</v>
      </c>
      <c r="DJ170">
        <v>0</v>
      </c>
      <c r="DK170">
        <v>0</v>
      </c>
      <c r="DL170">
        <v>0</v>
      </c>
      <c r="DM170">
        <v>0</v>
      </c>
      <c r="DN170">
        <v>0</v>
      </c>
      <c r="DO170">
        <v>0</v>
      </c>
      <c r="DP170">
        <v>0</v>
      </c>
      <c r="DQ170">
        <v>0</v>
      </c>
      <c r="DR170">
        <v>0</v>
      </c>
      <c r="DS170">
        <v>0</v>
      </c>
    </row>
    <row r="171" spans="1:123" x14ac:dyDescent="0.25">
      <c r="A171" t="str">
        <f>"04/17/2026 15:38:13.269"</f>
        <v>04/17/2026 15:38:13.269</v>
      </c>
      <c r="C171" t="str">
        <f t="shared" si="11"/>
        <v>FFDFD3C0</v>
      </c>
      <c r="D171" t="s">
        <v>136</v>
      </c>
      <c r="E171" t="str">
        <f>"0F"</f>
        <v>0F</v>
      </c>
      <c r="F171">
        <v>1015</v>
      </c>
      <c r="G171" t="s">
        <v>138</v>
      </c>
      <c r="J171" t="s">
        <v>137</v>
      </c>
      <c r="K171">
        <v>0</v>
      </c>
      <c r="L171">
        <v>3</v>
      </c>
      <c r="M171">
        <v>0</v>
      </c>
      <c r="N171">
        <v>2</v>
      </c>
      <c r="O171">
        <v>1</v>
      </c>
      <c r="P171">
        <v>0</v>
      </c>
      <c r="Q171">
        <v>0</v>
      </c>
      <c r="R171" t="s">
        <v>127</v>
      </c>
      <c r="S171" t="str">
        <f>"15:38:12.992"</f>
        <v>15:38:12.992</v>
      </c>
      <c r="T171" t="str">
        <f>"15:38:12.692"</f>
        <v>15:38:12.692</v>
      </c>
      <c r="U171" t="str">
        <f t="shared" si="12"/>
        <v>A55E09</v>
      </c>
      <c r="V171">
        <v>0</v>
      </c>
      <c r="W171">
        <v>0</v>
      </c>
      <c r="X171">
        <v>2</v>
      </c>
      <c r="Y171">
        <v>0</v>
      </c>
      <c r="AA171">
        <v>0</v>
      </c>
      <c r="AB171">
        <v>9</v>
      </c>
      <c r="AC171">
        <v>3</v>
      </c>
      <c r="AD171">
        <v>0</v>
      </c>
      <c r="AE171">
        <v>9</v>
      </c>
      <c r="AF171" t="s">
        <v>128</v>
      </c>
      <c r="AG171">
        <v>0</v>
      </c>
      <c r="AH171">
        <v>0</v>
      </c>
      <c r="AI171">
        <v>1</v>
      </c>
      <c r="AJ171">
        <v>0</v>
      </c>
      <c r="AK171" t="s">
        <v>218</v>
      </c>
      <c r="AL171">
        <v>33.670993000000003</v>
      </c>
      <c r="AM171" t="s">
        <v>219</v>
      </c>
      <c r="AN171">
        <v>-101.20309399999999</v>
      </c>
      <c r="AO171">
        <v>100</v>
      </c>
      <c r="AP171">
        <v>3300</v>
      </c>
      <c r="AQ171" t="s">
        <v>131</v>
      </c>
      <c r="AR171">
        <v>-20</v>
      </c>
      <c r="AS171">
        <v>79</v>
      </c>
      <c r="AT171">
        <v>-128</v>
      </c>
      <c r="BB171" t="str">
        <f t="shared" si="13"/>
        <v>1200</v>
      </c>
      <c r="BC171">
        <v>1</v>
      </c>
      <c r="BD171" t="str">
        <f t="shared" si="14"/>
        <v xml:space="preserve">N445JS  </v>
      </c>
      <c r="BE171">
        <v>7</v>
      </c>
      <c r="BG171">
        <v>0</v>
      </c>
      <c r="BH171">
        <v>0</v>
      </c>
      <c r="BI171">
        <v>0</v>
      </c>
      <c r="BJ171">
        <v>3075</v>
      </c>
      <c r="BK171">
        <v>-225</v>
      </c>
      <c r="BL171" t="s">
        <v>132</v>
      </c>
      <c r="BM171">
        <v>1</v>
      </c>
      <c r="BN171">
        <v>1</v>
      </c>
      <c r="BO171">
        <v>1</v>
      </c>
      <c r="BP171">
        <v>0</v>
      </c>
      <c r="BT171">
        <v>0</v>
      </c>
      <c r="BU171">
        <v>0</v>
      </c>
      <c r="CE171" t="str">
        <f>"15:38:12.999"</f>
        <v>15:38:12.999</v>
      </c>
      <c r="CF171">
        <v>999084678</v>
      </c>
      <c r="CS171">
        <v>0</v>
      </c>
      <c r="CT171">
        <v>2</v>
      </c>
      <c r="CU171">
        <v>0</v>
      </c>
      <c r="CV171">
        <v>2</v>
      </c>
      <c r="CW171">
        <v>0</v>
      </c>
      <c r="CX171">
        <v>6</v>
      </c>
      <c r="CY171">
        <v>7</v>
      </c>
      <c r="CZ171" t="s">
        <v>133</v>
      </c>
      <c r="DA171">
        <v>125</v>
      </c>
      <c r="DB171">
        <v>1</v>
      </c>
      <c r="DC171" t="s">
        <v>134</v>
      </c>
      <c r="DD171" t="s">
        <v>135</v>
      </c>
      <c r="DG171">
        <v>2483478</v>
      </c>
      <c r="DI171">
        <v>0</v>
      </c>
      <c r="DJ171">
        <v>0</v>
      </c>
      <c r="DK171">
        <v>1</v>
      </c>
      <c r="DL171">
        <v>0</v>
      </c>
      <c r="DM171">
        <v>0</v>
      </c>
      <c r="DN171">
        <v>0</v>
      </c>
      <c r="DO171">
        <v>0</v>
      </c>
      <c r="DP171">
        <v>0</v>
      </c>
      <c r="DQ171">
        <v>0</v>
      </c>
      <c r="DR171">
        <v>0</v>
      </c>
      <c r="DS171">
        <v>0</v>
      </c>
    </row>
    <row r="172" spans="1:123" x14ac:dyDescent="0.25">
      <c r="A172" t="str">
        <f>"04/17/2026 15:38:13.268"</f>
        <v>04/17/2026 15:38:13.268</v>
      </c>
      <c r="C172" t="str">
        <f t="shared" si="11"/>
        <v>FFDFD3C0</v>
      </c>
      <c r="D172" t="s">
        <v>124</v>
      </c>
      <c r="E172" t="str">
        <f>"03"</f>
        <v>03</v>
      </c>
      <c r="H172">
        <v>160</v>
      </c>
      <c r="I172" t="s">
        <v>125</v>
      </c>
      <c r="J172" t="s">
        <v>126</v>
      </c>
      <c r="K172">
        <v>0</v>
      </c>
      <c r="L172">
        <v>3</v>
      </c>
      <c r="M172">
        <v>0</v>
      </c>
      <c r="N172">
        <v>2</v>
      </c>
      <c r="O172">
        <v>1</v>
      </c>
      <c r="P172">
        <v>0</v>
      </c>
      <c r="Q172">
        <v>0</v>
      </c>
      <c r="R172" t="s">
        <v>127</v>
      </c>
      <c r="S172" t="str">
        <f>"15:38:12.992"</f>
        <v>15:38:12.992</v>
      </c>
      <c r="T172" t="str">
        <f>"15:38:12.692"</f>
        <v>15:38:12.692</v>
      </c>
      <c r="U172" t="str">
        <f t="shared" si="12"/>
        <v>A55E09</v>
      </c>
      <c r="V172">
        <v>0</v>
      </c>
      <c r="W172">
        <v>0</v>
      </c>
      <c r="X172">
        <v>2</v>
      </c>
      <c r="Y172">
        <v>0</v>
      </c>
      <c r="AA172">
        <v>0</v>
      </c>
      <c r="AB172">
        <v>9</v>
      </c>
      <c r="AC172">
        <v>3</v>
      </c>
      <c r="AD172">
        <v>0</v>
      </c>
      <c r="AE172">
        <v>9</v>
      </c>
      <c r="AF172" t="s">
        <v>128</v>
      </c>
      <c r="AG172">
        <v>0</v>
      </c>
      <c r="AH172">
        <v>0</v>
      </c>
      <c r="AI172">
        <v>1</v>
      </c>
      <c r="AJ172">
        <v>0</v>
      </c>
      <c r="AK172" t="s">
        <v>218</v>
      </c>
      <c r="AL172">
        <v>33.670993000000003</v>
      </c>
      <c r="AM172" t="s">
        <v>219</v>
      </c>
      <c r="AN172">
        <v>-101.20309399999999</v>
      </c>
      <c r="AO172">
        <v>100</v>
      </c>
      <c r="AP172">
        <v>3300</v>
      </c>
      <c r="AQ172" t="s">
        <v>131</v>
      </c>
      <c r="AR172">
        <v>-20</v>
      </c>
      <c r="AS172">
        <v>79</v>
      </c>
      <c r="AT172">
        <v>-128</v>
      </c>
      <c r="BB172" t="str">
        <f t="shared" si="13"/>
        <v>1200</v>
      </c>
      <c r="BC172">
        <v>1</v>
      </c>
      <c r="BD172" t="str">
        <f t="shared" si="14"/>
        <v xml:space="preserve">N445JS  </v>
      </c>
      <c r="BE172">
        <v>7</v>
      </c>
      <c r="BG172">
        <v>0</v>
      </c>
      <c r="BH172">
        <v>0</v>
      </c>
      <c r="BI172">
        <v>0</v>
      </c>
      <c r="BJ172">
        <v>3075</v>
      </c>
      <c r="BK172">
        <v>-225</v>
      </c>
      <c r="BL172" t="s">
        <v>132</v>
      </c>
      <c r="BM172">
        <v>1</v>
      </c>
      <c r="BN172">
        <v>1</v>
      </c>
      <c r="BO172">
        <v>1</v>
      </c>
      <c r="BP172">
        <v>0</v>
      </c>
      <c r="BT172">
        <v>0</v>
      </c>
      <c r="BU172">
        <v>0</v>
      </c>
      <c r="CE172" t="str">
        <f>"15:38:12.999"</f>
        <v>15:38:12.999</v>
      </c>
      <c r="CF172">
        <v>999084678</v>
      </c>
      <c r="CS172">
        <v>0</v>
      </c>
      <c r="CT172">
        <v>2</v>
      </c>
      <c r="CU172">
        <v>0</v>
      </c>
      <c r="CV172">
        <v>2</v>
      </c>
      <c r="CW172">
        <v>0</v>
      </c>
      <c r="CX172">
        <v>6</v>
      </c>
      <c r="CY172">
        <v>7</v>
      </c>
      <c r="CZ172" t="s">
        <v>133</v>
      </c>
      <c r="DA172">
        <v>125</v>
      </c>
      <c r="DB172">
        <v>1</v>
      </c>
      <c r="DC172" t="s">
        <v>134</v>
      </c>
      <c r="DD172" t="s">
        <v>135</v>
      </c>
      <c r="DG172">
        <v>2483478</v>
      </c>
      <c r="DI172">
        <v>0</v>
      </c>
      <c r="DJ172">
        <v>0</v>
      </c>
      <c r="DK172">
        <v>1</v>
      </c>
      <c r="DL172">
        <v>0</v>
      </c>
      <c r="DM172">
        <v>0</v>
      </c>
      <c r="DN172">
        <v>0</v>
      </c>
      <c r="DO172">
        <v>0</v>
      </c>
      <c r="DP172">
        <v>0</v>
      </c>
      <c r="DQ172">
        <v>0</v>
      </c>
      <c r="DR172">
        <v>0</v>
      </c>
      <c r="DS172">
        <v>0</v>
      </c>
    </row>
    <row r="173" spans="1:123" x14ac:dyDescent="0.25">
      <c r="A173" t="str">
        <f>"04/17/2026 15:38:13.294"</f>
        <v>04/17/2026 15:38:13.294</v>
      </c>
      <c r="C173" t="str">
        <f t="shared" si="11"/>
        <v>FFDFD3C0</v>
      </c>
      <c r="D173" t="s">
        <v>139</v>
      </c>
      <c r="E173" t="str">
        <f>"28"</f>
        <v>28</v>
      </c>
      <c r="H173">
        <v>140</v>
      </c>
      <c r="I173" t="s">
        <v>140</v>
      </c>
      <c r="J173" t="s">
        <v>141</v>
      </c>
      <c r="K173">
        <v>0</v>
      </c>
      <c r="L173">
        <v>3</v>
      </c>
      <c r="M173">
        <v>0</v>
      </c>
      <c r="N173">
        <v>2</v>
      </c>
      <c r="O173">
        <v>1</v>
      </c>
      <c r="P173">
        <v>0</v>
      </c>
      <c r="Q173">
        <v>0</v>
      </c>
      <c r="R173" t="s">
        <v>127</v>
      </c>
      <c r="S173" t="str">
        <f>"15:38:12.992"</f>
        <v>15:38:12.992</v>
      </c>
      <c r="T173" t="str">
        <f>"15:38:12.692"</f>
        <v>15:38:12.692</v>
      </c>
      <c r="U173" t="str">
        <f t="shared" si="12"/>
        <v>A55E09</v>
      </c>
      <c r="V173">
        <v>0</v>
      </c>
      <c r="W173">
        <v>0</v>
      </c>
      <c r="X173">
        <v>2</v>
      </c>
      <c r="Y173">
        <v>0</v>
      </c>
      <c r="AA173">
        <v>0</v>
      </c>
      <c r="AB173">
        <v>9</v>
      </c>
      <c r="AC173">
        <v>3</v>
      </c>
      <c r="AD173">
        <v>0</v>
      </c>
      <c r="AE173">
        <v>9</v>
      </c>
      <c r="AF173" t="s">
        <v>128</v>
      </c>
      <c r="AG173">
        <v>0</v>
      </c>
      <c r="AH173">
        <v>0</v>
      </c>
      <c r="AI173">
        <v>1</v>
      </c>
      <c r="AJ173">
        <v>0</v>
      </c>
      <c r="AK173" t="s">
        <v>218</v>
      </c>
      <c r="AL173">
        <v>33.670993000000003</v>
      </c>
      <c r="AM173" t="s">
        <v>219</v>
      </c>
      <c r="AN173">
        <v>-101.20309399999999</v>
      </c>
      <c r="AO173">
        <v>100</v>
      </c>
      <c r="AP173">
        <v>3300</v>
      </c>
      <c r="AQ173" t="s">
        <v>131</v>
      </c>
      <c r="AR173">
        <v>-20</v>
      </c>
      <c r="AS173">
        <v>79</v>
      </c>
      <c r="AT173">
        <v>-128</v>
      </c>
      <c r="BB173" t="str">
        <f t="shared" si="13"/>
        <v>1200</v>
      </c>
      <c r="BC173">
        <v>1</v>
      </c>
      <c r="BD173" t="str">
        <f t="shared" si="14"/>
        <v xml:space="preserve">N445JS  </v>
      </c>
      <c r="BE173">
        <v>7</v>
      </c>
      <c r="BG173">
        <v>0</v>
      </c>
      <c r="BH173">
        <v>0</v>
      </c>
      <c r="BI173">
        <v>0</v>
      </c>
      <c r="BJ173">
        <v>3075</v>
      </c>
      <c r="BK173">
        <v>-225</v>
      </c>
      <c r="BL173" t="s">
        <v>132</v>
      </c>
      <c r="BM173">
        <v>1</v>
      </c>
      <c r="BN173">
        <v>1</v>
      </c>
      <c r="BO173">
        <v>1</v>
      </c>
      <c r="BP173">
        <v>0</v>
      </c>
      <c r="BT173">
        <v>0</v>
      </c>
      <c r="BU173">
        <v>0</v>
      </c>
      <c r="CE173" t="str">
        <f>"15:38:12.999"</f>
        <v>15:38:12.999</v>
      </c>
      <c r="CF173">
        <v>999084678</v>
      </c>
      <c r="CS173">
        <v>0</v>
      </c>
      <c r="CT173">
        <v>2</v>
      </c>
      <c r="CU173">
        <v>0</v>
      </c>
      <c r="CV173">
        <v>2</v>
      </c>
      <c r="CW173">
        <v>0</v>
      </c>
      <c r="CX173">
        <v>6</v>
      </c>
      <c r="CY173">
        <v>7</v>
      </c>
      <c r="CZ173" t="s">
        <v>133</v>
      </c>
      <c r="DA173">
        <v>125</v>
      </c>
      <c r="DB173">
        <v>1</v>
      </c>
      <c r="DC173" t="s">
        <v>134</v>
      </c>
      <c r="DD173" t="s">
        <v>135</v>
      </c>
      <c r="DG173">
        <v>2483478</v>
      </c>
      <c r="DI173">
        <v>0</v>
      </c>
      <c r="DJ173">
        <v>0</v>
      </c>
      <c r="DK173">
        <v>1</v>
      </c>
      <c r="DL173">
        <v>0</v>
      </c>
      <c r="DM173">
        <v>0</v>
      </c>
      <c r="DN173">
        <v>0</v>
      </c>
      <c r="DO173">
        <v>0</v>
      </c>
      <c r="DP173">
        <v>0</v>
      </c>
      <c r="DQ173">
        <v>0</v>
      </c>
      <c r="DR173">
        <v>0</v>
      </c>
      <c r="DS173">
        <v>0</v>
      </c>
    </row>
    <row r="174" spans="1:123" x14ac:dyDescent="0.25">
      <c r="A174" t="str">
        <f>"04/17/2026 15:38:14.370"</f>
        <v>04/17/2026 15:38:14.370</v>
      </c>
      <c r="C174" t="str">
        <f t="shared" si="11"/>
        <v>FFDFD3C0</v>
      </c>
      <c r="D174" t="s">
        <v>124</v>
      </c>
      <c r="E174" t="str">
        <f>"03"</f>
        <v>03</v>
      </c>
      <c r="H174">
        <v>160</v>
      </c>
      <c r="I174" t="s">
        <v>125</v>
      </c>
      <c r="J174" t="s">
        <v>126</v>
      </c>
      <c r="K174">
        <v>0</v>
      </c>
      <c r="L174">
        <v>3</v>
      </c>
      <c r="M174">
        <v>0</v>
      </c>
      <c r="N174">
        <v>2</v>
      </c>
      <c r="O174">
        <v>1</v>
      </c>
      <c r="P174">
        <v>0</v>
      </c>
      <c r="Q174">
        <v>0</v>
      </c>
      <c r="R174" t="s">
        <v>127</v>
      </c>
      <c r="S174" t="str">
        <f>"15:38:14.117"</f>
        <v>15:38:14.117</v>
      </c>
      <c r="T174" t="str">
        <f>"15:38:13.717"</f>
        <v>15:38:13.717</v>
      </c>
      <c r="U174" t="str">
        <f t="shared" si="12"/>
        <v>A55E09</v>
      </c>
      <c r="V174">
        <v>0</v>
      </c>
      <c r="W174">
        <v>0</v>
      </c>
      <c r="X174">
        <v>2</v>
      </c>
      <c r="Y174">
        <v>0</v>
      </c>
      <c r="AA174">
        <v>0</v>
      </c>
      <c r="AB174">
        <v>9</v>
      </c>
      <c r="AC174">
        <v>3</v>
      </c>
      <c r="AD174">
        <v>0</v>
      </c>
      <c r="AE174">
        <v>9</v>
      </c>
      <c r="AF174" t="s">
        <v>128</v>
      </c>
      <c r="AG174">
        <v>0</v>
      </c>
      <c r="AH174">
        <v>0</v>
      </c>
      <c r="AI174">
        <v>1</v>
      </c>
      <c r="AJ174">
        <v>0</v>
      </c>
      <c r="AK174" t="s">
        <v>220</v>
      </c>
      <c r="AL174">
        <v>33.671422</v>
      </c>
      <c r="AM174" t="s">
        <v>221</v>
      </c>
      <c r="AN174">
        <v>-101.20320100000001</v>
      </c>
      <c r="AO174">
        <v>100</v>
      </c>
      <c r="AP174">
        <v>3300</v>
      </c>
      <c r="AQ174" t="s">
        <v>131</v>
      </c>
      <c r="AR174">
        <v>-21</v>
      </c>
      <c r="AS174">
        <v>78</v>
      </c>
      <c r="AT174">
        <v>0</v>
      </c>
      <c r="BB174" t="str">
        <f t="shared" si="13"/>
        <v>1200</v>
      </c>
      <c r="BC174">
        <v>1</v>
      </c>
      <c r="BD174" t="str">
        <f t="shared" si="14"/>
        <v xml:space="preserve">N445JS  </v>
      </c>
      <c r="BE174">
        <v>7</v>
      </c>
      <c r="BG174">
        <v>0</v>
      </c>
      <c r="BH174">
        <v>0</v>
      </c>
      <c r="BI174">
        <v>0</v>
      </c>
      <c r="BJ174">
        <v>3075</v>
      </c>
      <c r="BK174">
        <v>-225</v>
      </c>
      <c r="BL174" t="s">
        <v>132</v>
      </c>
      <c r="BM174">
        <v>1</v>
      </c>
      <c r="BN174">
        <v>1</v>
      </c>
      <c r="BO174">
        <v>1</v>
      </c>
      <c r="BP174">
        <v>0</v>
      </c>
      <c r="BT174">
        <v>0</v>
      </c>
      <c r="BU174">
        <v>0</v>
      </c>
      <c r="CE174" t="str">
        <f>"15:38:14.124"</f>
        <v>15:38:14.124</v>
      </c>
      <c r="CF174">
        <v>123974394</v>
      </c>
      <c r="CS174">
        <v>0</v>
      </c>
      <c r="CT174">
        <v>2</v>
      </c>
      <c r="CU174">
        <v>0</v>
      </c>
      <c r="CV174">
        <v>2</v>
      </c>
      <c r="CW174">
        <v>0</v>
      </c>
      <c r="CX174">
        <v>6</v>
      </c>
      <c r="CY174">
        <v>7</v>
      </c>
      <c r="CZ174" t="s">
        <v>133</v>
      </c>
      <c r="DA174">
        <v>125</v>
      </c>
      <c r="DB174">
        <v>1</v>
      </c>
      <c r="DC174" t="s">
        <v>134</v>
      </c>
      <c r="DD174" t="s">
        <v>135</v>
      </c>
      <c r="DG174">
        <v>2484644</v>
      </c>
      <c r="DI174">
        <v>0</v>
      </c>
      <c r="DJ174">
        <v>0</v>
      </c>
      <c r="DK174">
        <v>0</v>
      </c>
      <c r="DL174">
        <v>0</v>
      </c>
      <c r="DM174">
        <v>0</v>
      </c>
      <c r="DN174">
        <v>0</v>
      </c>
      <c r="DO174">
        <v>0</v>
      </c>
      <c r="DP174">
        <v>0</v>
      </c>
      <c r="DQ174">
        <v>0</v>
      </c>
      <c r="DR174">
        <v>0</v>
      </c>
      <c r="DS174">
        <v>0</v>
      </c>
    </row>
    <row r="175" spans="1:123" x14ac:dyDescent="0.25">
      <c r="A175" t="str">
        <f>"04/17/2026 15:38:14.370"</f>
        <v>04/17/2026 15:38:14.370</v>
      </c>
      <c r="C175" t="str">
        <f t="shared" si="11"/>
        <v>FFDFD3C0</v>
      </c>
      <c r="D175" t="s">
        <v>136</v>
      </c>
      <c r="E175" t="str">
        <f>"0E"</f>
        <v>0E</v>
      </c>
      <c r="F175">
        <v>1014</v>
      </c>
      <c r="G175" t="s">
        <v>125</v>
      </c>
      <c r="J175" t="s">
        <v>137</v>
      </c>
      <c r="K175">
        <v>0</v>
      </c>
      <c r="L175">
        <v>3</v>
      </c>
      <c r="M175">
        <v>0</v>
      </c>
      <c r="N175">
        <v>2</v>
      </c>
      <c r="O175">
        <v>1</v>
      </c>
      <c r="P175">
        <v>0</v>
      </c>
      <c r="Q175">
        <v>0</v>
      </c>
      <c r="R175" t="s">
        <v>127</v>
      </c>
      <c r="S175" t="str">
        <f>"15:38:14.117"</f>
        <v>15:38:14.117</v>
      </c>
      <c r="T175" t="str">
        <f>"15:38:13.717"</f>
        <v>15:38:13.717</v>
      </c>
      <c r="U175" t="str">
        <f t="shared" si="12"/>
        <v>A55E09</v>
      </c>
      <c r="V175">
        <v>0</v>
      </c>
      <c r="W175">
        <v>0</v>
      </c>
      <c r="X175">
        <v>2</v>
      </c>
      <c r="Y175">
        <v>0</v>
      </c>
      <c r="AA175">
        <v>0</v>
      </c>
      <c r="AB175">
        <v>9</v>
      </c>
      <c r="AC175">
        <v>3</v>
      </c>
      <c r="AD175">
        <v>0</v>
      </c>
      <c r="AE175">
        <v>9</v>
      </c>
      <c r="AF175" t="s">
        <v>128</v>
      </c>
      <c r="AG175">
        <v>0</v>
      </c>
      <c r="AH175">
        <v>0</v>
      </c>
      <c r="AI175">
        <v>1</v>
      </c>
      <c r="AJ175">
        <v>0</v>
      </c>
      <c r="AK175" t="s">
        <v>220</v>
      </c>
      <c r="AL175">
        <v>33.671422</v>
      </c>
      <c r="AM175" t="s">
        <v>221</v>
      </c>
      <c r="AN175">
        <v>-101.20320100000001</v>
      </c>
      <c r="AO175">
        <v>100</v>
      </c>
      <c r="AP175">
        <v>3300</v>
      </c>
      <c r="AQ175" t="s">
        <v>131</v>
      </c>
      <c r="AR175">
        <v>-21</v>
      </c>
      <c r="AS175">
        <v>78</v>
      </c>
      <c r="AT175">
        <v>0</v>
      </c>
      <c r="BB175" t="str">
        <f t="shared" si="13"/>
        <v>1200</v>
      </c>
      <c r="BC175">
        <v>1</v>
      </c>
      <c r="BD175" t="str">
        <f t="shared" si="14"/>
        <v xml:space="preserve">N445JS  </v>
      </c>
      <c r="BE175">
        <v>7</v>
      </c>
      <c r="BG175">
        <v>0</v>
      </c>
      <c r="BH175">
        <v>0</v>
      </c>
      <c r="BI175">
        <v>0</v>
      </c>
      <c r="BJ175">
        <v>3075</v>
      </c>
      <c r="BK175">
        <v>-225</v>
      </c>
      <c r="BL175" t="s">
        <v>132</v>
      </c>
      <c r="BM175">
        <v>1</v>
      </c>
      <c r="BN175">
        <v>1</v>
      </c>
      <c r="BO175">
        <v>1</v>
      </c>
      <c r="BP175">
        <v>0</v>
      </c>
      <c r="BT175">
        <v>0</v>
      </c>
      <c r="BU175">
        <v>0</v>
      </c>
      <c r="CE175" t="str">
        <f>"15:38:14.124"</f>
        <v>15:38:14.124</v>
      </c>
      <c r="CF175">
        <v>123974394</v>
      </c>
      <c r="CS175">
        <v>0</v>
      </c>
      <c r="CT175">
        <v>2</v>
      </c>
      <c r="CU175">
        <v>0</v>
      </c>
      <c r="CV175">
        <v>2</v>
      </c>
      <c r="CW175">
        <v>0</v>
      </c>
      <c r="CX175">
        <v>6</v>
      </c>
      <c r="CY175">
        <v>7</v>
      </c>
      <c r="CZ175" t="s">
        <v>133</v>
      </c>
      <c r="DA175">
        <v>125</v>
      </c>
      <c r="DB175">
        <v>1</v>
      </c>
      <c r="DC175" t="s">
        <v>134</v>
      </c>
      <c r="DD175" t="s">
        <v>135</v>
      </c>
      <c r="DG175">
        <v>2484644</v>
      </c>
      <c r="DI175">
        <v>0</v>
      </c>
      <c r="DJ175">
        <v>0</v>
      </c>
      <c r="DK175">
        <v>1</v>
      </c>
      <c r="DL175">
        <v>0</v>
      </c>
      <c r="DM175">
        <v>0</v>
      </c>
      <c r="DN175">
        <v>0</v>
      </c>
      <c r="DO175">
        <v>0</v>
      </c>
      <c r="DP175">
        <v>0</v>
      </c>
      <c r="DQ175">
        <v>0</v>
      </c>
      <c r="DR175">
        <v>0</v>
      </c>
      <c r="DS175">
        <v>0</v>
      </c>
    </row>
    <row r="176" spans="1:123" x14ac:dyDescent="0.25">
      <c r="A176" t="str">
        <f>"04/17/2026 15:38:14.370"</f>
        <v>04/17/2026 15:38:14.370</v>
      </c>
      <c r="C176" t="str">
        <f t="shared" si="11"/>
        <v>FFDFD3C0</v>
      </c>
      <c r="D176" t="s">
        <v>136</v>
      </c>
      <c r="E176" t="str">
        <f>"0F"</f>
        <v>0F</v>
      </c>
      <c r="F176">
        <v>1015</v>
      </c>
      <c r="G176" t="s">
        <v>138</v>
      </c>
      <c r="J176" t="s">
        <v>137</v>
      </c>
      <c r="K176">
        <v>0</v>
      </c>
      <c r="L176">
        <v>3</v>
      </c>
      <c r="M176">
        <v>0</v>
      </c>
      <c r="N176">
        <v>2</v>
      </c>
      <c r="O176">
        <v>1</v>
      </c>
      <c r="P176">
        <v>0</v>
      </c>
      <c r="Q176">
        <v>0</v>
      </c>
      <c r="R176" t="s">
        <v>127</v>
      </c>
      <c r="S176" t="str">
        <f>"15:38:14.117"</f>
        <v>15:38:14.117</v>
      </c>
      <c r="T176" t="str">
        <f>"15:38:13.717"</f>
        <v>15:38:13.717</v>
      </c>
      <c r="U176" t="str">
        <f t="shared" si="12"/>
        <v>A55E09</v>
      </c>
      <c r="V176">
        <v>0</v>
      </c>
      <c r="W176">
        <v>0</v>
      </c>
      <c r="X176">
        <v>2</v>
      </c>
      <c r="Y176">
        <v>0</v>
      </c>
      <c r="AA176">
        <v>0</v>
      </c>
      <c r="AB176">
        <v>9</v>
      </c>
      <c r="AC176">
        <v>3</v>
      </c>
      <c r="AD176">
        <v>0</v>
      </c>
      <c r="AE176">
        <v>9</v>
      </c>
      <c r="AF176" t="s">
        <v>128</v>
      </c>
      <c r="AG176">
        <v>0</v>
      </c>
      <c r="AH176">
        <v>0</v>
      </c>
      <c r="AI176">
        <v>1</v>
      </c>
      <c r="AJ176">
        <v>0</v>
      </c>
      <c r="AK176" t="s">
        <v>220</v>
      </c>
      <c r="AL176">
        <v>33.671422</v>
      </c>
      <c r="AM176" t="s">
        <v>221</v>
      </c>
      <c r="AN176">
        <v>-101.20320100000001</v>
      </c>
      <c r="AO176">
        <v>100</v>
      </c>
      <c r="AP176">
        <v>3300</v>
      </c>
      <c r="AQ176" t="s">
        <v>131</v>
      </c>
      <c r="AR176">
        <v>-21</v>
      </c>
      <c r="AS176">
        <v>78</v>
      </c>
      <c r="AT176">
        <v>0</v>
      </c>
      <c r="BB176" t="str">
        <f t="shared" si="13"/>
        <v>1200</v>
      </c>
      <c r="BC176">
        <v>1</v>
      </c>
      <c r="BD176" t="str">
        <f t="shared" si="14"/>
        <v xml:space="preserve">N445JS  </v>
      </c>
      <c r="BE176">
        <v>7</v>
      </c>
      <c r="BG176">
        <v>0</v>
      </c>
      <c r="BH176">
        <v>0</v>
      </c>
      <c r="BI176">
        <v>0</v>
      </c>
      <c r="BJ176">
        <v>3075</v>
      </c>
      <c r="BK176">
        <v>-225</v>
      </c>
      <c r="BL176" t="s">
        <v>132</v>
      </c>
      <c r="BM176">
        <v>1</v>
      </c>
      <c r="BN176">
        <v>1</v>
      </c>
      <c r="BO176">
        <v>1</v>
      </c>
      <c r="BP176">
        <v>0</v>
      </c>
      <c r="BT176">
        <v>0</v>
      </c>
      <c r="BU176">
        <v>0</v>
      </c>
      <c r="CE176" t="str">
        <f>"15:38:14.124"</f>
        <v>15:38:14.124</v>
      </c>
      <c r="CF176">
        <v>123974394</v>
      </c>
      <c r="CS176">
        <v>0</v>
      </c>
      <c r="CT176">
        <v>2</v>
      </c>
      <c r="CU176">
        <v>0</v>
      </c>
      <c r="CV176">
        <v>2</v>
      </c>
      <c r="CW176">
        <v>0</v>
      </c>
      <c r="CX176">
        <v>6</v>
      </c>
      <c r="CY176">
        <v>7</v>
      </c>
      <c r="CZ176" t="s">
        <v>133</v>
      </c>
      <c r="DA176">
        <v>125</v>
      </c>
      <c r="DB176">
        <v>1</v>
      </c>
      <c r="DC176" t="s">
        <v>134</v>
      </c>
      <c r="DD176" t="s">
        <v>135</v>
      </c>
      <c r="DG176">
        <v>2484644</v>
      </c>
      <c r="DI176">
        <v>0</v>
      </c>
      <c r="DJ176">
        <v>0</v>
      </c>
      <c r="DK176">
        <v>1</v>
      </c>
      <c r="DL176">
        <v>0</v>
      </c>
      <c r="DM176">
        <v>0</v>
      </c>
      <c r="DN176">
        <v>0</v>
      </c>
      <c r="DO176">
        <v>0</v>
      </c>
      <c r="DP176">
        <v>0</v>
      </c>
      <c r="DQ176">
        <v>0</v>
      </c>
      <c r="DR176">
        <v>0</v>
      </c>
      <c r="DS176">
        <v>0</v>
      </c>
    </row>
    <row r="177" spans="1:123" x14ac:dyDescent="0.25">
      <c r="A177" t="str">
        <f>"04/17/2026 15:38:14.396"</f>
        <v>04/17/2026 15:38:14.396</v>
      </c>
      <c r="C177" t="str">
        <f t="shared" si="11"/>
        <v>FFDFD3C0</v>
      </c>
      <c r="D177" t="s">
        <v>139</v>
      </c>
      <c r="E177" t="str">
        <f>"28"</f>
        <v>28</v>
      </c>
      <c r="H177">
        <v>140</v>
      </c>
      <c r="I177" t="s">
        <v>140</v>
      </c>
      <c r="J177" t="s">
        <v>141</v>
      </c>
      <c r="K177">
        <v>0</v>
      </c>
      <c r="L177">
        <v>3</v>
      </c>
      <c r="M177">
        <v>0</v>
      </c>
      <c r="N177">
        <v>2</v>
      </c>
      <c r="O177">
        <v>1</v>
      </c>
      <c r="P177">
        <v>0</v>
      </c>
      <c r="Q177">
        <v>0</v>
      </c>
      <c r="R177" t="s">
        <v>127</v>
      </c>
      <c r="S177" t="str">
        <f>"15:38:14.117"</f>
        <v>15:38:14.117</v>
      </c>
      <c r="T177" t="str">
        <f>"15:38:13.717"</f>
        <v>15:38:13.717</v>
      </c>
      <c r="U177" t="str">
        <f t="shared" si="12"/>
        <v>A55E09</v>
      </c>
      <c r="V177">
        <v>0</v>
      </c>
      <c r="W177">
        <v>0</v>
      </c>
      <c r="X177">
        <v>2</v>
      </c>
      <c r="Y177">
        <v>0</v>
      </c>
      <c r="AA177">
        <v>0</v>
      </c>
      <c r="AB177">
        <v>9</v>
      </c>
      <c r="AC177">
        <v>3</v>
      </c>
      <c r="AD177">
        <v>0</v>
      </c>
      <c r="AE177">
        <v>9</v>
      </c>
      <c r="AF177" t="s">
        <v>128</v>
      </c>
      <c r="AG177">
        <v>0</v>
      </c>
      <c r="AH177">
        <v>0</v>
      </c>
      <c r="AI177">
        <v>1</v>
      </c>
      <c r="AJ177">
        <v>0</v>
      </c>
      <c r="AK177" t="s">
        <v>220</v>
      </c>
      <c r="AL177">
        <v>33.671422</v>
      </c>
      <c r="AM177" t="s">
        <v>221</v>
      </c>
      <c r="AN177">
        <v>-101.20320100000001</v>
      </c>
      <c r="AO177">
        <v>100</v>
      </c>
      <c r="AP177">
        <v>3300</v>
      </c>
      <c r="AQ177" t="s">
        <v>131</v>
      </c>
      <c r="AR177">
        <v>-21</v>
      </c>
      <c r="AS177">
        <v>78</v>
      </c>
      <c r="AT177">
        <v>0</v>
      </c>
      <c r="BB177" t="str">
        <f t="shared" si="13"/>
        <v>1200</v>
      </c>
      <c r="BC177">
        <v>1</v>
      </c>
      <c r="BD177" t="str">
        <f t="shared" si="14"/>
        <v xml:space="preserve">N445JS  </v>
      </c>
      <c r="BE177">
        <v>7</v>
      </c>
      <c r="BG177">
        <v>0</v>
      </c>
      <c r="BH177">
        <v>0</v>
      </c>
      <c r="BI177">
        <v>0</v>
      </c>
      <c r="BJ177">
        <v>3075</v>
      </c>
      <c r="BK177">
        <v>-225</v>
      </c>
      <c r="BL177" t="s">
        <v>132</v>
      </c>
      <c r="BM177">
        <v>1</v>
      </c>
      <c r="BN177">
        <v>1</v>
      </c>
      <c r="BO177">
        <v>1</v>
      </c>
      <c r="BP177">
        <v>0</v>
      </c>
      <c r="BT177">
        <v>0</v>
      </c>
      <c r="BU177">
        <v>0</v>
      </c>
      <c r="CE177" t="str">
        <f>"15:38:14.124"</f>
        <v>15:38:14.124</v>
      </c>
      <c r="CF177">
        <v>123974394</v>
      </c>
      <c r="CS177">
        <v>0</v>
      </c>
      <c r="CT177">
        <v>2</v>
      </c>
      <c r="CU177">
        <v>0</v>
      </c>
      <c r="CV177">
        <v>2</v>
      </c>
      <c r="CW177">
        <v>0</v>
      </c>
      <c r="CX177">
        <v>6</v>
      </c>
      <c r="CY177">
        <v>7</v>
      </c>
      <c r="CZ177" t="s">
        <v>133</v>
      </c>
      <c r="DA177">
        <v>125</v>
      </c>
      <c r="DB177">
        <v>1</v>
      </c>
      <c r="DC177" t="s">
        <v>134</v>
      </c>
      <c r="DD177" t="s">
        <v>135</v>
      </c>
      <c r="DG177">
        <v>2484644</v>
      </c>
      <c r="DI177">
        <v>0</v>
      </c>
      <c r="DJ177">
        <v>0</v>
      </c>
      <c r="DK177">
        <v>1</v>
      </c>
      <c r="DL177">
        <v>0</v>
      </c>
      <c r="DM177">
        <v>0</v>
      </c>
      <c r="DN177">
        <v>0</v>
      </c>
      <c r="DO177">
        <v>0</v>
      </c>
      <c r="DP177">
        <v>0</v>
      </c>
      <c r="DQ177">
        <v>0</v>
      </c>
      <c r="DR177">
        <v>0</v>
      </c>
      <c r="DS177">
        <v>0</v>
      </c>
    </row>
    <row r="178" spans="1:123" x14ac:dyDescent="0.25">
      <c r="A178" t="str">
        <f>"04/17/2026 15:38:15.448"</f>
        <v>04/17/2026 15:38:15.448</v>
      </c>
      <c r="C178" t="str">
        <f t="shared" si="11"/>
        <v>FFDFD3C0</v>
      </c>
      <c r="D178" t="s">
        <v>139</v>
      </c>
      <c r="E178" t="str">
        <f>"28"</f>
        <v>28</v>
      </c>
      <c r="H178">
        <v>140</v>
      </c>
      <c r="I178" t="s">
        <v>140</v>
      </c>
      <c r="J178" t="s">
        <v>141</v>
      </c>
      <c r="K178">
        <v>0</v>
      </c>
      <c r="L178">
        <v>3</v>
      </c>
      <c r="M178">
        <v>0</v>
      </c>
      <c r="N178">
        <v>2</v>
      </c>
      <c r="O178">
        <v>1</v>
      </c>
      <c r="P178">
        <v>0</v>
      </c>
      <c r="Q178">
        <v>0</v>
      </c>
      <c r="R178" t="s">
        <v>127</v>
      </c>
      <c r="S178" t="str">
        <f>"15:38:15.156"</f>
        <v>15:38:15.156</v>
      </c>
      <c r="T178" t="str">
        <f>"15:38:14.756"</f>
        <v>15:38:14.756</v>
      </c>
      <c r="U178" t="str">
        <f t="shared" si="12"/>
        <v>A55E09</v>
      </c>
      <c r="V178">
        <v>0</v>
      </c>
      <c r="W178">
        <v>0</v>
      </c>
      <c r="X178">
        <v>2</v>
      </c>
      <c r="Y178">
        <v>0</v>
      </c>
      <c r="AA178">
        <v>0</v>
      </c>
      <c r="AB178">
        <v>9</v>
      </c>
      <c r="AC178">
        <v>3</v>
      </c>
      <c r="AD178">
        <v>0</v>
      </c>
      <c r="AE178">
        <v>9</v>
      </c>
      <c r="AF178" t="s">
        <v>128</v>
      </c>
      <c r="AG178">
        <v>0</v>
      </c>
      <c r="AH178">
        <v>0</v>
      </c>
      <c r="AI178">
        <v>1</v>
      </c>
      <c r="AJ178">
        <v>0</v>
      </c>
      <c r="AK178" t="s">
        <v>222</v>
      </c>
      <c r="AL178">
        <v>33.671765000000001</v>
      </c>
      <c r="AM178" t="s">
        <v>223</v>
      </c>
      <c r="AN178">
        <v>-101.20330800000001</v>
      </c>
      <c r="AO178">
        <v>100</v>
      </c>
      <c r="AP178">
        <v>3300</v>
      </c>
      <c r="AQ178" t="s">
        <v>131</v>
      </c>
      <c r="AR178">
        <v>-21</v>
      </c>
      <c r="AS178">
        <v>76</v>
      </c>
      <c r="AT178">
        <v>0</v>
      </c>
      <c r="BB178" t="str">
        <f t="shared" si="13"/>
        <v>1200</v>
      </c>
      <c r="BC178">
        <v>1</v>
      </c>
      <c r="BD178" t="str">
        <f t="shared" si="14"/>
        <v xml:space="preserve">N445JS  </v>
      </c>
      <c r="BE178">
        <v>7</v>
      </c>
      <c r="BG178">
        <v>0</v>
      </c>
      <c r="BH178">
        <v>0</v>
      </c>
      <c r="BI178">
        <v>0</v>
      </c>
      <c r="BJ178">
        <v>3075</v>
      </c>
      <c r="BK178">
        <v>-225</v>
      </c>
      <c r="BL178" t="s">
        <v>132</v>
      </c>
      <c r="BM178">
        <v>1</v>
      </c>
      <c r="BN178">
        <v>1</v>
      </c>
      <c r="BO178">
        <v>1</v>
      </c>
      <c r="BP178">
        <v>0</v>
      </c>
      <c r="BT178">
        <v>0</v>
      </c>
      <c r="BU178">
        <v>0</v>
      </c>
      <c r="CE178" t="str">
        <f>"15:38:15.159"</f>
        <v>15:38:15.159</v>
      </c>
      <c r="CF178">
        <v>158872925</v>
      </c>
      <c r="CS178">
        <v>0</v>
      </c>
      <c r="CT178">
        <v>2</v>
      </c>
      <c r="CU178">
        <v>0</v>
      </c>
      <c r="CV178">
        <v>2</v>
      </c>
      <c r="CW178">
        <v>0</v>
      </c>
      <c r="CX178">
        <v>7</v>
      </c>
      <c r="CY178">
        <v>7</v>
      </c>
      <c r="CZ178" t="s">
        <v>133</v>
      </c>
      <c r="DA178">
        <v>125</v>
      </c>
      <c r="DB178">
        <v>1</v>
      </c>
      <c r="DC178" t="s">
        <v>134</v>
      </c>
      <c r="DD178" t="s">
        <v>135</v>
      </c>
      <c r="DG178">
        <v>2485603</v>
      </c>
      <c r="DI178">
        <v>0</v>
      </c>
      <c r="DJ178">
        <v>0</v>
      </c>
      <c r="DK178">
        <v>0</v>
      </c>
      <c r="DL178">
        <v>0</v>
      </c>
      <c r="DM178">
        <v>0</v>
      </c>
      <c r="DN178">
        <v>0</v>
      </c>
      <c r="DO178">
        <v>0</v>
      </c>
      <c r="DP178">
        <v>0</v>
      </c>
      <c r="DQ178">
        <v>0</v>
      </c>
      <c r="DR178">
        <v>0</v>
      </c>
      <c r="DS178">
        <v>0</v>
      </c>
    </row>
    <row r="179" spans="1:123" x14ac:dyDescent="0.25">
      <c r="A179" t="str">
        <f>"04/17/2026 15:38:15.472"</f>
        <v>04/17/2026 15:38:15.472</v>
      </c>
      <c r="C179" t="str">
        <f t="shared" si="11"/>
        <v>FFDFD3C0</v>
      </c>
      <c r="D179" t="s">
        <v>136</v>
      </c>
      <c r="E179" t="str">
        <f>"0F"</f>
        <v>0F</v>
      </c>
      <c r="F179">
        <v>1015</v>
      </c>
      <c r="G179" t="s">
        <v>138</v>
      </c>
      <c r="J179" t="s">
        <v>137</v>
      </c>
      <c r="K179">
        <v>0</v>
      </c>
      <c r="L179">
        <v>3</v>
      </c>
      <c r="M179">
        <v>0</v>
      </c>
      <c r="N179">
        <v>2</v>
      </c>
      <c r="O179">
        <v>1</v>
      </c>
      <c r="P179">
        <v>0</v>
      </c>
      <c r="Q179">
        <v>0</v>
      </c>
      <c r="R179" t="s">
        <v>127</v>
      </c>
      <c r="S179" t="str">
        <f>"15:38:15.156"</f>
        <v>15:38:15.156</v>
      </c>
      <c r="T179" t="str">
        <f>"15:38:14.756"</f>
        <v>15:38:14.756</v>
      </c>
      <c r="U179" t="str">
        <f t="shared" si="12"/>
        <v>A55E09</v>
      </c>
      <c r="V179">
        <v>0</v>
      </c>
      <c r="W179">
        <v>0</v>
      </c>
      <c r="X179">
        <v>2</v>
      </c>
      <c r="Y179">
        <v>0</v>
      </c>
      <c r="AA179">
        <v>0</v>
      </c>
      <c r="AB179">
        <v>9</v>
      </c>
      <c r="AC179">
        <v>3</v>
      </c>
      <c r="AD179">
        <v>0</v>
      </c>
      <c r="AE179">
        <v>9</v>
      </c>
      <c r="AF179" t="s">
        <v>128</v>
      </c>
      <c r="AG179">
        <v>0</v>
      </c>
      <c r="AH179">
        <v>0</v>
      </c>
      <c r="AI179">
        <v>1</v>
      </c>
      <c r="AJ179">
        <v>0</v>
      </c>
      <c r="AK179" t="s">
        <v>222</v>
      </c>
      <c r="AL179">
        <v>33.671765000000001</v>
      </c>
      <c r="AM179" t="s">
        <v>223</v>
      </c>
      <c r="AN179">
        <v>-101.20330800000001</v>
      </c>
      <c r="AO179">
        <v>100</v>
      </c>
      <c r="AP179">
        <v>3300</v>
      </c>
      <c r="AQ179" t="s">
        <v>131</v>
      </c>
      <c r="AR179">
        <v>-21</v>
      </c>
      <c r="AS179">
        <v>76</v>
      </c>
      <c r="AT179">
        <v>0</v>
      </c>
      <c r="BB179" t="str">
        <f t="shared" si="13"/>
        <v>1200</v>
      </c>
      <c r="BC179">
        <v>1</v>
      </c>
      <c r="BD179" t="str">
        <f t="shared" si="14"/>
        <v xml:space="preserve">N445JS  </v>
      </c>
      <c r="BE179">
        <v>7</v>
      </c>
      <c r="BG179">
        <v>0</v>
      </c>
      <c r="BH179">
        <v>0</v>
      </c>
      <c r="BI179">
        <v>0</v>
      </c>
      <c r="BJ179">
        <v>3075</v>
      </c>
      <c r="BK179">
        <v>-225</v>
      </c>
      <c r="BL179" t="s">
        <v>132</v>
      </c>
      <c r="BM179">
        <v>1</v>
      </c>
      <c r="BN179">
        <v>1</v>
      </c>
      <c r="BO179">
        <v>1</v>
      </c>
      <c r="BP179">
        <v>0</v>
      </c>
      <c r="BT179">
        <v>0</v>
      </c>
      <c r="BU179">
        <v>0</v>
      </c>
      <c r="CE179" t="str">
        <f>"15:38:15.159"</f>
        <v>15:38:15.159</v>
      </c>
      <c r="CF179">
        <v>158872925</v>
      </c>
      <c r="CS179">
        <v>0</v>
      </c>
      <c r="CT179">
        <v>2</v>
      </c>
      <c r="CU179">
        <v>0</v>
      </c>
      <c r="CV179">
        <v>2</v>
      </c>
      <c r="CW179">
        <v>0</v>
      </c>
      <c r="CX179">
        <v>7</v>
      </c>
      <c r="CY179">
        <v>7</v>
      </c>
      <c r="CZ179" t="s">
        <v>133</v>
      </c>
      <c r="DA179">
        <v>125</v>
      </c>
      <c r="DB179">
        <v>1</v>
      </c>
      <c r="DC179" t="s">
        <v>134</v>
      </c>
      <c r="DD179" t="s">
        <v>135</v>
      </c>
      <c r="DG179">
        <v>2485603</v>
      </c>
      <c r="DI179">
        <v>0</v>
      </c>
      <c r="DJ179">
        <v>0</v>
      </c>
      <c r="DK179">
        <v>1</v>
      </c>
      <c r="DL179">
        <v>0</v>
      </c>
      <c r="DM179">
        <v>0</v>
      </c>
      <c r="DN179">
        <v>0</v>
      </c>
      <c r="DO179">
        <v>0</v>
      </c>
      <c r="DP179">
        <v>0</v>
      </c>
      <c r="DQ179">
        <v>0</v>
      </c>
      <c r="DR179">
        <v>0</v>
      </c>
      <c r="DS179">
        <v>0</v>
      </c>
    </row>
    <row r="180" spans="1:123" x14ac:dyDescent="0.25">
      <c r="A180" t="str">
        <f>"04/17/2026 15:38:15.472"</f>
        <v>04/17/2026 15:38:15.472</v>
      </c>
      <c r="C180" t="str">
        <f t="shared" si="11"/>
        <v>FFDFD3C0</v>
      </c>
      <c r="D180" t="s">
        <v>124</v>
      </c>
      <c r="E180" t="str">
        <f>"03"</f>
        <v>03</v>
      </c>
      <c r="H180">
        <v>160</v>
      </c>
      <c r="I180" t="s">
        <v>125</v>
      </c>
      <c r="J180" t="s">
        <v>126</v>
      </c>
      <c r="K180">
        <v>0</v>
      </c>
      <c r="L180">
        <v>3</v>
      </c>
      <c r="M180">
        <v>0</v>
      </c>
      <c r="N180">
        <v>2</v>
      </c>
      <c r="O180">
        <v>1</v>
      </c>
      <c r="P180">
        <v>0</v>
      </c>
      <c r="Q180">
        <v>0</v>
      </c>
      <c r="R180" t="s">
        <v>127</v>
      </c>
      <c r="S180" t="str">
        <f>"15:38:15.156"</f>
        <v>15:38:15.156</v>
      </c>
      <c r="T180" t="str">
        <f>"15:38:14.756"</f>
        <v>15:38:14.756</v>
      </c>
      <c r="U180" t="str">
        <f t="shared" si="12"/>
        <v>A55E09</v>
      </c>
      <c r="V180">
        <v>0</v>
      </c>
      <c r="W180">
        <v>0</v>
      </c>
      <c r="X180">
        <v>2</v>
      </c>
      <c r="Y180">
        <v>0</v>
      </c>
      <c r="AA180">
        <v>0</v>
      </c>
      <c r="AB180">
        <v>9</v>
      </c>
      <c r="AC180">
        <v>3</v>
      </c>
      <c r="AD180">
        <v>0</v>
      </c>
      <c r="AE180">
        <v>9</v>
      </c>
      <c r="AF180" t="s">
        <v>128</v>
      </c>
      <c r="AG180">
        <v>0</v>
      </c>
      <c r="AH180">
        <v>0</v>
      </c>
      <c r="AI180">
        <v>1</v>
      </c>
      <c r="AJ180">
        <v>0</v>
      </c>
      <c r="AK180" t="s">
        <v>222</v>
      </c>
      <c r="AL180">
        <v>33.671765000000001</v>
      </c>
      <c r="AM180" t="s">
        <v>223</v>
      </c>
      <c r="AN180">
        <v>-101.20330800000001</v>
      </c>
      <c r="AO180">
        <v>100</v>
      </c>
      <c r="AP180">
        <v>3300</v>
      </c>
      <c r="AQ180" t="s">
        <v>131</v>
      </c>
      <c r="AR180">
        <v>-21</v>
      </c>
      <c r="AS180">
        <v>76</v>
      </c>
      <c r="AT180">
        <v>0</v>
      </c>
      <c r="BB180" t="str">
        <f t="shared" si="13"/>
        <v>1200</v>
      </c>
      <c r="BC180">
        <v>1</v>
      </c>
      <c r="BD180" t="str">
        <f t="shared" si="14"/>
        <v xml:space="preserve">N445JS  </v>
      </c>
      <c r="BE180">
        <v>7</v>
      </c>
      <c r="BG180">
        <v>0</v>
      </c>
      <c r="BH180">
        <v>0</v>
      </c>
      <c r="BI180">
        <v>0</v>
      </c>
      <c r="BJ180">
        <v>3075</v>
      </c>
      <c r="BK180">
        <v>-225</v>
      </c>
      <c r="BL180" t="s">
        <v>132</v>
      </c>
      <c r="BM180">
        <v>1</v>
      </c>
      <c r="BN180">
        <v>1</v>
      </c>
      <c r="BO180">
        <v>1</v>
      </c>
      <c r="BP180">
        <v>0</v>
      </c>
      <c r="BT180">
        <v>0</v>
      </c>
      <c r="BU180">
        <v>0</v>
      </c>
      <c r="CE180" t="str">
        <f>"15:38:15.159"</f>
        <v>15:38:15.159</v>
      </c>
      <c r="CF180">
        <v>158872925</v>
      </c>
      <c r="CS180">
        <v>0</v>
      </c>
      <c r="CT180">
        <v>2</v>
      </c>
      <c r="CU180">
        <v>0</v>
      </c>
      <c r="CV180">
        <v>2</v>
      </c>
      <c r="CW180">
        <v>0</v>
      </c>
      <c r="CX180">
        <v>7</v>
      </c>
      <c r="CY180">
        <v>7</v>
      </c>
      <c r="CZ180" t="s">
        <v>133</v>
      </c>
      <c r="DA180">
        <v>125</v>
      </c>
      <c r="DB180">
        <v>1</v>
      </c>
      <c r="DC180" t="s">
        <v>134</v>
      </c>
      <c r="DD180" t="s">
        <v>135</v>
      </c>
      <c r="DG180">
        <v>2485603</v>
      </c>
      <c r="DI180">
        <v>0</v>
      </c>
      <c r="DJ180">
        <v>0</v>
      </c>
      <c r="DK180">
        <v>1</v>
      </c>
      <c r="DL180">
        <v>0</v>
      </c>
      <c r="DM180">
        <v>0</v>
      </c>
      <c r="DN180">
        <v>0</v>
      </c>
      <c r="DO180">
        <v>0</v>
      </c>
      <c r="DP180">
        <v>0</v>
      </c>
      <c r="DQ180">
        <v>0</v>
      </c>
      <c r="DR180">
        <v>0</v>
      </c>
      <c r="DS180">
        <v>0</v>
      </c>
    </row>
    <row r="181" spans="1:123" x14ac:dyDescent="0.25">
      <c r="A181" t="str">
        <f>"04/17/2026 15:38:15.472"</f>
        <v>04/17/2026 15:38:15.472</v>
      </c>
      <c r="C181" t="str">
        <f t="shared" si="11"/>
        <v>FFDFD3C0</v>
      </c>
      <c r="D181" t="s">
        <v>136</v>
      </c>
      <c r="E181" t="str">
        <f>"0E"</f>
        <v>0E</v>
      </c>
      <c r="F181">
        <v>1014</v>
      </c>
      <c r="G181" t="s">
        <v>125</v>
      </c>
      <c r="J181" t="s">
        <v>137</v>
      </c>
      <c r="K181">
        <v>0</v>
      </c>
      <c r="L181">
        <v>3</v>
      </c>
      <c r="M181">
        <v>0</v>
      </c>
      <c r="N181">
        <v>2</v>
      </c>
      <c r="O181">
        <v>1</v>
      </c>
      <c r="P181">
        <v>0</v>
      </c>
      <c r="Q181">
        <v>0</v>
      </c>
      <c r="R181" t="s">
        <v>127</v>
      </c>
      <c r="S181" t="str">
        <f>"15:38:15.156"</f>
        <v>15:38:15.156</v>
      </c>
      <c r="T181" t="str">
        <f>"15:38:14.756"</f>
        <v>15:38:14.756</v>
      </c>
      <c r="U181" t="str">
        <f t="shared" si="12"/>
        <v>A55E09</v>
      </c>
      <c r="V181">
        <v>0</v>
      </c>
      <c r="W181">
        <v>0</v>
      </c>
      <c r="X181">
        <v>2</v>
      </c>
      <c r="Y181">
        <v>0</v>
      </c>
      <c r="AA181">
        <v>0</v>
      </c>
      <c r="AB181">
        <v>9</v>
      </c>
      <c r="AC181">
        <v>3</v>
      </c>
      <c r="AD181">
        <v>0</v>
      </c>
      <c r="AE181">
        <v>9</v>
      </c>
      <c r="AF181" t="s">
        <v>128</v>
      </c>
      <c r="AG181">
        <v>0</v>
      </c>
      <c r="AH181">
        <v>0</v>
      </c>
      <c r="AI181">
        <v>1</v>
      </c>
      <c r="AJ181">
        <v>0</v>
      </c>
      <c r="AK181" t="s">
        <v>222</v>
      </c>
      <c r="AL181">
        <v>33.671765000000001</v>
      </c>
      <c r="AM181" t="s">
        <v>223</v>
      </c>
      <c r="AN181">
        <v>-101.20330800000001</v>
      </c>
      <c r="AO181">
        <v>100</v>
      </c>
      <c r="AP181">
        <v>3300</v>
      </c>
      <c r="AQ181" t="s">
        <v>131</v>
      </c>
      <c r="AR181">
        <v>-21</v>
      </c>
      <c r="AS181">
        <v>76</v>
      </c>
      <c r="AT181">
        <v>0</v>
      </c>
      <c r="BB181" t="str">
        <f t="shared" si="13"/>
        <v>1200</v>
      </c>
      <c r="BC181">
        <v>1</v>
      </c>
      <c r="BD181" t="str">
        <f t="shared" si="14"/>
        <v xml:space="preserve">N445JS  </v>
      </c>
      <c r="BE181">
        <v>7</v>
      </c>
      <c r="BG181">
        <v>0</v>
      </c>
      <c r="BH181">
        <v>0</v>
      </c>
      <c r="BI181">
        <v>0</v>
      </c>
      <c r="BJ181">
        <v>3075</v>
      </c>
      <c r="BK181">
        <v>-225</v>
      </c>
      <c r="BL181" t="s">
        <v>132</v>
      </c>
      <c r="BM181">
        <v>1</v>
      </c>
      <c r="BN181">
        <v>1</v>
      </c>
      <c r="BO181">
        <v>1</v>
      </c>
      <c r="BP181">
        <v>0</v>
      </c>
      <c r="BT181">
        <v>0</v>
      </c>
      <c r="BU181">
        <v>0</v>
      </c>
      <c r="CE181" t="str">
        <f>"15:38:15.159"</f>
        <v>15:38:15.159</v>
      </c>
      <c r="CF181">
        <v>158872925</v>
      </c>
      <c r="CS181">
        <v>0</v>
      </c>
      <c r="CT181">
        <v>2</v>
      </c>
      <c r="CU181">
        <v>0</v>
      </c>
      <c r="CV181">
        <v>2</v>
      </c>
      <c r="CW181">
        <v>0</v>
      </c>
      <c r="CX181">
        <v>7</v>
      </c>
      <c r="CY181">
        <v>7</v>
      </c>
      <c r="CZ181" t="s">
        <v>133</v>
      </c>
      <c r="DA181">
        <v>125</v>
      </c>
      <c r="DB181">
        <v>1</v>
      </c>
      <c r="DC181" t="s">
        <v>134</v>
      </c>
      <c r="DD181" t="s">
        <v>135</v>
      </c>
      <c r="DG181">
        <v>2485603</v>
      </c>
      <c r="DI181">
        <v>0</v>
      </c>
      <c r="DJ181">
        <v>0</v>
      </c>
      <c r="DK181">
        <v>1</v>
      </c>
      <c r="DL181">
        <v>0</v>
      </c>
      <c r="DM181">
        <v>0</v>
      </c>
      <c r="DN181">
        <v>0</v>
      </c>
      <c r="DO181">
        <v>0</v>
      </c>
      <c r="DP181">
        <v>0</v>
      </c>
      <c r="DQ181">
        <v>0</v>
      </c>
      <c r="DR181">
        <v>0</v>
      </c>
      <c r="DS181">
        <v>0</v>
      </c>
    </row>
    <row r="182" spans="1:123" x14ac:dyDescent="0.25">
      <c r="A182" t="str">
        <f>"04/17/2026 15:38:16.523"</f>
        <v>04/17/2026 15:38:16.523</v>
      </c>
      <c r="C182" t="str">
        <f t="shared" si="11"/>
        <v>FFDFD3C0</v>
      </c>
      <c r="D182" t="s">
        <v>136</v>
      </c>
      <c r="E182" t="str">
        <f>"0E"</f>
        <v>0E</v>
      </c>
      <c r="F182">
        <v>1014</v>
      </c>
      <c r="G182" t="s">
        <v>125</v>
      </c>
      <c r="J182" t="s">
        <v>137</v>
      </c>
      <c r="K182">
        <v>0</v>
      </c>
      <c r="L182">
        <v>3</v>
      </c>
      <c r="M182">
        <v>0</v>
      </c>
      <c r="N182">
        <v>2</v>
      </c>
      <c r="O182">
        <v>1</v>
      </c>
      <c r="P182">
        <v>0</v>
      </c>
      <c r="Q182">
        <v>0</v>
      </c>
      <c r="R182" t="s">
        <v>127</v>
      </c>
      <c r="S182" t="str">
        <f>"15:38:16.234"</f>
        <v>15:38:16.234</v>
      </c>
      <c r="T182" t="str">
        <f>"15:38:16.134"</f>
        <v>15:38:16.134</v>
      </c>
      <c r="U182" t="str">
        <f t="shared" si="12"/>
        <v>A55E09</v>
      </c>
      <c r="V182">
        <v>0</v>
      </c>
      <c r="W182">
        <v>0</v>
      </c>
      <c r="X182">
        <v>2</v>
      </c>
      <c r="Y182">
        <v>0</v>
      </c>
      <c r="AA182">
        <v>0</v>
      </c>
      <c r="AB182">
        <v>9</v>
      </c>
      <c r="AC182">
        <v>3</v>
      </c>
      <c r="AD182">
        <v>0</v>
      </c>
      <c r="AE182">
        <v>9</v>
      </c>
      <c r="AF182" t="s">
        <v>128</v>
      </c>
      <c r="AG182">
        <v>0</v>
      </c>
      <c r="AH182">
        <v>0</v>
      </c>
      <c r="AI182">
        <v>1</v>
      </c>
      <c r="AJ182">
        <v>0</v>
      </c>
      <c r="AK182" t="s">
        <v>224</v>
      </c>
      <c r="AL182">
        <v>33.672130000000003</v>
      </c>
      <c r="AM182" t="s">
        <v>225</v>
      </c>
      <c r="AN182">
        <v>-101.20341500000001</v>
      </c>
      <c r="AO182">
        <v>100</v>
      </c>
      <c r="AP182">
        <v>3300</v>
      </c>
      <c r="AQ182" t="s">
        <v>131</v>
      </c>
      <c r="AR182">
        <v>-21</v>
      </c>
      <c r="AS182">
        <v>75</v>
      </c>
      <c r="AT182">
        <v>192</v>
      </c>
      <c r="BB182" t="str">
        <f t="shared" si="13"/>
        <v>1200</v>
      </c>
      <c r="BC182">
        <v>1</v>
      </c>
      <c r="BD182" t="str">
        <f t="shared" si="14"/>
        <v xml:space="preserve">N445JS  </v>
      </c>
      <c r="BE182">
        <v>7</v>
      </c>
      <c r="BG182">
        <v>0</v>
      </c>
      <c r="BH182">
        <v>0</v>
      </c>
      <c r="BI182">
        <v>0</v>
      </c>
      <c r="BJ182">
        <v>3075</v>
      </c>
      <c r="BK182">
        <v>-225</v>
      </c>
      <c r="BL182" t="s">
        <v>132</v>
      </c>
      <c r="BM182">
        <v>1</v>
      </c>
      <c r="BN182">
        <v>1</v>
      </c>
      <c r="BO182">
        <v>1</v>
      </c>
      <c r="BP182">
        <v>0</v>
      </c>
      <c r="BT182">
        <v>0</v>
      </c>
      <c r="BU182">
        <v>0</v>
      </c>
      <c r="CE182" t="str">
        <f>"15:38:16.239"</f>
        <v>15:38:16.239</v>
      </c>
      <c r="CF182">
        <v>238767040</v>
      </c>
      <c r="CS182">
        <v>0</v>
      </c>
      <c r="CT182">
        <v>2</v>
      </c>
      <c r="CU182">
        <v>0</v>
      </c>
      <c r="CV182">
        <v>2</v>
      </c>
      <c r="CW182">
        <v>0</v>
      </c>
      <c r="CX182">
        <v>6</v>
      </c>
      <c r="CY182">
        <v>7</v>
      </c>
      <c r="CZ182" t="s">
        <v>133</v>
      </c>
      <c r="DA182">
        <v>125</v>
      </c>
      <c r="DB182">
        <v>1</v>
      </c>
      <c r="DC182" t="s">
        <v>134</v>
      </c>
      <c r="DD182" t="s">
        <v>135</v>
      </c>
      <c r="DG182">
        <v>2486631</v>
      </c>
      <c r="DI182">
        <v>0</v>
      </c>
      <c r="DJ182">
        <v>0</v>
      </c>
      <c r="DK182">
        <v>0</v>
      </c>
      <c r="DL182">
        <v>0</v>
      </c>
      <c r="DM182">
        <v>0</v>
      </c>
      <c r="DN182">
        <v>0</v>
      </c>
      <c r="DO182">
        <v>0</v>
      </c>
      <c r="DP182">
        <v>0</v>
      </c>
      <c r="DQ182">
        <v>0</v>
      </c>
      <c r="DR182">
        <v>0</v>
      </c>
      <c r="DS182">
        <v>0</v>
      </c>
    </row>
    <row r="183" spans="1:123" x14ac:dyDescent="0.25">
      <c r="A183" t="str">
        <f>"04/17/2026 15:38:16.524"</f>
        <v>04/17/2026 15:38:16.524</v>
      </c>
      <c r="C183" t="str">
        <f t="shared" si="11"/>
        <v>FFDFD3C0</v>
      </c>
      <c r="D183" t="s">
        <v>124</v>
      </c>
      <c r="E183" t="str">
        <f>"03"</f>
        <v>03</v>
      </c>
      <c r="H183">
        <v>160</v>
      </c>
      <c r="I183" t="s">
        <v>125</v>
      </c>
      <c r="J183" t="s">
        <v>126</v>
      </c>
      <c r="K183">
        <v>0</v>
      </c>
      <c r="L183">
        <v>3</v>
      </c>
      <c r="M183">
        <v>0</v>
      </c>
      <c r="N183">
        <v>2</v>
      </c>
      <c r="O183">
        <v>1</v>
      </c>
      <c r="P183">
        <v>0</v>
      </c>
      <c r="Q183">
        <v>0</v>
      </c>
      <c r="R183" t="s">
        <v>127</v>
      </c>
      <c r="S183" t="str">
        <f>"15:38:16.234"</f>
        <v>15:38:16.234</v>
      </c>
      <c r="T183" t="str">
        <f>"15:38:16.134"</f>
        <v>15:38:16.134</v>
      </c>
      <c r="U183" t="str">
        <f t="shared" si="12"/>
        <v>A55E09</v>
      </c>
      <c r="V183">
        <v>0</v>
      </c>
      <c r="W183">
        <v>0</v>
      </c>
      <c r="X183">
        <v>2</v>
      </c>
      <c r="Y183">
        <v>0</v>
      </c>
      <c r="AA183">
        <v>0</v>
      </c>
      <c r="AB183">
        <v>9</v>
      </c>
      <c r="AC183">
        <v>3</v>
      </c>
      <c r="AD183">
        <v>0</v>
      </c>
      <c r="AE183">
        <v>9</v>
      </c>
      <c r="AF183" t="s">
        <v>128</v>
      </c>
      <c r="AG183">
        <v>0</v>
      </c>
      <c r="AH183">
        <v>0</v>
      </c>
      <c r="AI183">
        <v>1</v>
      </c>
      <c r="AJ183">
        <v>0</v>
      </c>
      <c r="AK183" t="s">
        <v>224</v>
      </c>
      <c r="AL183">
        <v>33.672130000000003</v>
      </c>
      <c r="AM183" t="s">
        <v>225</v>
      </c>
      <c r="AN183">
        <v>-101.20341500000001</v>
      </c>
      <c r="AO183">
        <v>100</v>
      </c>
      <c r="AP183">
        <v>3300</v>
      </c>
      <c r="AQ183" t="s">
        <v>131</v>
      </c>
      <c r="AR183">
        <v>-21</v>
      </c>
      <c r="AS183">
        <v>75</v>
      </c>
      <c r="AT183">
        <v>192</v>
      </c>
      <c r="BB183" t="str">
        <f t="shared" si="13"/>
        <v>1200</v>
      </c>
      <c r="BC183">
        <v>1</v>
      </c>
      <c r="BD183" t="str">
        <f t="shared" si="14"/>
        <v xml:space="preserve">N445JS  </v>
      </c>
      <c r="BE183">
        <v>7</v>
      </c>
      <c r="BG183">
        <v>0</v>
      </c>
      <c r="BH183">
        <v>0</v>
      </c>
      <c r="BI183">
        <v>0</v>
      </c>
      <c r="BJ183">
        <v>3075</v>
      </c>
      <c r="BK183">
        <v>-225</v>
      </c>
      <c r="BL183" t="s">
        <v>132</v>
      </c>
      <c r="BM183">
        <v>1</v>
      </c>
      <c r="BN183">
        <v>1</v>
      </c>
      <c r="BO183">
        <v>1</v>
      </c>
      <c r="BP183">
        <v>0</v>
      </c>
      <c r="BT183">
        <v>0</v>
      </c>
      <c r="BU183">
        <v>0</v>
      </c>
      <c r="CE183" t="str">
        <f>"15:38:16.239"</f>
        <v>15:38:16.239</v>
      </c>
      <c r="CF183">
        <v>238767040</v>
      </c>
      <c r="CS183">
        <v>0</v>
      </c>
      <c r="CT183">
        <v>2</v>
      </c>
      <c r="CU183">
        <v>0</v>
      </c>
      <c r="CV183">
        <v>2</v>
      </c>
      <c r="CW183">
        <v>0</v>
      </c>
      <c r="CX183">
        <v>6</v>
      </c>
      <c r="CY183">
        <v>7</v>
      </c>
      <c r="CZ183" t="s">
        <v>133</v>
      </c>
      <c r="DA183">
        <v>125</v>
      </c>
      <c r="DB183">
        <v>1</v>
      </c>
      <c r="DC183" t="s">
        <v>134</v>
      </c>
      <c r="DD183" t="s">
        <v>135</v>
      </c>
      <c r="DG183">
        <v>2486631</v>
      </c>
      <c r="DI183">
        <v>0</v>
      </c>
      <c r="DJ183">
        <v>0</v>
      </c>
      <c r="DK183">
        <v>1</v>
      </c>
      <c r="DL183">
        <v>0</v>
      </c>
      <c r="DM183">
        <v>0</v>
      </c>
      <c r="DN183">
        <v>0</v>
      </c>
      <c r="DO183">
        <v>0</v>
      </c>
      <c r="DP183">
        <v>0</v>
      </c>
      <c r="DQ183">
        <v>0</v>
      </c>
      <c r="DR183">
        <v>0</v>
      </c>
      <c r="DS183">
        <v>0</v>
      </c>
    </row>
    <row r="184" spans="1:123" x14ac:dyDescent="0.25">
      <c r="A184" t="str">
        <f>"04/17/2026 15:38:16.524"</f>
        <v>04/17/2026 15:38:16.524</v>
      </c>
      <c r="C184" t="str">
        <f t="shared" si="11"/>
        <v>FFDFD3C0</v>
      </c>
      <c r="D184" t="s">
        <v>136</v>
      </c>
      <c r="E184" t="str">
        <f>"0F"</f>
        <v>0F</v>
      </c>
      <c r="F184">
        <v>1015</v>
      </c>
      <c r="G184" t="s">
        <v>138</v>
      </c>
      <c r="J184" t="s">
        <v>137</v>
      </c>
      <c r="K184">
        <v>0</v>
      </c>
      <c r="L184">
        <v>3</v>
      </c>
      <c r="M184">
        <v>0</v>
      </c>
      <c r="N184">
        <v>2</v>
      </c>
      <c r="O184">
        <v>1</v>
      </c>
      <c r="P184">
        <v>0</v>
      </c>
      <c r="Q184">
        <v>0</v>
      </c>
      <c r="R184" t="s">
        <v>127</v>
      </c>
      <c r="S184" t="str">
        <f>"15:38:16.234"</f>
        <v>15:38:16.234</v>
      </c>
      <c r="T184" t="str">
        <f>"15:38:16.134"</f>
        <v>15:38:16.134</v>
      </c>
      <c r="U184" t="str">
        <f t="shared" si="12"/>
        <v>A55E09</v>
      </c>
      <c r="V184">
        <v>0</v>
      </c>
      <c r="W184">
        <v>0</v>
      </c>
      <c r="X184">
        <v>2</v>
      </c>
      <c r="Y184">
        <v>0</v>
      </c>
      <c r="AA184">
        <v>0</v>
      </c>
      <c r="AB184">
        <v>9</v>
      </c>
      <c r="AC184">
        <v>3</v>
      </c>
      <c r="AD184">
        <v>0</v>
      </c>
      <c r="AE184">
        <v>9</v>
      </c>
      <c r="AF184" t="s">
        <v>128</v>
      </c>
      <c r="AG184">
        <v>0</v>
      </c>
      <c r="AH184">
        <v>0</v>
      </c>
      <c r="AI184">
        <v>1</v>
      </c>
      <c r="AJ184">
        <v>0</v>
      </c>
      <c r="AK184" t="s">
        <v>224</v>
      </c>
      <c r="AL184">
        <v>33.672130000000003</v>
      </c>
      <c r="AM184" t="s">
        <v>225</v>
      </c>
      <c r="AN184">
        <v>-101.20341500000001</v>
      </c>
      <c r="AO184">
        <v>100</v>
      </c>
      <c r="AP184">
        <v>3300</v>
      </c>
      <c r="AQ184" t="s">
        <v>131</v>
      </c>
      <c r="AR184">
        <v>-21</v>
      </c>
      <c r="AS184">
        <v>75</v>
      </c>
      <c r="AT184">
        <v>192</v>
      </c>
      <c r="BB184" t="str">
        <f t="shared" si="13"/>
        <v>1200</v>
      </c>
      <c r="BC184">
        <v>1</v>
      </c>
      <c r="BD184" t="str">
        <f t="shared" si="14"/>
        <v xml:space="preserve">N445JS  </v>
      </c>
      <c r="BE184">
        <v>7</v>
      </c>
      <c r="BG184">
        <v>0</v>
      </c>
      <c r="BH184">
        <v>0</v>
      </c>
      <c r="BI184">
        <v>0</v>
      </c>
      <c r="BJ184">
        <v>3075</v>
      </c>
      <c r="BK184">
        <v>-225</v>
      </c>
      <c r="BL184" t="s">
        <v>132</v>
      </c>
      <c r="BM184">
        <v>1</v>
      </c>
      <c r="BN184">
        <v>1</v>
      </c>
      <c r="BO184">
        <v>1</v>
      </c>
      <c r="BP184">
        <v>0</v>
      </c>
      <c r="BT184">
        <v>0</v>
      </c>
      <c r="BU184">
        <v>0</v>
      </c>
      <c r="CE184" t="str">
        <f>"15:38:16.239"</f>
        <v>15:38:16.239</v>
      </c>
      <c r="CF184">
        <v>238767040</v>
      </c>
      <c r="CS184">
        <v>0</v>
      </c>
      <c r="CT184">
        <v>2</v>
      </c>
      <c r="CU184">
        <v>0</v>
      </c>
      <c r="CV184">
        <v>2</v>
      </c>
      <c r="CW184">
        <v>0</v>
      </c>
      <c r="CX184">
        <v>6</v>
      </c>
      <c r="CY184">
        <v>7</v>
      </c>
      <c r="CZ184" t="s">
        <v>133</v>
      </c>
      <c r="DA184">
        <v>125</v>
      </c>
      <c r="DB184">
        <v>1</v>
      </c>
      <c r="DC184" t="s">
        <v>134</v>
      </c>
      <c r="DD184" t="s">
        <v>135</v>
      </c>
      <c r="DG184">
        <v>2486631</v>
      </c>
      <c r="DI184">
        <v>0</v>
      </c>
      <c r="DJ184">
        <v>0</v>
      </c>
      <c r="DK184">
        <v>1</v>
      </c>
      <c r="DL184">
        <v>0</v>
      </c>
      <c r="DM184">
        <v>0</v>
      </c>
      <c r="DN184">
        <v>0</v>
      </c>
      <c r="DO184">
        <v>0</v>
      </c>
      <c r="DP184">
        <v>0</v>
      </c>
      <c r="DQ184">
        <v>0</v>
      </c>
      <c r="DR184">
        <v>0</v>
      </c>
      <c r="DS184">
        <v>0</v>
      </c>
    </row>
    <row r="185" spans="1:123" x14ac:dyDescent="0.25">
      <c r="A185" t="str">
        <f>"04/17/2026 15:38:16.550"</f>
        <v>04/17/2026 15:38:16.550</v>
      </c>
      <c r="C185" t="str">
        <f t="shared" si="11"/>
        <v>FFDFD3C0</v>
      </c>
      <c r="D185" t="s">
        <v>139</v>
      </c>
      <c r="E185" t="str">
        <f>"28"</f>
        <v>28</v>
      </c>
      <c r="H185">
        <v>140</v>
      </c>
      <c r="I185" t="s">
        <v>140</v>
      </c>
      <c r="J185" t="s">
        <v>141</v>
      </c>
      <c r="K185">
        <v>0</v>
      </c>
      <c r="L185">
        <v>3</v>
      </c>
      <c r="M185">
        <v>0</v>
      </c>
      <c r="N185">
        <v>2</v>
      </c>
      <c r="O185">
        <v>1</v>
      </c>
      <c r="P185">
        <v>0</v>
      </c>
      <c r="Q185">
        <v>0</v>
      </c>
      <c r="R185" t="s">
        <v>127</v>
      </c>
      <c r="S185" t="str">
        <f>"15:38:16.234"</f>
        <v>15:38:16.234</v>
      </c>
      <c r="T185" t="str">
        <f>"15:38:16.134"</f>
        <v>15:38:16.134</v>
      </c>
      <c r="U185" t="str">
        <f t="shared" si="12"/>
        <v>A55E09</v>
      </c>
      <c r="V185">
        <v>0</v>
      </c>
      <c r="W185">
        <v>0</v>
      </c>
      <c r="X185">
        <v>2</v>
      </c>
      <c r="Y185">
        <v>0</v>
      </c>
      <c r="AA185">
        <v>0</v>
      </c>
      <c r="AB185">
        <v>9</v>
      </c>
      <c r="AC185">
        <v>3</v>
      </c>
      <c r="AD185">
        <v>0</v>
      </c>
      <c r="AE185">
        <v>9</v>
      </c>
      <c r="AF185" t="s">
        <v>128</v>
      </c>
      <c r="AG185">
        <v>0</v>
      </c>
      <c r="AH185">
        <v>0</v>
      </c>
      <c r="AI185">
        <v>1</v>
      </c>
      <c r="AJ185">
        <v>0</v>
      </c>
      <c r="AK185" t="s">
        <v>224</v>
      </c>
      <c r="AL185">
        <v>33.672130000000003</v>
      </c>
      <c r="AM185" t="s">
        <v>225</v>
      </c>
      <c r="AN185">
        <v>-101.20341500000001</v>
      </c>
      <c r="AO185">
        <v>100</v>
      </c>
      <c r="AP185">
        <v>3300</v>
      </c>
      <c r="AQ185" t="s">
        <v>131</v>
      </c>
      <c r="AR185">
        <v>-21</v>
      </c>
      <c r="AS185">
        <v>75</v>
      </c>
      <c r="AT185">
        <v>192</v>
      </c>
      <c r="BB185" t="str">
        <f t="shared" si="13"/>
        <v>1200</v>
      </c>
      <c r="BC185">
        <v>1</v>
      </c>
      <c r="BD185" t="str">
        <f t="shared" si="14"/>
        <v xml:space="preserve">N445JS  </v>
      </c>
      <c r="BE185">
        <v>7</v>
      </c>
      <c r="BG185">
        <v>0</v>
      </c>
      <c r="BH185">
        <v>0</v>
      </c>
      <c r="BI185">
        <v>0</v>
      </c>
      <c r="BJ185">
        <v>3075</v>
      </c>
      <c r="BK185">
        <v>-225</v>
      </c>
      <c r="BL185" t="s">
        <v>132</v>
      </c>
      <c r="BM185">
        <v>1</v>
      </c>
      <c r="BN185">
        <v>1</v>
      </c>
      <c r="BO185">
        <v>1</v>
      </c>
      <c r="BP185">
        <v>0</v>
      </c>
      <c r="BT185">
        <v>0</v>
      </c>
      <c r="BU185">
        <v>0</v>
      </c>
      <c r="CE185" t="str">
        <f>"15:38:16.239"</f>
        <v>15:38:16.239</v>
      </c>
      <c r="CF185">
        <v>238767040</v>
      </c>
      <c r="CS185">
        <v>0</v>
      </c>
      <c r="CT185">
        <v>2</v>
      </c>
      <c r="CU185">
        <v>0</v>
      </c>
      <c r="CV185">
        <v>2</v>
      </c>
      <c r="CW185">
        <v>0</v>
      </c>
      <c r="CX185">
        <v>6</v>
      </c>
      <c r="CY185">
        <v>7</v>
      </c>
      <c r="CZ185" t="s">
        <v>133</v>
      </c>
      <c r="DA185">
        <v>125</v>
      </c>
      <c r="DB185">
        <v>1</v>
      </c>
      <c r="DC185" t="s">
        <v>134</v>
      </c>
      <c r="DD185" t="s">
        <v>135</v>
      </c>
      <c r="DG185">
        <v>2486631</v>
      </c>
      <c r="DI185">
        <v>0</v>
      </c>
      <c r="DJ185">
        <v>0</v>
      </c>
      <c r="DK185">
        <v>1</v>
      </c>
      <c r="DL185">
        <v>0</v>
      </c>
      <c r="DM185">
        <v>0</v>
      </c>
      <c r="DN185">
        <v>0</v>
      </c>
      <c r="DO185">
        <v>0</v>
      </c>
      <c r="DP185">
        <v>0</v>
      </c>
      <c r="DQ185">
        <v>0</v>
      </c>
      <c r="DR185">
        <v>0</v>
      </c>
      <c r="DS185">
        <v>0</v>
      </c>
    </row>
    <row r="186" spans="1:123" x14ac:dyDescent="0.25">
      <c r="A186" t="str">
        <f>"04/17/2026 15:38:17.376"</f>
        <v>04/17/2026 15:38:17.376</v>
      </c>
      <c r="C186" t="str">
        <f t="shared" si="11"/>
        <v>FFDFD3C0</v>
      </c>
      <c r="D186" t="s">
        <v>136</v>
      </c>
      <c r="E186" t="str">
        <f>"0F"</f>
        <v>0F</v>
      </c>
      <c r="F186">
        <v>1015</v>
      </c>
      <c r="G186" t="s">
        <v>138</v>
      </c>
      <c r="J186" t="s">
        <v>137</v>
      </c>
      <c r="K186">
        <v>0</v>
      </c>
      <c r="L186">
        <v>3</v>
      </c>
      <c r="M186">
        <v>0</v>
      </c>
      <c r="N186">
        <v>2</v>
      </c>
      <c r="O186">
        <v>1</v>
      </c>
      <c r="P186">
        <v>0</v>
      </c>
      <c r="Q186">
        <v>0</v>
      </c>
      <c r="R186" t="s">
        <v>127</v>
      </c>
      <c r="S186" t="str">
        <f t="shared" ref="S186:T189" si="16">"15:38:17.148"</f>
        <v>15:38:17.148</v>
      </c>
      <c r="T186" t="str">
        <f t="shared" si="16"/>
        <v>15:38:17.148</v>
      </c>
      <c r="U186" t="str">
        <f t="shared" si="12"/>
        <v>A55E09</v>
      </c>
      <c r="V186">
        <v>0</v>
      </c>
      <c r="W186">
        <v>0</v>
      </c>
      <c r="X186">
        <v>2</v>
      </c>
      <c r="Y186">
        <v>0</v>
      </c>
      <c r="AA186">
        <v>0</v>
      </c>
      <c r="AB186">
        <v>9</v>
      </c>
      <c r="AC186">
        <v>3</v>
      </c>
      <c r="AD186">
        <v>0</v>
      </c>
      <c r="AE186">
        <v>9</v>
      </c>
      <c r="AF186" t="s">
        <v>128</v>
      </c>
      <c r="AG186">
        <v>0</v>
      </c>
      <c r="AH186">
        <v>0</v>
      </c>
      <c r="AI186">
        <v>1</v>
      </c>
      <c r="AJ186">
        <v>0</v>
      </c>
      <c r="AK186" t="s">
        <v>226</v>
      </c>
      <c r="AL186">
        <v>33.672452</v>
      </c>
      <c r="AM186" t="s">
        <v>227</v>
      </c>
      <c r="AN186">
        <v>-101.203523</v>
      </c>
      <c r="AO186">
        <v>100</v>
      </c>
      <c r="AP186">
        <v>3300</v>
      </c>
      <c r="AQ186" t="s">
        <v>131</v>
      </c>
      <c r="AR186">
        <v>-22</v>
      </c>
      <c r="AS186">
        <v>74</v>
      </c>
      <c r="AT186">
        <v>256</v>
      </c>
      <c r="BB186" t="str">
        <f t="shared" si="13"/>
        <v>1200</v>
      </c>
      <c r="BC186">
        <v>1</v>
      </c>
      <c r="BD186" t="str">
        <f t="shared" si="14"/>
        <v xml:space="preserve">N445JS  </v>
      </c>
      <c r="BE186">
        <v>7</v>
      </c>
      <c r="BG186">
        <v>0</v>
      </c>
      <c r="BH186">
        <v>0</v>
      </c>
      <c r="BI186">
        <v>0</v>
      </c>
      <c r="BJ186">
        <v>3100</v>
      </c>
      <c r="BK186">
        <v>-200</v>
      </c>
      <c r="BL186" t="s">
        <v>132</v>
      </c>
      <c r="BM186">
        <v>1</v>
      </c>
      <c r="BN186">
        <v>1</v>
      </c>
      <c r="BO186">
        <v>1</v>
      </c>
      <c r="BP186">
        <v>0</v>
      </c>
      <c r="BT186">
        <v>0</v>
      </c>
      <c r="BU186">
        <v>0</v>
      </c>
      <c r="CE186" t="str">
        <f>"15:38:17.154"</f>
        <v>15:38:17.154</v>
      </c>
      <c r="CF186">
        <v>153677334</v>
      </c>
      <c r="CS186">
        <v>0</v>
      </c>
      <c r="CT186">
        <v>2</v>
      </c>
      <c r="CU186">
        <v>0</v>
      </c>
      <c r="CV186">
        <v>2</v>
      </c>
      <c r="CW186">
        <v>0</v>
      </c>
      <c r="CX186">
        <v>6</v>
      </c>
      <c r="CY186">
        <v>7</v>
      </c>
      <c r="CZ186" t="s">
        <v>133</v>
      </c>
      <c r="DA186">
        <v>125</v>
      </c>
      <c r="DB186">
        <v>1</v>
      </c>
      <c r="DC186" t="s">
        <v>134</v>
      </c>
      <c r="DD186" t="s">
        <v>135</v>
      </c>
      <c r="DG186">
        <v>2487529</v>
      </c>
      <c r="DI186">
        <v>0</v>
      </c>
      <c r="DJ186">
        <v>0</v>
      </c>
      <c r="DK186">
        <v>0</v>
      </c>
      <c r="DL186">
        <v>0</v>
      </c>
      <c r="DM186">
        <v>0</v>
      </c>
      <c r="DN186">
        <v>0</v>
      </c>
      <c r="DO186">
        <v>0</v>
      </c>
      <c r="DP186">
        <v>0</v>
      </c>
      <c r="DQ186">
        <v>0</v>
      </c>
      <c r="DR186">
        <v>0</v>
      </c>
      <c r="DS186">
        <v>0</v>
      </c>
    </row>
    <row r="187" spans="1:123" x14ac:dyDescent="0.25">
      <c r="A187" t="str">
        <f>"04/17/2026 15:38:17.375"</f>
        <v>04/17/2026 15:38:17.375</v>
      </c>
      <c r="C187" t="str">
        <f t="shared" si="11"/>
        <v>FFDFD3C0</v>
      </c>
      <c r="D187" t="s">
        <v>136</v>
      </c>
      <c r="E187" t="str">
        <f>"0E"</f>
        <v>0E</v>
      </c>
      <c r="F187">
        <v>1014</v>
      </c>
      <c r="G187" t="s">
        <v>125</v>
      </c>
      <c r="J187" t="s">
        <v>137</v>
      </c>
      <c r="K187">
        <v>0</v>
      </c>
      <c r="L187">
        <v>3</v>
      </c>
      <c r="M187">
        <v>0</v>
      </c>
      <c r="N187">
        <v>2</v>
      </c>
      <c r="O187">
        <v>1</v>
      </c>
      <c r="P187">
        <v>0</v>
      </c>
      <c r="Q187">
        <v>0</v>
      </c>
      <c r="R187" t="s">
        <v>127</v>
      </c>
      <c r="S187" t="str">
        <f t="shared" si="16"/>
        <v>15:38:17.148</v>
      </c>
      <c r="T187" t="str">
        <f t="shared" si="16"/>
        <v>15:38:17.148</v>
      </c>
      <c r="U187" t="str">
        <f t="shared" si="12"/>
        <v>A55E09</v>
      </c>
      <c r="V187">
        <v>0</v>
      </c>
      <c r="W187">
        <v>0</v>
      </c>
      <c r="X187">
        <v>2</v>
      </c>
      <c r="Y187">
        <v>0</v>
      </c>
      <c r="AA187">
        <v>0</v>
      </c>
      <c r="AB187">
        <v>9</v>
      </c>
      <c r="AC187">
        <v>3</v>
      </c>
      <c r="AD187">
        <v>0</v>
      </c>
      <c r="AE187">
        <v>9</v>
      </c>
      <c r="AF187" t="s">
        <v>128</v>
      </c>
      <c r="AG187">
        <v>0</v>
      </c>
      <c r="AH187">
        <v>0</v>
      </c>
      <c r="AI187">
        <v>1</v>
      </c>
      <c r="AJ187">
        <v>0</v>
      </c>
      <c r="AK187" t="s">
        <v>226</v>
      </c>
      <c r="AL187">
        <v>33.672452</v>
      </c>
      <c r="AM187" t="s">
        <v>227</v>
      </c>
      <c r="AN187">
        <v>-101.203523</v>
      </c>
      <c r="AO187">
        <v>100</v>
      </c>
      <c r="AP187">
        <v>3300</v>
      </c>
      <c r="AQ187" t="s">
        <v>131</v>
      </c>
      <c r="AR187">
        <v>-22</v>
      </c>
      <c r="AS187">
        <v>74</v>
      </c>
      <c r="AT187">
        <v>256</v>
      </c>
      <c r="BB187" t="str">
        <f t="shared" si="13"/>
        <v>1200</v>
      </c>
      <c r="BC187">
        <v>1</v>
      </c>
      <c r="BD187" t="str">
        <f t="shared" si="14"/>
        <v xml:space="preserve">N445JS  </v>
      </c>
      <c r="BE187">
        <v>7</v>
      </c>
      <c r="BG187">
        <v>0</v>
      </c>
      <c r="BH187">
        <v>0</v>
      </c>
      <c r="BI187">
        <v>0</v>
      </c>
      <c r="BJ187">
        <v>3100</v>
      </c>
      <c r="BK187">
        <v>-200</v>
      </c>
      <c r="BL187" t="s">
        <v>132</v>
      </c>
      <c r="BM187">
        <v>1</v>
      </c>
      <c r="BN187">
        <v>1</v>
      </c>
      <c r="BO187">
        <v>1</v>
      </c>
      <c r="BP187">
        <v>0</v>
      </c>
      <c r="BT187">
        <v>0</v>
      </c>
      <c r="BU187">
        <v>0</v>
      </c>
      <c r="CE187" t="str">
        <f>"15:38:17.154"</f>
        <v>15:38:17.154</v>
      </c>
      <c r="CF187">
        <v>153677334</v>
      </c>
      <c r="CS187">
        <v>0</v>
      </c>
      <c r="CT187">
        <v>2</v>
      </c>
      <c r="CU187">
        <v>0</v>
      </c>
      <c r="CV187">
        <v>2</v>
      </c>
      <c r="CW187">
        <v>0</v>
      </c>
      <c r="CX187">
        <v>6</v>
      </c>
      <c r="CY187">
        <v>7</v>
      </c>
      <c r="CZ187" t="s">
        <v>133</v>
      </c>
      <c r="DA187">
        <v>125</v>
      </c>
      <c r="DB187">
        <v>1</v>
      </c>
      <c r="DC187" t="s">
        <v>134</v>
      </c>
      <c r="DD187" t="s">
        <v>135</v>
      </c>
      <c r="DG187">
        <v>2487529</v>
      </c>
      <c r="DI187">
        <v>0</v>
      </c>
      <c r="DJ187">
        <v>0</v>
      </c>
      <c r="DK187">
        <v>1</v>
      </c>
      <c r="DL187">
        <v>0</v>
      </c>
      <c r="DM187">
        <v>0</v>
      </c>
      <c r="DN187">
        <v>0</v>
      </c>
      <c r="DO187">
        <v>0</v>
      </c>
      <c r="DP187">
        <v>0</v>
      </c>
      <c r="DQ187">
        <v>0</v>
      </c>
      <c r="DR187">
        <v>0</v>
      </c>
      <c r="DS187">
        <v>0</v>
      </c>
    </row>
    <row r="188" spans="1:123" x14ac:dyDescent="0.25">
      <c r="A188" t="str">
        <f>"04/17/2026 15:38:17.375"</f>
        <v>04/17/2026 15:38:17.375</v>
      </c>
      <c r="C188" t="str">
        <f t="shared" si="11"/>
        <v>FFDFD3C0</v>
      </c>
      <c r="D188" t="s">
        <v>124</v>
      </c>
      <c r="E188" t="str">
        <f>"03"</f>
        <v>03</v>
      </c>
      <c r="H188">
        <v>160</v>
      </c>
      <c r="I188" t="s">
        <v>125</v>
      </c>
      <c r="J188" t="s">
        <v>126</v>
      </c>
      <c r="K188">
        <v>0</v>
      </c>
      <c r="L188">
        <v>3</v>
      </c>
      <c r="M188">
        <v>0</v>
      </c>
      <c r="N188">
        <v>2</v>
      </c>
      <c r="O188">
        <v>1</v>
      </c>
      <c r="P188">
        <v>0</v>
      </c>
      <c r="Q188">
        <v>0</v>
      </c>
      <c r="R188" t="s">
        <v>127</v>
      </c>
      <c r="S188" t="str">
        <f t="shared" si="16"/>
        <v>15:38:17.148</v>
      </c>
      <c r="T188" t="str">
        <f t="shared" si="16"/>
        <v>15:38:17.148</v>
      </c>
      <c r="U188" t="str">
        <f t="shared" si="12"/>
        <v>A55E09</v>
      </c>
      <c r="V188">
        <v>0</v>
      </c>
      <c r="W188">
        <v>0</v>
      </c>
      <c r="X188">
        <v>2</v>
      </c>
      <c r="Y188">
        <v>0</v>
      </c>
      <c r="AA188">
        <v>0</v>
      </c>
      <c r="AB188">
        <v>9</v>
      </c>
      <c r="AC188">
        <v>3</v>
      </c>
      <c r="AD188">
        <v>0</v>
      </c>
      <c r="AE188">
        <v>9</v>
      </c>
      <c r="AF188" t="s">
        <v>128</v>
      </c>
      <c r="AG188">
        <v>0</v>
      </c>
      <c r="AH188">
        <v>0</v>
      </c>
      <c r="AI188">
        <v>1</v>
      </c>
      <c r="AJ188">
        <v>0</v>
      </c>
      <c r="AK188" t="s">
        <v>226</v>
      </c>
      <c r="AL188">
        <v>33.672452</v>
      </c>
      <c r="AM188" t="s">
        <v>227</v>
      </c>
      <c r="AN188">
        <v>-101.203523</v>
      </c>
      <c r="AO188">
        <v>100</v>
      </c>
      <c r="AP188">
        <v>3300</v>
      </c>
      <c r="AQ188" t="s">
        <v>131</v>
      </c>
      <c r="AR188">
        <v>-22</v>
      </c>
      <c r="AS188">
        <v>74</v>
      </c>
      <c r="AT188">
        <v>256</v>
      </c>
      <c r="BB188" t="str">
        <f t="shared" si="13"/>
        <v>1200</v>
      </c>
      <c r="BC188">
        <v>1</v>
      </c>
      <c r="BD188" t="str">
        <f t="shared" si="14"/>
        <v xml:space="preserve">N445JS  </v>
      </c>
      <c r="BE188">
        <v>7</v>
      </c>
      <c r="BG188">
        <v>0</v>
      </c>
      <c r="BH188">
        <v>0</v>
      </c>
      <c r="BI188">
        <v>0</v>
      </c>
      <c r="BJ188">
        <v>3100</v>
      </c>
      <c r="BK188">
        <v>-200</v>
      </c>
      <c r="BL188" t="s">
        <v>132</v>
      </c>
      <c r="BM188">
        <v>1</v>
      </c>
      <c r="BN188">
        <v>1</v>
      </c>
      <c r="BO188">
        <v>1</v>
      </c>
      <c r="BP188">
        <v>0</v>
      </c>
      <c r="BT188">
        <v>0</v>
      </c>
      <c r="BU188">
        <v>0</v>
      </c>
      <c r="CE188" t="str">
        <f>"15:38:17.154"</f>
        <v>15:38:17.154</v>
      </c>
      <c r="CF188">
        <v>153677334</v>
      </c>
      <c r="CS188">
        <v>0</v>
      </c>
      <c r="CT188">
        <v>2</v>
      </c>
      <c r="CU188">
        <v>0</v>
      </c>
      <c r="CV188">
        <v>2</v>
      </c>
      <c r="CW188">
        <v>0</v>
      </c>
      <c r="CX188">
        <v>6</v>
      </c>
      <c r="CY188">
        <v>7</v>
      </c>
      <c r="CZ188" t="s">
        <v>133</v>
      </c>
      <c r="DA188">
        <v>125</v>
      </c>
      <c r="DB188">
        <v>1</v>
      </c>
      <c r="DC188" t="s">
        <v>134</v>
      </c>
      <c r="DD188" t="s">
        <v>135</v>
      </c>
      <c r="DG188">
        <v>2487529</v>
      </c>
      <c r="DI188">
        <v>0</v>
      </c>
      <c r="DJ188">
        <v>0</v>
      </c>
      <c r="DK188">
        <v>1</v>
      </c>
      <c r="DL188">
        <v>0</v>
      </c>
      <c r="DM188">
        <v>0</v>
      </c>
      <c r="DN188">
        <v>0</v>
      </c>
      <c r="DO188">
        <v>0</v>
      </c>
      <c r="DP188">
        <v>0</v>
      </c>
      <c r="DQ188">
        <v>0</v>
      </c>
      <c r="DR188">
        <v>0</v>
      </c>
      <c r="DS188">
        <v>0</v>
      </c>
    </row>
    <row r="189" spans="1:123" x14ac:dyDescent="0.25">
      <c r="A189" t="str">
        <f>"04/17/2026 15:38:17.402"</f>
        <v>04/17/2026 15:38:17.402</v>
      </c>
      <c r="C189" t="str">
        <f t="shared" si="11"/>
        <v>FFDFD3C0</v>
      </c>
      <c r="D189" t="s">
        <v>139</v>
      </c>
      <c r="E189" t="str">
        <f>"28"</f>
        <v>28</v>
      </c>
      <c r="H189">
        <v>140</v>
      </c>
      <c r="I189" t="s">
        <v>140</v>
      </c>
      <c r="J189" t="s">
        <v>141</v>
      </c>
      <c r="K189">
        <v>0</v>
      </c>
      <c r="L189">
        <v>3</v>
      </c>
      <c r="M189">
        <v>0</v>
      </c>
      <c r="N189">
        <v>2</v>
      </c>
      <c r="O189">
        <v>1</v>
      </c>
      <c r="P189">
        <v>0</v>
      </c>
      <c r="Q189">
        <v>0</v>
      </c>
      <c r="R189" t="s">
        <v>127</v>
      </c>
      <c r="S189" t="str">
        <f t="shared" si="16"/>
        <v>15:38:17.148</v>
      </c>
      <c r="T189" t="str">
        <f t="shared" si="16"/>
        <v>15:38:17.148</v>
      </c>
      <c r="U189" t="str">
        <f t="shared" si="12"/>
        <v>A55E09</v>
      </c>
      <c r="V189">
        <v>0</v>
      </c>
      <c r="W189">
        <v>0</v>
      </c>
      <c r="X189">
        <v>2</v>
      </c>
      <c r="Y189">
        <v>0</v>
      </c>
      <c r="AA189">
        <v>0</v>
      </c>
      <c r="AB189">
        <v>9</v>
      </c>
      <c r="AC189">
        <v>3</v>
      </c>
      <c r="AD189">
        <v>0</v>
      </c>
      <c r="AE189">
        <v>9</v>
      </c>
      <c r="AF189" t="s">
        <v>128</v>
      </c>
      <c r="AG189">
        <v>0</v>
      </c>
      <c r="AH189">
        <v>0</v>
      </c>
      <c r="AI189">
        <v>1</v>
      </c>
      <c r="AJ189">
        <v>0</v>
      </c>
      <c r="AK189" t="s">
        <v>226</v>
      </c>
      <c r="AL189">
        <v>33.672452</v>
      </c>
      <c r="AM189" t="s">
        <v>227</v>
      </c>
      <c r="AN189">
        <v>-101.203523</v>
      </c>
      <c r="AO189">
        <v>100</v>
      </c>
      <c r="AP189">
        <v>3300</v>
      </c>
      <c r="AQ189" t="s">
        <v>131</v>
      </c>
      <c r="AR189">
        <v>-22</v>
      </c>
      <c r="AS189">
        <v>74</v>
      </c>
      <c r="AT189">
        <v>256</v>
      </c>
      <c r="BB189" t="str">
        <f t="shared" si="13"/>
        <v>1200</v>
      </c>
      <c r="BC189">
        <v>1</v>
      </c>
      <c r="BD189" t="str">
        <f t="shared" si="14"/>
        <v xml:space="preserve">N445JS  </v>
      </c>
      <c r="BE189">
        <v>7</v>
      </c>
      <c r="BG189">
        <v>0</v>
      </c>
      <c r="BH189">
        <v>0</v>
      </c>
      <c r="BI189">
        <v>0</v>
      </c>
      <c r="BJ189">
        <v>3100</v>
      </c>
      <c r="BK189">
        <v>-200</v>
      </c>
      <c r="BL189" t="s">
        <v>132</v>
      </c>
      <c r="BM189">
        <v>1</v>
      </c>
      <c r="BN189">
        <v>1</v>
      </c>
      <c r="BO189">
        <v>1</v>
      </c>
      <c r="BP189">
        <v>0</v>
      </c>
      <c r="BT189">
        <v>0</v>
      </c>
      <c r="BU189">
        <v>0</v>
      </c>
      <c r="CE189" t="str">
        <f>"15:38:17.154"</f>
        <v>15:38:17.154</v>
      </c>
      <c r="CF189">
        <v>153677334</v>
      </c>
      <c r="CS189">
        <v>0</v>
      </c>
      <c r="CT189">
        <v>2</v>
      </c>
      <c r="CU189">
        <v>0</v>
      </c>
      <c r="CV189">
        <v>2</v>
      </c>
      <c r="CW189">
        <v>0</v>
      </c>
      <c r="CX189">
        <v>6</v>
      </c>
      <c r="CY189">
        <v>7</v>
      </c>
      <c r="CZ189" t="s">
        <v>133</v>
      </c>
      <c r="DA189">
        <v>125</v>
      </c>
      <c r="DB189">
        <v>1</v>
      </c>
      <c r="DC189" t="s">
        <v>134</v>
      </c>
      <c r="DD189" t="s">
        <v>135</v>
      </c>
      <c r="DG189">
        <v>2487529</v>
      </c>
      <c r="DI189">
        <v>0</v>
      </c>
      <c r="DJ189">
        <v>0</v>
      </c>
      <c r="DK189">
        <v>1</v>
      </c>
      <c r="DL189">
        <v>0</v>
      </c>
      <c r="DM189">
        <v>0</v>
      </c>
      <c r="DN189">
        <v>0</v>
      </c>
      <c r="DO189">
        <v>0</v>
      </c>
      <c r="DP189">
        <v>0</v>
      </c>
      <c r="DQ189">
        <v>0</v>
      </c>
      <c r="DR189">
        <v>0</v>
      </c>
      <c r="DS189">
        <v>0</v>
      </c>
    </row>
    <row r="190" spans="1:123" x14ac:dyDescent="0.25">
      <c r="A190" t="str">
        <f>"04/17/2026 15:38:18.377"</f>
        <v>04/17/2026 15:38:18.377</v>
      </c>
      <c r="C190" t="str">
        <f t="shared" si="11"/>
        <v>FFDFD3C0</v>
      </c>
      <c r="D190" t="s">
        <v>124</v>
      </c>
      <c r="E190" t="str">
        <f>"03"</f>
        <v>03</v>
      </c>
      <c r="H190">
        <v>160</v>
      </c>
      <c r="I190" t="s">
        <v>125</v>
      </c>
      <c r="J190" t="s">
        <v>126</v>
      </c>
      <c r="K190">
        <v>0</v>
      </c>
      <c r="L190">
        <v>3</v>
      </c>
      <c r="M190">
        <v>0</v>
      </c>
      <c r="N190">
        <v>2</v>
      </c>
      <c r="O190">
        <v>1</v>
      </c>
      <c r="P190">
        <v>0</v>
      </c>
      <c r="Q190">
        <v>0</v>
      </c>
      <c r="R190" t="s">
        <v>127</v>
      </c>
      <c r="S190" t="str">
        <f>"15:38:18.156"</f>
        <v>15:38:18.156</v>
      </c>
      <c r="T190" t="str">
        <f>"15:38:17.756"</f>
        <v>15:38:17.756</v>
      </c>
      <c r="U190" t="str">
        <f t="shared" si="12"/>
        <v>A55E09</v>
      </c>
      <c r="V190">
        <v>0</v>
      </c>
      <c r="W190">
        <v>0</v>
      </c>
      <c r="X190">
        <v>2</v>
      </c>
      <c r="Y190">
        <v>0</v>
      </c>
      <c r="AA190">
        <v>0</v>
      </c>
      <c r="AB190">
        <v>9</v>
      </c>
      <c r="AC190">
        <v>3</v>
      </c>
      <c r="AD190">
        <v>0</v>
      </c>
      <c r="AE190">
        <v>9</v>
      </c>
      <c r="AF190" t="s">
        <v>128</v>
      </c>
      <c r="AG190">
        <v>0</v>
      </c>
      <c r="AH190">
        <v>0</v>
      </c>
      <c r="AI190">
        <v>1</v>
      </c>
      <c r="AJ190">
        <v>0</v>
      </c>
      <c r="AK190" t="s">
        <v>228</v>
      </c>
      <c r="AL190">
        <v>33.672817000000002</v>
      </c>
      <c r="AM190" t="s">
        <v>229</v>
      </c>
      <c r="AN190">
        <v>-101.20365099999999</v>
      </c>
      <c r="AO190">
        <v>100</v>
      </c>
      <c r="AP190">
        <v>3300</v>
      </c>
      <c r="AQ190" t="s">
        <v>131</v>
      </c>
      <c r="AR190">
        <v>-22</v>
      </c>
      <c r="AS190">
        <v>73</v>
      </c>
      <c r="AT190">
        <v>320</v>
      </c>
      <c r="BB190" t="str">
        <f t="shared" si="13"/>
        <v>1200</v>
      </c>
      <c r="BC190">
        <v>1</v>
      </c>
      <c r="BD190" t="str">
        <f t="shared" si="14"/>
        <v xml:space="preserve">N445JS  </v>
      </c>
      <c r="BE190">
        <v>7</v>
      </c>
      <c r="BG190">
        <v>0</v>
      </c>
      <c r="BH190">
        <v>0</v>
      </c>
      <c r="BI190">
        <v>0</v>
      </c>
      <c r="BJ190">
        <v>3100</v>
      </c>
      <c r="BK190">
        <v>-200</v>
      </c>
      <c r="BL190" t="s">
        <v>132</v>
      </c>
      <c r="BM190">
        <v>1</v>
      </c>
      <c r="BN190">
        <v>1</v>
      </c>
      <c r="BO190">
        <v>1</v>
      </c>
      <c r="BP190">
        <v>0</v>
      </c>
      <c r="BT190">
        <v>0</v>
      </c>
      <c r="BU190">
        <v>0</v>
      </c>
      <c r="CE190" t="str">
        <f>"15:38:18.159"</f>
        <v>15:38:18.159</v>
      </c>
      <c r="CF190">
        <v>158578798</v>
      </c>
      <c r="CS190">
        <v>0</v>
      </c>
      <c r="CT190">
        <v>2</v>
      </c>
      <c r="CU190">
        <v>0</v>
      </c>
      <c r="CV190">
        <v>2</v>
      </c>
      <c r="CW190">
        <v>0</v>
      </c>
      <c r="CX190">
        <v>6</v>
      </c>
      <c r="CY190">
        <v>7</v>
      </c>
      <c r="CZ190" t="s">
        <v>133</v>
      </c>
      <c r="DA190">
        <v>125</v>
      </c>
      <c r="DB190">
        <v>1</v>
      </c>
      <c r="DC190" t="s">
        <v>134</v>
      </c>
      <c r="DD190" t="s">
        <v>135</v>
      </c>
      <c r="DG190">
        <v>2488554</v>
      </c>
      <c r="DI190">
        <v>0</v>
      </c>
      <c r="DJ190">
        <v>0</v>
      </c>
      <c r="DK190">
        <v>0</v>
      </c>
      <c r="DL190">
        <v>0</v>
      </c>
      <c r="DM190">
        <v>0</v>
      </c>
      <c r="DN190">
        <v>0</v>
      </c>
      <c r="DO190">
        <v>0</v>
      </c>
      <c r="DP190">
        <v>0</v>
      </c>
      <c r="DQ190">
        <v>0</v>
      </c>
      <c r="DR190">
        <v>0</v>
      </c>
      <c r="DS190">
        <v>0</v>
      </c>
    </row>
    <row r="191" spans="1:123" x14ac:dyDescent="0.25">
      <c r="A191" t="str">
        <f>"04/17/2026 15:38:18.378"</f>
        <v>04/17/2026 15:38:18.378</v>
      </c>
      <c r="C191" t="str">
        <f t="shared" si="11"/>
        <v>FFDFD3C0</v>
      </c>
      <c r="D191" t="s">
        <v>136</v>
      </c>
      <c r="E191" t="str">
        <f>"0F"</f>
        <v>0F</v>
      </c>
      <c r="F191">
        <v>1015</v>
      </c>
      <c r="G191" t="s">
        <v>138</v>
      </c>
      <c r="J191" t="s">
        <v>137</v>
      </c>
      <c r="K191">
        <v>0</v>
      </c>
      <c r="L191">
        <v>3</v>
      </c>
      <c r="M191">
        <v>0</v>
      </c>
      <c r="N191">
        <v>2</v>
      </c>
      <c r="O191">
        <v>1</v>
      </c>
      <c r="P191">
        <v>0</v>
      </c>
      <c r="Q191">
        <v>0</v>
      </c>
      <c r="R191" t="s">
        <v>127</v>
      </c>
      <c r="S191" t="str">
        <f>"15:38:18.156"</f>
        <v>15:38:18.156</v>
      </c>
      <c r="T191" t="str">
        <f>"15:38:17.756"</f>
        <v>15:38:17.756</v>
      </c>
      <c r="U191" t="str">
        <f t="shared" si="12"/>
        <v>A55E09</v>
      </c>
      <c r="V191">
        <v>0</v>
      </c>
      <c r="W191">
        <v>0</v>
      </c>
      <c r="X191">
        <v>2</v>
      </c>
      <c r="Y191">
        <v>0</v>
      </c>
      <c r="AA191">
        <v>0</v>
      </c>
      <c r="AB191">
        <v>9</v>
      </c>
      <c r="AC191">
        <v>3</v>
      </c>
      <c r="AD191">
        <v>0</v>
      </c>
      <c r="AE191">
        <v>9</v>
      </c>
      <c r="AF191" t="s">
        <v>128</v>
      </c>
      <c r="AG191">
        <v>0</v>
      </c>
      <c r="AH191">
        <v>0</v>
      </c>
      <c r="AI191">
        <v>1</v>
      </c>
      <c r="AJ191">
        <v>0</v>
      </c>
      <c r="AK191" t="s">
        <v>228</v>
      </c>
      <c r="AL191">
        <v>33.672817000000002</v>
      </c>
      <c r="AM191" t="s">
        <v>229</v>
      </c>
      <c r="AN191">
        <v>-101.20365099999999</v>
      </c>
      <c r="AO191">
        <v>100</v>
      </c>
      <c r="AP191">
        <v>3300</v>
      </c>
      <c r="AQ191" t="s">
        <v>131</v>
      </c>
      <c r="AR191">
        <v>-22</v>
      </c>
      <c r="AS191">
        <v>73</v>
      </c>
      <c r="AT191">
        <v>320</v>
      </c>
      <c r="BB191" t="str">
        <f t="shared" si="13"/>
        <v>1200</v>
      </c>
      <c r="BC191">
        <v>1</v>
      </c>
      <c r="BD191" t="str">
        <f t="shared" si="14"/>
        <v xml:space="preserve">N445JS  </v>
      </c>
      <c r="BE191">
        <v>7</v>
      </c>
      <c r="BG191">
        <v>0</v>
      </c>
      <c r="BH191">
        <v>0</v>
      </c>
      <c r="BI191">
        <v>0</v>
      </c>
      <c r="BJ191">
        <v>3100</v>
      </c>
      <c r="BK191">
        <v>-200</v>
      </c>
      <c r="BL191" t="s">
        <v>132</v>
      </c>
      <c r="BM191">
        <v>1</v>
      </c>
      <c r="BN191">
        <v>1</v>
      </c>
      <c r="BO191">
        <v>1</v>
      </c>
      <c r="BP191">
        <v>0</v>
      </c>
      <c r="BT191">
        <v>0</v>
      </c>
      <c r="BU191">
        <v>0</v>
      </c>
      <c r="CE191" t="str">
        <f>"15:38:18.159"</f>
        <v>15:38:18.159</v>
      </c>
      <c r="CF191">
        <v>158578798</v>
      </c>
      <c r="CS191">
        <v>0</v>
      </c>
      <c r="CT191">
        <v>2</v>
      </c>
      <c r="CU191">
        <v>0</v>
      </c>
      <c r="CV191">
        <v>2</v>
      </c>
      <c r="CW191">
        <v>0</v>
      </c>
      <c r="CX191">
        <v>6</v>
      </c>
      <c r="CY191">
        <v>7</v>
      </c>
      <c r="CZ191" t="s">
        <v>133</v>
      </c>
      <c r="DA191">
        <v>125</v>
      </c>
      <c r="DB191">
        <v>1</v>
      </c>
      <c r="DC191" t="s">
        <v>134</v>
      </c>
      <c r="DD191" t="s">
        <v>135</v>
      </c>
      <c r="DG191">
        <v>2488554</v>
      </c>
      <c r="DI191">
        <v>0</v>
      </c>
      <c r="DJ191">
        <v>0</v>
      </c>
      <c r="DK191">
        <v>1</v>
      </c>
      <c r="DL191">
        <v>0</v>
      </c>
      <c r="DM191">
        <v>0</v>
      </c>
      <c r="DN191">
        <v>0</v>
      </c>
      <c r="DO191">
        <v>0</v>
      </c>
      <c r="DP191">
        <v>0</v>
      </c>
      <c r="DQ191">
        <v>0</v>
      </c>
      <c r="DR191">
        <v>0</v>
      </c>
      <c r="DS191">
        <v>0</v>
      </c>
    </row>
    <row r="192" spans="1:123" x14ac:dyDescent="0.25">
      <c r="A192" t="str">
        <f>"04/17/2026 15:38:18.404"</f>
        <v>04/17/2026 15:38:18.404</v>
      </c>
      <c r="C192" t="str">
        <f t="shared" si="11"/>
        <v>FFDFD3C0</v>
      </c>
      <c r="D192" t="s">
        <v>139</v>
      </c>
      <c r="E192" t="str">
        <f>"28"</f>
        <v>28</v>
      </c>
      <c r="H192">
        <v>140</v>
      </c>
      <c r="I192" t="s">
        <v>140</v>
      </c>
      <c r="J192" t="s">
        <v>141</v>
      </c>
      <c r="K192">
        <v>0</v>
      </c>
      <c r="L192">
        <v>3</v>
      </c>
      <c r="M192">
        <v>0</v>
      </c>
      <c r="N192">
        <v>2</v>
      </c>
      <c r="O192">
        <v>1</v>
      </c>
      <c r="P192">
        <v>0</v>
      </c>
      <c r="Q192">
        <v>0</v>
      </c>
      <c r="R192" t="s">
        <v>127</v>
      </c>
      <c r="S192" t="str">
        <f>"15:38:18.156"</f>
        <v>15:38:18.156</v>
      </c>
      <c r="T192" t="str">
        <f>"15:38:17.756"</f>
        <v>15:38:17.756</v>
      </c>
      <c r="U192" t="str">
        <f t="shared" si="12"/>
        <v>A55E09</v>
      </c>
      <c r="V192">
        <v>0</v>
      </c>
      <c r="W192">
        <v>0</v>
      </c>
      <c r="X192">
        <v>2</v>
      </c>
      <c r="Y192">
        <v>0</v>
      </c>
      <c r="AA192">
        <v>0</v>
      </c>
      <c r="AB192">
        <v>9</v>
      </c>
      <c r="AC192">
        <v>3</v>
      </c>
      <c r="AD192">
        <v>0</v>
      </c>
      <c r="AE192">
        <v>9</v>
      </c>
      <c r="AF192" t="s">
        <v>128</v>
      </c>
      <c r="AG192">
        <v>0</v>
      </c>
      <c r="AH192">
        <v>0</v>
      </c>
      <c r="AI192">
        <v>1</v>
      </c>
      <c r="AJ192">
        <v>0</v>
      </c>
      <c r="AK192" t="s">
        <v>228</v>
      </c>
      <c r="AL192">
        <v>33.672817000000002</v>
      </c>
      <c r="AM192" t="s">
        <v>229</v>
      </c>
      <c r="AN192">
        <v>-101.20365099999999</v>
      </c>
      <c r="AO192">
        <v>100</v>
      </c>
      <c r="AP192">
        <v>3300</v>
      </c>
      <c r="AQ192" t="s">
        <v>131</v>
      </c>
      <c r="AR192">
        <v>-22</v>
      </c>
      <c r="AS192">
        <v>73</v>
      </c>
      <c r="AT192">
        <v>320</v>
      </c>
      <c r="BB192" t="str">
        <f t="shared" si="13"/>
        <v>1200</v>
      </c>
      <c r="BC192">
        <v>1</v>
      </c>
      <c r="BD192" t="str">
        <f t="shared" si="14"/>
        <v xml:space="preserve">N445JS  </v>
      </c>
      <c r="BE192">
        <v>7</v>
      </c>
      <c r="BG192">
        <v>0</v>
      </c>
      <c r="BH192">
        <v>0</v>
      </c>
      <c r="BI192">
        <v>0</v>
      </c>
      <c r="BJ192">
        <v>3100</v>
      </c>
      <c r="BK192">
        <v>-200</v>
      </c>
      <c r="BL192" t="s">
        <v>132</v>
      </c>
      <c r="BM192">
        <v>1</v>
      </c>
      <c r="BN192">
        <v>1</v>
      </c>
      <c r="BO192">
        <v>1</v>
      </c>
      <c r="BP192">
        <v>0</v>
      </c>
      <c r="BT192">
        <v>0</v>
      </c>
      <c r="BU192">
        <v>0</v>
      </c>
      <c r="CE192" t="str">
        <f>"15:38:18.159"</f>
        <v>15:38:18.159</v>
      </c>
      <c r="CF192">
        <v>158578798</v>
      </c>
      <c r="CS192">
        <v>0</v>
      </c>
      <c r="CT192">
        <v>2</v>
      </c>
      <c r="CU192">
        <v>0</v>
      </c>
      <c r="CV192">
        <v>2</v>
      </c>
      <c r="CW192">
        <v>0</v>
      </c>
      <c r="CX192">
        <v>6</v>
      </c>
      <c r="CY192">
        <v>7</v>
      </c>
      <c r="CZ192" t="s">
        <v>133</v>
      </c>
      <c r="DA192">
        <v>125</v>
      </c>
      <c r="DB192">
        <v>1</v>
      </c>
      <c r="DC192" t="s">
        <v>134</v>
      </c>
      <c r="DD192" t="s">
        <v>135</v>
      </c>
      <c r="DG192">
        <v>2488554</v>
      </c>
      <c r="DI192">
        <v>0</v>
      </c>
      <c r="DJ192">
        <v>0</v>
      </c>
      <c r="DK192">
        <v>1</v>
      </c>
      <c r="DL192">
        <v>0</v>
      </c>
      <c r="DM192">
        <v>0</v>
      </c>
      <c r="DN192">
        <v>0</v>
      </c>
      <c r="DO192">
        <v>0</v>
      </c>
      <c r="DP192">
        <v>0</v>
      </c>
      <c r="DQ192">
        <v>0</v>
      </c>
      <c r="DR192">
        <v>0</v>
      </c>
      <c r="DS192">
        <v>0</v>
      </c>
    </row>
    <row r="193" spans="1:123" x14ac:dyDescent="0.25">
      <c r="A193" t="str">
        <f>"04/17/2026 15:38:18.426"</f>
        <v>04/17/2026 15:38:18.426</v>
      </c>
      <c r="C193" t="str">
        <f t="shared" si="11"/>
        <v>FFDFD3C0</v>
      </c>
      <c r="D193" t="s">
        <v>136</v>
      </c>
      <c r="E193" t="str">
        <f>"0E"</f>
        <v>0E</v>
      </c>
      <c r="F193">
        <v>1014</v>
      </c>
      <c r="G193" t="s">
        <v>125</v>
      </c>
      <c r="J193" t="s">
        <v>137</v>
      </c>
      <c r="K193">
        <v>0</v>
      </c>
      <c r="L193">
        <v>3</v>
      </c>
      <c r="M193">
        <v>0</v>
      </c>
      <c r="N193">
        <v>2</v>
      </c>
      <c r="O193">
        <v>1</v>
      </c>
      <c r="P193">
        <v>0</v>
      </c>
      <c r="Q193">
        <v>0</v>
      </c>
      <c r="R193" t="s">
        <v>127</v>
      </c>
      <c r="S193" t="str">
        <f>"15:38:18.156"</f>
        <v>15:38:18.156</v>
      </c>
      <c r="T193" t="str">
        <f>"15:38:17.756"</f>
        <v>15:38:17.756</v>
      </c>
      <c r="U193" t="str">
        <f t="shared" si="12"/>
        <v>A55E09</v>
      </c>
      <c r="V193">
        <v>0</v>
      </c>
      <c r="W193">
        <v>0</v>
      </c>
      <c r="X193">
        <v>2</v>
      </c>
      <c r="Y193">
        <v>0</v>
      </c>
      <c r="AA193">
        <v>0</v>
      </c>
      <c r="AB193">
        <v>9</v>
      </c>
      <c r="AC193">
        <v>3</v>
      </c>
      <c r="AD193">
        <v>0</v>
      </c>
      <c r="AE193">
        <v>9</v>
      </c>
      <c r="AF193" t="s">
        <v>128</v>
      </c>
      <c r="AG193">
        <v>0</v>
      </c>
      <c r="AH193">
        <v>0</v>
      </c>
      <c r="AI193">
        <v>1</v>
      </c>
      <c r="AJ193">
        <v>0</v>
      </c>
      <c r="AK193" t="s">
        <v>228</v>
      </c>
      <c r="AL193">
        <v>33.672817000000002</v>
      </c>
      <c r="AM193" t="s">
        <v>229</v>
      </c>
      <c r="AN193">
        <v>-101.20365099999999</v>
      </c>
      <c r="AO193">
        <v>100</v>
      </c>
      <c r="AP193">
        <v>3300</v>
      </c>
      <c r="AQ193" t="s">
        <v>131</v>
      </c>
      <c r="AR193">
        <v>-22</v>
      </c>
      <c r="AS193">
        <v>73</v>
      </c>
      <c r="AT193">
        <v>320</v>
      </c>
      <c r="BB193" t="str">
        <f t="shared" si="13"/>
        <v>1200</v>
      </c>
      <c r="BC193">
        <v>1</v>
      </c>
      <c r="BD193" t="str">
        <f t="shared" si="14"/>
        <v xml:space="preserve">N445JS  </v>
      </c>
      <c r="BE193">
        <v>7</v>
      </c>
      <c r="BG193">
        <v>0</v>
      </c>
      <c r="BH193">
        <v>0</v>
      </c>
      <c r="BI193">
        <v>0</v>
      </c>
      <c r="BJ193">
        <v>3100</v>
      </c>
      <c r="BK193">
        <v>-200</v>
      </c>
      <c r="BL193" t="s">
        <v>132</v>
      </c>
      <c r="BM193">
        <v>1</v>
      </c>
      <c r="BN193">
        <v>1</v>
      </c>
      <c r="BO193">
        <v>1</v>
      </c>
      <c r="BP193">
        <v>0</v>
      </c>
      <c r="BT193">
        <v>0</v>
      </c>
      <c r="BU193">
        <v>0</v>
      </c>
      <c r="CE193" t="str">
        <f>"15:38:18.159"</f>
        <v>15:38:18.159</v>
      </c>
      <c r="CF193">
        <v>158578798</v>
      </c>
      <c r="CS193">
        <v>0</v>
      </c>
      <c r="CT193">
        <v>2</v>
      </c>
      <c r="CU193">
        <v>0</v>
      </c>
      <c r="CV193">
        <v>2</v>
      </c>
      <c r="CW193">
        <v>0</v>
      </c>
      <c r="CX193">
        <v>6</v>
      </c>
      <c r="CY193">
        <v>7</v>
      </c>
      <c r="CZ193" t="s">
        <v>133</v>
      </c>
      <c r="DA193">
        <v>125</v>
      </c>
      <c r="DB193">
        <v>1</v>
      </c>
      <c r="DC193" t="s">
        <v>134</v>
      </c>
      <c r="DD193" t="s">
        <v>135</v>
      </c>
      <c r="DG193">
        <v>2488554</v>
      </c>
      <c r="DI193">
        <v>0</v>
      </c>
      <c r="DJ193">
        <v>0</v>
      </c>
      <c r="DK193">
        <v>1</v>
      </c>
      <c r="DL193">
        <v>0</v>
      </c>
      <c r="DM193">
        <v>0</v>
      </c>
      <c r="DN193">
        <v>0</v>
      </c>
      <c r="DO193">
        <v>0</v>
      </c>
      <c r="DP193">
        <v>0</v>
      </c>
      <c r="DQ193">
        <v>0</v>
      </c>
      <c r="DR193">
        <v>0</v>
      </c>
      <c r="DS193">
        <v>0</v>
      </c>
    </row>
    <row r="194" spans="1:123" x14ac:dyDescent="0.25">
      <c r="A194" t="str">
        <f>"04/17/2026 15:38:19.355"</f>
        <v>04/17/2026 15:38:19.355</v>
      </c>
      <c r="C194" t="str">
        <f t="shared" ref="C194:C257" si="17">"FFDFD3C0"</f>
        <v>FFDFD3C0</v>
      </c>
      <c r="D194" t="s">
        <v>139</v>
      </c>
      <c r="E194" t="str">
        <f>"28"</f>
        <v>28</v>
      </c>
      <c r="H194">
        <v>140</v>
      </c>
      <c r="I194" t="s">
        <v>140</v>
      </c>
      <c r="J194" t="s">
        <v>141</v>
      </c>
      <c r="K194">
        <v>0</v>
      </c>
      <c r="L194">
        <v>3</v>
      </c>
      <c r="M194">
        <v>0</v>
      </c>
      <c r="N194">
        <v>2</v>
      </c>
      <c r="O194">
        <v>1</v>
      </c>
      <c r="P194">
        <v>0</v>
      </c>
      <c r="Q194">
        <v>0</v>
      </c>
      <c r="R194" t="s">
        <v>127</v>
      </c>
      <c r="S194" t="str">
        <f>"15:38:19.117"</f>
        <v>15:38:19.117</v>
      </c>
      <c r="T194" t="str">
        <f>"15:38:18.817"</f>
        <v>15:38:18.817</v>
      </c>
      <c r="U194" t="str">
        <f t="shared" ref="U194:U257" si="18">"A55E09"</f>
        <v>A55E09</v>
      </c>
      <c r="V194">
        <v>0</v>
      </c>
      <c r="W194">
        <v>0</v>
      </c>
      <c r="X194">
        <v>2</v>
      </c>
      <c r="Y194">
        <v>0</v>
      </c>
      <c r="AA194">
        <v>0</v>
      </c>
      <c r="AB194">
        <v>9</v>
      </c>
      <c r="AC194">
        <v>3</v>
      </c>
      <c r="AD194">
        <v>0</v>
      </c>
      <c r="AE194">
        <v>9</v>
      </c>
      <c r="AF194" t="s">
        <v>128</v>
      </c>
      <c r="AG194">
        <v>0</v>
      </c>
      <c r="AH194">
        <v>0</v>
      </c>
      <c r="AI194">
        <v>1</v>
      </c>
      <c r="AJ194">
        <v>0</v>
      </c>
      <c r="AK194" t="s">
        <v>230</v>
      </c>
      <c r="AL194">
        <v>33.673138999999999</v>
      </c>
      <c r="AM194" t="s">
        <v>231</v>
      </c>
      <c r="AN194">
        <v>-101.20375900000001</v>
      </c>
      <c r="AO194">
        <v>100</v>
      </c>
      <c r="AP194">
        <v>3300</v>
      </c>
      <c r="AQ194" t="s">
        <v>131</v>
      </c>
      <c r="AR194">
        <v>-22</v>
      </c>
      <c r="AS194">
        <v>71</v>
      </c>
      <c r="AT194">
        <v>512</v>
      </c>
      <c r="BB194" t="str">
        <f t="shared" ref="BB194:BB257" si="19">"1200"</f>
        <v>1200</v>
      </c>
      <c r="BC194">
        <v>1</v>
      </c>
      <c r="BD194" t="str">
        <f t="shared" ref="BD194:BD257" si="20">"N445JS  "</f>
        <v xml:space="preserve">N445JS  </v>
      </c>
      <c r="BE194">
        <v>7</v>
      </c>
      <c r="BG194">
        <v>0</v>
      </c>
      <c r="BH194">
        <v>0</v>
      </c>
      <c r="BI194">
        <v>0</v>
      </c>
      <c r="BJ194">
        <v>3100</v>
      </c>
      <c r="BK194">
        <v>-200</v>
      </c>
      <c r="BL194" t="s">
        <v>132</v>
      </c>
      <c r="BM194">
        <v>1</v>
      </c>
      <c r="BN194">
        <v>1</v>
      </c>
      <c r="BO194">
        <v>1</v>
      </c>
      <c r="BP194">
        <v>0</v>
      </c>
      <c r="BT194">
        <v>0</v>
      </c>
      <c r="BU194">
        <v>0</v>
      </c>
      <c r="CE194" t="str">
        <f>"15:38:19.118"</f>
        <v>15:38:19.118</v>
      </c>
      <c r="CF194">
        <v>118484681</v>
      </c>
      <c r="CS194">
        <v>0</v>
      </c>
      <c r="CT194">
        <v>2</v>
      </c>
      <c r="CU194">
        <v>0</v>
      </c>
      <c r="CV194">
        <v>2</v>
      </c>
      <c r="CW194">
        <v>0</v>
      </c>
      <c r="CX194">
        <v>5</v>
      </c>
      <c r="CY194">
        <v>7</v>
      </c>
      <c r="CZ194" t="s">
        <v>133</v>
      </c>
      <c r="DA194">
        <v>125</v>
      </c>
      <c r="DB194">
        <v>1</v>
      </c>
      <c r="DC194" t="s">
        <v>134</v>
      </c>
      <c r="DD194" t="s">
        <v>135</v>
      </c>
      <c r="DG194">
        <v>2489485</v>
      </c>
      <c r="DI194">
        <v>0</v>
      </c>
      <c r="DJ194">
        <v>0</v>
      </c>
      <c r="DK194">
        <v>0</v>
      </c>
      <c r="DL194">
        <v>0</v>
      </c>
      <c r="DM194">
        <v>0</v>
      </c>
      <c r="DN194">
        <v>0</v>
      </c>
      <c r="DO194">
        <v>0</v>
      </c>
      <c r="DP194">
        <v>0</v>
      </c>
      <c r="DQ194">
        <v>0</v>
      </c>
      <c r="DR194">
        <v>0</v>
      </c>
      <c r="DS194">
        <v>0</v>
      </c>
    </row>
    <row r="195" spans="1:123" x14ac:dyDescent="0.25">
      <c r="A195" t="str">
        <f>"04/17/2026 15:38:19.378"</f>
        <v>04/17/2026 15:38:19.378</v>
      </c>
      <c r="C195" t="str">
        <f t="shared" si="17"/>
        <v>FFDFD3C0</v>
      </c>
      <c r="D195" t="s">
        <v>136</v>
      </c>
      <c r="E195" t="str">
        <f>"0E"</f>
        <v>0E</v>
      </c>
      <c r="F195">
        <v>1014</v>
      </c>
      <c r="G195" t="s">
        <v>125</v>
      </c>
      <c r="J195" t="s">
        <v>137</v>
      </c>
      <c r="K195">
        <v>0</v>
      </c>
      <c r="L195">
        <v>3</v>
      </c>
      <c r="M195">
        <v>0</v>
      </c>
      <c r="N195">
        <v>2</v>
      </c>
      <c r="O195">
        <v>1</v>
      </c>
      <c r="P195">
        <v>0</v>
      </c>
      <c r="Q195">
        <v>0</v>
      </c>
      <c r="R195" t="s">
        <v>127</v>
      </c>
      <c r="S195" t="str">
        <f>"15:38:19.117"</f>
        <v>15:38:19.117</v>
      </c>
      <c r="T195" t="str">
        <f>"15:38:18.817"</f>
        <v>15:38:18.817</v>
      </c>
      <c r="U195" t="str">
        <f t="shared" si="18"/>
        <v>A55E09</v>
      </c>
      <c r="V195">
        <v>0</v>
      </c>
      <c r="W195">
        <v>0</v>
      </c>
      <c r="X195">
        <v>2</v>
      </c>
      <c r="Y195">
        <v>0</v>
      </c>
      <c r="AA195">
        <v>0</v>
      </c>
      <c r="AB195">
        <v>9</v>
      </c>
      <c r="AC195">
        <v>3</v>
      </c>
      <c r="AD195">
        <v>0</v>
      </c>
      <c r="AE195">
        <v>9</v>
      </c>
      <c r="AF195" t="s">
        <v>128</v>
      </c>
      <c r="AG195">
        <v>0</v>
      </c>
      <c r="AH195">
        <v>0</v>
      </c>
      <c r="AI195">
        <v>1</v>
      </c>
      <c r="AJ195">
        <v>0</v>
      </c>
      <c r="AK195" t="s">
        <v>230</v>
      </c>
      <c r="AL195">
        <v>33.673138999999999</v>
      </c>
      <c r="AM195" t="s">
        <v>231</v>
      </c>
      <c r="AN195">
        <v>-101.20375900000001</v>
      </c>
      <c r="AO195">
        <v>100</v>
      </c>
      <c r="AP195">
        <v>3300</v>
      </c>
      <c r="AQ195" t="s">
        <v>131</v>
      </c>
      <c r="AR195">
        <v>-22</v>
      </c>
      <c r="AS195">
        <v>71</v>
      </c>
      <c r="AT195">
        <v>512</v>
      </c>
      <c r="BB195" t="str">
        <f t="shared" si="19"/>
        <v>1200</v>
      </c>
      <c r="BC195">
        <v>1</v>
      </c>
      <c r="BD195" t="str">
        <f t="shared" si="20"/>
        <v xml:space="preserve">N445JS  </v>
      </c>
      <c r="BE195">
        <v>7</v>
      </c>
      <c r="BG195">
        <v>0</v>
      </c>
      <c r="BH195">
        <v>0</v>
      </c>
      <c r="BI195">
        <v>0</v>
      </c>
      <c r="BJ195">
        <v>3100</v>
      </c>
      <c r="BK195">
        <v>-200</v>
      </c>
      <c r="BL195" t="s">
        <v>132</v>
      </c>
      <c r="BM195">
        <v>1</v>
      </c>
      <c r="BN195">
        <v>1</v>
      </c>
      <c r="BO195">
        <v>1</v>
      </c>
      <c r="BP195">
        <v>0</v>
      </c>
      <c r="BT195">
        <v>0</v>
      </c>
      <c r="BU195">
        <v>0</v>
      </c>
      <c r="CE195" t="str">
        <f>"15:38:19.118"</f>
        <v>15:38:19.118</v>
      </c>
      <c r="CF195">
        <v>118484681</v>
      </c>
      <c r="CS195">
        <v>0</v>
      </c>
      <c r="CT195">
        <v>2</v>
      </c>
      <c r="CU195">
        <v>0</v>
      </c>
      <c r="CV195">
        <v>2</v>
      </c>
      <c r="CW195">
        <v>0</v>
      </c>
      <c r="CX195">
        <v>5</v>
      </c>
      <c r="CY195">
        <v>7</v>
      </c>
      <c r="CZ195" t="s">
        <v>133</v>
      </c>
      <c r="DA195">
        <v>125</v>
      </c>
      <c r="DB195">
        <v>1</v>
      </c>
      <c r="DC195" t="s">
        <v>134</v>
      </c>
      <c r="DD195" t="s">
        <v>135</v>
      </c>
      <c r="DG195">
        <v>2489485</v>
      </c>
      <c r="DI195">
        <v>0</v>
      </c>
      <c r="DJ195">
        <v>0</v>
      </c>
      <c r="DK195">
        <v>1</v>
      </c>
      <c r="DL195">
        <v>0</v>
      </c>
      <c r="DM195">
        <v>0</v>
      </c>
      <c r="DN195">
        <v>0</v>
      </c>
      <c r="DO195">
        <v>0</v>
      </c>
      <c r="DP195">
        <v>0</v>
      </c>
      <c r="DQ195">
        <v>0</v>
      </c>
      <c r="DR195">
        <v>0</v>
      </c>
      <c r="DS195">
        <v>0</v>
      </c>
    </row>
    <row r="196" spans="1:123" x14ac:dyDescent="0.25">
      <c r="A196" t="str">
        <f>"04/17/2026 15:38:19.379"</f>
        <v>04/17/2026 15:38:19.379</v>
      </c>
      <c r="C196" t="str">
        <f t="shared" si="17"/>
        <v>FFDFD3C0</v>
      </c>
      <c r="D196" t="s">
        <v>124</v>
      </c>
      <c r="E196" t="str">
        <f>"03"</f>
        <v>03</v>
      </c>
      <c r="H196">
        <v>160</v>
      </c>
      <c r="I196" t="s">
        <v>125</v>
      </c>
      <c r="J196" t="s">
        <v>126</v>
      </c>
      <c r="K196">
        <v>0</v>
      </c>
      <c r="L196">
        <v>3</v>
      </c>
      <c r="M196">
        <v>0</v>
      </c>
      <c r="N196">
        <v>2</v>
      </c>
      <c r="O196">
        <v>1</v>
      </c>
      <c r="P196">
        <v>0</v>
      </c>
      <c r="Q196">
        <v>0</v>
      </c>
      <c r="R196" t="s">
        <v>127</v>
      </c>
      <c r="S196" t="str">
        <f>"15:38:19.117"</f>
        <v>15:38:19.117</v>
      </c>
      <c r="T196" t="str">
        <f>"15:38:18.817"</f>
        <v>15:38:18.817</v>
      </c>
      <c r="U196" t="str">
        <f t="shared" si="18"/>
        <v>A55E09</v>
      </c>
      <c r="V196">
        <v>0</v>
      </c>
      <c r="W196">
        <v>0</v>
      </c>
      <c r="X196">
        <v>2</v>
      </c>
      <c r="Y196">
        <v>0</v>
      </c>
      <c r="AA196">
        <v>0</v>
      </c>
      <c r="AB196">
        <v>9</v>
      </c>
      <c r="AC196">
        <v>3</v>
      </c>
      <c r="AD196">
        <v>0</v>
      </c>
      <c r="AE196">
        <v>9</v>
      </c>
      <c r="AF196" t="s">
        <v>128</v>
      </c>
      <c r="AG196">
        <v>0</v>
      </c>
      <c r="AH196">
        <v>0</v>
      </c>
      <c r="AI196">
        <v>1</v>
      </c>
      <c r="AJ196">
        <v>0</v>
      </c>
      <c r="AK196" t="s">
        <v>230</v>
      </c>
      <c r="AL196">
        <v>33.673138999999999</v>
      </c>
      <c r="AM196" t="s">
        <v>231</v>
      </c>
      <c r="AN196">
        <v>-101.20375900000001</v>
      </c>
      <c r="AO196">
        <v>100</v>
      </c>
      <c r="AP196">
        <v>3300</v>
      </c>
      <c r="AQ196" t="s">
        <v>131</v>
      </c>
      <c r="AR196">
        <v>-22</v>
      </c>
      <c r="AS196">
        <v>71</v>
      </c>
      <c r="AT196">
        <v>512</v>
      </c>
      <c r="BB196" t="str">
        <f t="shared" si="19"/>
        <v>1200</v>
      </c>
      <c r="BC196">
        <v>1</v>
      </c>
      <c r="BD196" t="str">
        <f t="shared" si="20"/>
        <v xml:space="preserve">N445JS  </v>
      </c>
      <c r="BE196">
        <v>7</v>
      </c>
      <c r="BG196">
        <v>0</v>
      </c>
      <c r="BH196">
        <v>0</v>
      </c>
      <c r="BI196">
        <v>0</v>
      </c>
      <c r="BJ196">
        <v>3100</v>
      </c>
      <c r="BK196">
        <v>-200</v>
      </c>
      <c r="BL196" t="s">
        <v>132</v>
      </c>
      <c r="BM196">
        <v>1</v>
      </c>
      <c r="BN196">
        <v>1</v>
      </c>
      <c r="BO196">
        <v>1</v>
      </c>
      <c r="BP196">
        <v>0</v>
      </c>
      <c r="BT196">
        <v>0</v>
      </c>
      <c r="BU196">
        <v>0</v>
      </c>
      <c r="CE196" t="str">
        <f>"15:38:19.118"</f>
        <v>15:38:19.118</v>
      </c>
      <c r="CF196">
        <v>118484681</v>
      </c>
      <c r="CS196">
        <v>0</v>
      </c>
      <c r="CT196">
        <v>2</v>
      </c>
      <c r="CU196">
        <v>0</v>
      </c>
      <c r="CV196">
        <v>2</v>
      </c>
      <c r="CW196">
        <v>0</v>
      </c>
      <c r="CX196">
        <v>5</v>
      </c>
      <c r="CY196">
        <v>7</v>
      </c>
      <c r="CZ196" t="s">
        <v>133</v>
      </c>
      <c r="DA196">
        <v>125</v>
      </c>
      <c r="DB196">
        <v>1</v>
      </c>
      <c r="DC196" t="s">
        <v>134</v>
      </c>
      <c r="DD196" t="s">
        <v>135</v>
      </c>
      <c r="DG196">
        <v>2489485</v>
      </c>
      <c r="DI196">
        <v>0</v>
      </c>
      <c r="DJ196">
        <v>0</v>
      </c>
      <c r="DK196">
        <v>1</v>
      </c>
      <c r="DL196">
        <v>0</v>
      </c>
      <c r="DM196">
        <v>0</v>
      </c>
      <c r="DN196">
        <v>0</v>
      </c>
      <c r="DO196">
        <v>0</v>
      </c>
      <c r="DP196">
        <v>0</v>
      </c>
      <c r="DQ196">
        <v>0</v>
      </c>
      <c r="DR196">
        <v>0</v>
      </c>
      <c r="DS196">
        <v>0</v>
      </c>
    </row>
    <row r="197" spans="1:123" x14ac:dyDescent="0.25">
      <c r="A197" t="str">
        <f>"04/17/2026 15:38:19.379"</f>
        <v>04/17/2026 15:38:19.379</v>
      </c>
      <c r="C197" t="str">
        <f t="shared" si="17"/>
        <v>FFDFD3C0</v>
      </c>
      <c r="D197" t="s">
        <v>136</v>
      </c>
      <c r="E197" t="str">
        <f>"0F"</f>
        <v>0F</v>
      </c>
      <c r="F197">
        <v>1015</v>
      </c>
      <c r="G197" t="s">
        <v>138</v>
      </c>
      <c r="J197" t="s">
        <v>137</v>
      </c>
      <c r="K197">
        <v>0</v>
      </c>
      <c r="L197">
        <v>3</v>
      </c>
      <c r="M197">
        <v>0</v>
      </c>
      <c r="N197">
        <v>2</v>
      </c>
      <c r="O197">
        <v>1</v>
      </c>
      <c r="P197">
        <v>0</v>
      </c>
      <c r="Q197">
        <v>0</v>
      </c>
      <c r="R197" t="s">
        <v>127</v>
      </c>
      <c r="S197" t="str">
        <f>"15:38:19.117"</f>
        <v>15:38:19.117</v>
      </c>
      <c r="T197" t="str">
        <f>"15:38:18.817"</f>
        <v>15:38:18.817</v>
      </c>
      <c r="U197" t="str">
        <f t="shared" si="18"/>
        <v>A55E09</v>
      </c>
      <c r="V197">
        <v>0</v>
      </c>
      <c r="W197">
        <v>0</v>
      </c>
      <c r="X197">
        <v>2</v>
      </c>
      <c r="Y197">
        <v>0</v>
      </c>
      <c r="AA197">
        <v>0</v>
      </c>
      <c r="AB197">
        <v>9</v>
      </c>
      <c r="AC197">
        <v>3</v>
      </c>
      <c r="AD197">
        <v>0</v>
      </c>
      <c r="AE197">
        <v>9</v>
      </c>
      <c r="AF197" t="s">
        <v>128</v>
      </c>
      <c r="AG197">
        <v>0</v>
      </c>
      <c r="AH197">
        <v>0</v>
      </c>
      <c r="AI197">
        <v>1</v>
      </c>
      <c r="AJ197">
        <v>0</v>
      </c>
      <c r="AK197" t="s">
        <v>230</v>
      </c>
      <c r="AL197">
        <v>33.673138999999999</v>
      </c>
      <c r="AM197" t="s">
        <v>231</v>
      </c>
      <c r="AN197">
        <v>-101.20375900000001</v>
      </c>
      <c r="AO197">
        <v>100</v>
      </c>
      <c r="AP197">
        <v>3300</v>
      </c>
      <c r="AQ197" t="s">
        <v>131</v>
      </c>
      <c r="AR197">
        <v>-22</v>
      </c>
      <c r="AS197">
        <v>71</v>
      </c>
      <c r="AT197">
        <v>512</v>
      </c>
      <c r="BB197" t="str">
        <f t="shared" si="19"/>
        <v>1200</v>
      </c>
      <c r="BC197">
        <v>1</v>
      </c>
      <c r="BD197" t="str">
        <f t="shared" si="20"/>
        <v xml:space="preserve">N445JS  </v>
      </c>
      <c r="BE197">
        <v>7</v>
      </c>
      <c r="BG197">
        <v>0</v>
      </c>
      <c r="BH197">
        <v>0</v>
      </c>
      <c r="BI197">
        <v>0</v>
      </c>
      <c r="BJ197">
        <v>3100</v>
      </c>
      <c r="BK197">
        <v>-200</v>
      </c>
      <c r="BL197" t="s">
        <v>132</v>
      </c>
      <c r="BM197">
        <v>1</v>
      </c>
      <c r="BN197">
        <v>1</v>
      </c>
      <c r="BO197">
        <v>1</v>
      </c>
      <c r="BP197">
        <v>0</v>
      </c>
      <c r="BT197">
        <v>0</v>
      </c>
      <c r="BU197">
        <v>0</v>
      </c>
      <c r="CE197" t="str">
        <f>"15:38:19.118"</f>
        <v>15:38:19.118</v>
      </c>
      <c r="CF197">
        <v>118484681</v>
      </c>
      <c r="CS197">
        <v>0</v>
      </c>
      <c r="CT197">
        <v>2</v>
      </c>
      <c r="CU197">
        <v>0</v>
      </c>
      <c r="CV197">
        <v>2</v>
      </c>
      <c r="CW197">
        <v>0</v>
      </c>
      <c r="CX197">
        <v>5</v>
      </c>
      <c r="CY197">
        <v>7</v>
      </c>
      <c r="CZ197" t="s">
        <v>133</v>
      </c>
      <c r="DA197">
        <v>125</v>
      </c>
      <c r="DB197">
        <v>1</v>
      </c>
      <c r="DC197" t="s">
        <v>134</v>
      </c>
      <c r="DD197" t="s">
        <v>135</v>
      </c>
      <c r="DG197">
        <v>2489485</v>
      </c>
      <c r="DI197">
        <v>0</v>
      </c>
      <c r="DJ197">
        <v>0</v>
      </c>
      <c r="DK197">
        <v>1</v>
      </c>
      <c r="DL197">
        <v>0</v>
      </c>
      <c r="DM197">
        <v>0</v>
      </c>
      <c r="DN197">
        <v>0</v>
      </c>
      <c r="DO197">
        <v>0</v>
      </c>
      <c r="DP197">
        <v>0</v>
      </c>
      <c r="DQ197">
        <v>0</v>
      </c>
      <c r="DR197">
        <v>0</v>
      </c>
      <c r="DS197">
        <v>0</v>
      </c>
    </row>
    <row r="198" spans="1:123" x14ac:dyDescent="0.25">
      <c r="A198" t="str">
        <f>"04/17/2026 15:38:20.457"</f>
        <v>04/17/2026 15:38:20.457</v>
      </c>
      <c r="C198" t="str">
        <f t="shared" si="17"/>
        <v>FFDFD3C0</v>
      </c>
      <c r="D198" t="s">
        <v>139</v>
      </c>
      <c r="E198" t="str">
        <f>"28"</f>
        <v>28</v>
      </c>
      <c r="H198">
        <v>140</v>
      </c>
      <c r="I198" t="s">
        <v>140</v>
      </c>
      <c r="J198" t="s">
        <v>141</v>
      </c>
      <c r="K198">
        <v>0</v>
      </c>
      <c r="L198">
        <v>3</v>
      </c>
      <c r="M198">
        <v>0</v>
      </c>
      <c r="N198">
        <v>2</v>
      </c>
      <c r="O198">
        <v>1</v>
      </c>
      <c r="P198">
        <v>0</v>
      </c>
      <c r="Q198">
        <v>0</v>
      </c>
      <c r="R198" t="s">
        <v>127</v>
      </c>
      <c r="S198" t="str">
        <f>"15:38:20.180"</f>
        <v>15:38:20.180</v>
      </c>
      <c r="T198" t="str">
        <f>"15:38:19.780"</f>
        <v>15:38:19.780</v>
      </c>
      <c r="U198" t="str">
        <f t="shared" si="18"/>
        <v>A55E09</v>
      </c>
      <c r="V198">
        <v>0</v>
      </c>
      <c r="W198">
        <v>0</v>
      </c>
      <c r="X198">
        <v>2</v>
      </c>
      <c r="Y198">
        <v>0</v>
      </c>
      <c r="AA198">
        <v>0</v>
      </c>
      <c r="AB198">
        <v>9</v>
      </c>
      <c r="AC198">
        <v>3</v>
      </c>
      <c r="AD198">
        <v>0</v>
      </c>
      <c r="AE198">
        <v>9</v>
      </c>
      <c r="AF198" t="s">
        <v>128</v>
      </c>
      <c r="AG198">
        <v>0</v>
      </c>
      <c r="AH198">
        <v>0</v>
      </c>
      <c r="AI198">
        <v>1</v>
      </c>
      <c r="AJ198">
        <v>0</v>
      </c>
      <c r="AK198" t="s">
        <v>232</v>
      </c>
      <c r="AL198">
        <v>33.673459999999999</v>
      </c>
      <c r="AM198" t="s">
        <v>233</v>
      </c>
      <c r="AN198">
        <v>-101.20393</v>
      </c>
      <c r="AO198">
        <v>100</v>
      </c>
      <c r="AP198">
        <v>3300</v>
      </c>
      <c r="AQ198" t="s">
        <v>131</v>
      </c>
      <c r="AR198">
        <v>-23</v>
      </c>
      <c r="AS198">
        <v>69</v>
      </c>
      <c r="AT198">
        <v>640</v>
      </c>
      <c r="BB198" t="str">
        <f t="shared" si="19"/>
        <v>1200</v>
      </c>
      <c r="BC198">
        <v>1</v>
      </c>
      <c r="BD198" t="str">
        <f t="shared" si="20"/>
        <v xml:space="preserve">N445JS  </v>
      </c>
      <c r="BE198">
        <v>7</v>
      </c>
      <c r="BG198">
        <v>0</v>
      </c>
      <c r="BH198">
        <v>0</v>
      </c>
      <c r="BI198">
        <v>0</v>
      </c>
      <c r="BJ198">
        <v>3125</v>
      </c>
      <c r="BK198">
        <v>-175</v>
      </c>
      <c r="BL198" t="s">
        <v>132</v>
      </c>
      <c r="BM198">
        <v>1</v>
      </c>
      <c r="BN198">
        <v>1</v>
      </c>
      <c r="BO198">
        <v>1</v>
      </c>
      <c r="BP198">
        <v>0</v>
      </c>
      <c r="BT198">
        <v>0</v>
      </c>
      <c r="BU198">
        <v>0</v>
      </c>
      <c r="CE198" t="str">
        <f>"15:38:20.183"</f>
        <v>15:38:20.183</v>
      </c>
      <c r="CF198">
        <v>183380272</v>
      </c>
      <c r="CS198">
        <v>0</v>
      </c>
      <c r="CT198">
        <v>2</v>
      </c>
      <c r="CU198">
        <v>0</v>
      </c>
      <c r="CV198">
        <v>2</v>
      </c>
      <c r="CW198">
        <v>0</v>
      </c>
      <c r="CX198">
        <v>6</v>
      </c>
      <c r="CY198">
        <v>7</v>
      </c>
      <c r="CZ198" t="s">
        <v>133</v>
      </c>
      <c r="DA198">
        <v>125</v>
      </c>
      <c r="DB198">
        <v>1</v>
      </c>
      <c r="DC198" t="s">
        <v>134</v>
      </c>
      <c r="DD198" t="s">
        <v>135</v>
      </c>
      <c r="DG198">
        <v>2490528</v>
      </c>
      <c r="DI198">
        <v>0</v>
      </c>
      <c r="DJ198">
        <v>0</v>
      </c>
      <c r="DK198">
        <v>0</v>
      </c>
      <c r="DL198">
        <v>0</v>
      </c>
      <c r="DM198">
        <v>0</v>
      </c>
      <c r="DN198">
        <v>0</v>
      </c>
      <c r="DO198">
        <v>0</v>
      </c>
      <c r="DP198">
        <v>0</v>
      </c>
      <c r="DQ198">
        <v>0</v>
      </c>
      <c r="DR198">
        <v>0</v>
      </c>
      <c r="DS198">
        <v>0</v>
      </c>
    </row>
    <row r="199" spans="1:123" x14ac:dyDescent="0.25">
      <c r="A199" t="str">
        <f>"04/17/2026 15:38:20.479"</f>
        <v>04/17/2026 15:38:20.479</v>
      </c>
      <c r="C199" t="str">
        <f t="shared" si="17"/>
        <v>FFDFD3C0</v>
      </c>
      <c r="D199" t="s">
        <v>136</v>
      </c>
      <c r="E199" t="str">
        <f>"0E"</f>
        <v>0E</v>
      </c>
      <c r="F199">
        <v>1014</v>
      </c>
      <c r="G199" t="s">
        <v>125</v>
      </c>
      <c r="J199" t="s">
        <v>137</v>
      </c>
      <c r="K199">
        <v>0</v>
      </c>
      <c r="L199">
        <v>3</v>
      </c>
      <c r="M199">
        <v>0</v>
      </c>
      <c r="N199">
        <v>2</v>
      </c>
      <c r="O199">
        <v>1</v>
      </c>
      <c r="P199">
        <v>0</v>
      </c>
      <c r="Q199">
        <v>0</v>
      </c>
      <c r="R199" t="s">
        <v>127</v>
      </c>
      <c r="S199" t="str">
        <f>"15:38:20.180"</f>
        <v>15:38:20.180</v>
      </c>
      <c r="T199" t="str">
        <f>"15:38:19.780"</f>
        <v>15:38:19.780</v>
      </c>
      <c r="U199" t="str">
        <f t="shared" si="18"/>
        <v>A55E09</v>
      </c>
      <c r="V199">
        <v>0</v>
      </c>
      <c r="W199">
        <v>0</v>
      </c>
      <c r="X199">
        <v>2</v>
      </c>
      <c r="Y199">
        <v>0</v>
      </c>
      <c r="AA199">
        <v>0</v>
      </c>
      <c r="AB199">
        <v>9</v>
      </c>
      <c r="AC199">
        <v>3</v>
      </c>
      <c r="AD199">
        <v>0</v>
      </c>
      <c r="AE199">
        <v>9</v>
      </c>
      <c r="AF199" t="s">
        <v>128</v>
      </c>
      <c r="AG199">
        <v>0</v>
      </c>
      <c r="AH199">
        <v>0</v>
      </c>
      <c r="AI199">
        <v>1</v>
      </c>
      <c r="AJ199">
        <v>0</v>
      </c>
      <c r="AK199" t="s">
        <v>232</v>
      </c>
      <c r="AL199">
        <v>33.673459999999999</v>
      </c>
      <c r="AM199" t="s">
        <v>233</v>
      </c>
      <c r="AN199">
        <v>-101.20393</v>
      </c>
      <c r="AO199">
        <v>100</v>
      </c>
      <c r="AP199">
        <v>3300</v>
      </c>
      <c r="AQ199" t="s">
        <v>131</v>
      </c>
      <c r="AR199">
        <v>-23</v>
      </c>
      <c r="AS199">
        <v>69</v>
      </c>
      <c r="AT199">
        <v>640</v>
      </c>
      <c r="BB199" t="str">
        <f t="shared" si="19"/>
        <v>1200</v>
      </c>
      <c r="BC199">
        <v>1</v>
      </c>
      <c r="BD199" t="str">
        <f t="shared" si="20"/>
        <v xml:space="preserve">N445JS  </v>
      </c>
      <c r="BE199">
        <v>7</v>
      </c>
      <c r="BG199">
        <v>0</v>
      </c>
      <c r="BH199">
        <v>0</v>
      </c>
      <c r="BI199">
        <v>0</v>
      </c>
      <c r="BJ199">
        <v>3125</v>
      </c>
      <c r="BK199">
        <v>-175</v>
      </c>
      <c r="BL199" t="s">
        <v>132</v>
      </c>
      <c r="BM199">
        <v>1</v>
      </c>
      <c r="BN199">
        <v>1</v>
      </c>
      <c r="BO199">
        <v>1</v>
      </c>
      <c r="BP199">
        <v>0</v>
      </c>
      <c r="BT199">
        <v>0</v>
      </c>
      <c r="BU199">
        <v>0</v>
      </c>
      <c r="CE199" t="str">
        <f>"15:38:20.183"</f>
        <v>15:38:20.183</v>
      </c>
      <c r="CF199">
        <v>183380272</v>
      </c>
      <c r="CS199">
        <v>0</v>
      </c>
      <c r="CT199">
        <v>2</v>
      </c>
      <c r="CU199">
        <v>0</v>
      </c>
      <c r="CV199">
        <v>2</v>
      </c>
      <c r="CW199">
        <v>0</v>
      </c>
      <c r="CX199">
        <v>6</v>
      </c>
      <c r="CY199">
        <v>7</v>
      </c>
      <c r="CZ199" t="s">
        <v>133</v>
      </c>
      <c r="DA199">
        <v>125</v>
      </c>
      <c r="DB199">
        <v>1</v>
      </c>
      <c r="DC199" t="s">
        <v>134</v>
      </c>
      <c r="DD199" t="s">
        <v>135</v>
      </c>
      <c r="DG199">
        <v>2490528</v>
      </c>
      <c r="DI199">
        <v>0</v>
      </c>
      <c r="DJ199">
        <v>0</v>
      </c>
      <c r="DK199">
        <v>1</v>
      </c>
      <c r="DL199">
        <v>0</v>
      </c>
      <c r="DM199">
        <v>0</v>
      </c>
      <c r="DN199">
        <v>0</v>
      </c>
      <c r="DO199">
        <v>0</v>
      </c>
      <c r="DP199">
        <v>0</v>
      </c>
      <c r="DQ199">
        <v>0</v>
      </c>
      <c r="DR199">
        <v>0</v>
      </c>
      <c r="DS199">
        <v>0</v>
      </c>
    </row>
    <row r="200" spans="1:123" x14ac:dyDescent="0.25">
      <c r="A200" t="str">
        <f>"04/17/2026 15:38:20.481"</f>
        <v>04/17/2026 15:38:20.481</v>
      </c>
      <c r="C200" t="str">
        <f t="shared" si="17"/>
        <v>FFDFD3C0</v>
      </c>
      <c r="D200" t="s">
        <v>136</v>
      </c>
      <c r="E200" t="str">
        <f>"0F"</f>
        <v>0F</v>
      </c>
      <c r="F200">
        <v>1015</v>
      </c>
      <c r="G200" t="s">
        <v>138</v>
      </c>
      <c r="J200" t="s">
        <v>137</v>
      </c>
      <c r="K200">
        <v>0</v>
      </c>
      <c r="L200">
        <v>3</v>
      </c>
      <c r="M200">
        <v>0</v>
      </c>
      <c r="N200">
        <v>2</v>
      </c>
      <c r="O200">
        <v>1</v>
      </c>
      <c r="P200">
        <v>0</v>
      </c>
      <c r="Q200">
        <v>0</v>
      </c>
      <c r="R200" t="s">
        <v>127</v>
      </c>
      <c r="S200" t="str">
        <f>"15:38:20.180"</f>
        <v>15:38:20.180</v>
      </c>
      <c r="T200" t="str">
        <f>"15:38:19.780"</f>
        <v>15:38:19.780</v>
      </c>
      <c r="U200" t="str">
        <f t="shared" si="18"/>
        <v>A55E09</v>
      </c>
      <c r="V200">
        <v>0</v>
      </c>
      <c r="W200">
        <v>0</v>
      </c>
      <c r="X200">
        <v>2</v>
      </c>
      <c r="Y200">
        <v>0</v>
      </c>
      <c r="AA200">
        <v>0</v>
      </c>
      <c r="AB200">
        <v>9</v>
      </c>
      <c r="AC200">
        <v>3</v>
      </c>
      <c r="AD200">
        <v>0</v>
      </c>
      <c r="AE200">
        <v>9</v>
      </c>
      <c r="AF200" t="s">
        <v>128</v>
      </c>
      <c r="AG200">
        <v>0</v>
      </c>
      <c r="AH200">
        <v>0</v>
      </c>
      <c r="AI200">
        <v>1</v>
      </c>
      <c r="AJ200">
        <v>0</v>
      </c>
      <c r="AK200" t="s">
        <v>232</v>
      </c>
      <c r="AL200">
        <v>33.673459999999999</v>
      </c>
      <c r="AM200" t="s">
        <v>233</v>
      </c>
      <c r="AN200">
        <v>-101.20393</v>
      </c>
      <c r="AO200">
        <v>100</v>
      </c>
      <c r="AP200">
        <v>3300</v>
      </c>
      <c r="AQ200" t="s">
        <v>131</v>
      </c>
      <c r="AR200">
        <v>-23</v>
      </c>
      <c r="AS200">
        <v>69</v>
      </c>
      <c r="AT200">
        <v>640</v>
      </c>
      <c r="BB200" t="str">
        <f t="shared" si="19"/>
        <v>1200</v>
      </c>
      <c r="BC200">
        <v>1</v>
      </c>
      <c r="BD200" t="str">
        <f t="shared" si="20"/>
        <v xml:space="preserve">N445JS  </v>
      </c>
      <c r="BE200">
        <v>7</v>
      </c>
      <c r="BG200">
        <v>0</v>
      </c>
      <c r="BH200">
        <v>0</v>
      </c>
      <c r="BI200">
        <v>0</v>
      </c>
      <c r="BJ200">
        <v>3125</v>
      </c>
      <c r="BK200">
        <v>-175</v>
      </c>
      <c r="BL200" t="s">
        <v>132</v>
      </c>
      <c r="BM200">
        <v>1</v>
      </c>
      <c r="BN200">
        <v>1</v>
      </c>
      <c r="BO200">
        <v>1</v>
      </c>
      <c r="BP200">
        <v>0</v>
      </c>
      <c r="BT200">
        <v>0</v>
      </c>
      <c r="BU200">
        <v>0</v>
      </c>
      <c r="CE200" t="str">
        <f>"15:38:20.183"</f>
        <v>15:38:20.183</v>
      </c>
      <c r="CF200">
        <v>183380272</v>
      </c>
      <c r="CS200">
        <v>0</v>
      </c>
      <c r="CT200">
        <v>2</v>
      </c>
      <c r="CU200">
        <v>0</v>
      </c>
      <c r="CV200">
        <v>2</v>
      </c>
      <c r="CW200">
        <v>0</v>
      </c>
      <c r="CX200">
        <v>6</v>
      </c>
      <c r="CY200">
        <v>7</v>
      </c>
      <c r="CZ200" t="s">
        <v>133</v>
      </c>
      <c r="DA200">
        <v>125</v>
      </c>
      <c r="DB200">
        <v>1</v>
      </c>
      <c r="DC200" t="s">
        <v>134</v>
      </c>
      <c r="DD200" t="s">
        <v>135</v>
      </c>
      <c r="DG200">
        <v>2490528</v>
      </c>
      <c r="DI200">
        <v>0</v>
      </c>
      <c r="DJ200">
        <v>0</v>
      </c>
      <c r="DK200">
        <v>1</v>
      </c>
      <c r="DL200">
        <v>0</v>
      </c>
      <c r="DM200">
        <v>0</v>
      </c>
      <c r="DN200">
        <v>0</v>
      </c>
      <c r="DO200">
        <v>0</v>
      </c>
      <c r="DP200">
        <v>0</v>
      </c>
      <c r="DQ200">
        <v>0</v>
      </c>
      <c r="DR200">
        <v>0</v>
      </c>
      <c r="DS200">
        <v>0</v>
      </c>
    </row>
    <row r="201" spans="1:123" x14ac:dyDescent="0.25">
      <c r="A201" t="str">
        <f>"04/17/2026 15:38:20.481"</f>
        <v>04/17/2026 15:38:20.481</v>
      </c>
      <c r="C201" t="str">
        <f t="shared" si="17"/>
        <v>FFDFD3C0</v>
      </c>
      <c r="D201" t="s">
        <v>124</v>
      </c>
      <c r="E201" t="str">
        <f>"03"</f>
        <v>03</v>
      </c>
      <c r="H201">
        <v>160</v>
      </c>
      <c r="I201" t="s">
        <v>125</v>
      </c>
      <c r="J201" t="s">
        <v>126</v>
      </c>
      <c r="K201">
        <v>0</v>
      </c>
      <c r="L201">
        <v>3</v>
      </c>
      <c r="M201">
        <v>0</v>
      </c>
      <c r="N201">
        <v>2</v>
      </c>
      <c r="O201">
        <v>1</v>
      </c>
      <c r="P201">
        <v>0</v>
      </c>
      <c r="Q201">
        <v>0</v>
      </c>
      <c r="R201" t="s">
        <v>127</v>
      </c>
      <c r="S201" t="str">
        <f>"15:38:20.180"</f>
        <v>15:38:20.180</v>
      </c>
      <c r="T201" t="str">
        <f>"15:38:19.780"</f>
        <v>15:38:19.780</v>
      </c>
      <c r="U201" t="str">
        <f t="shared" si="18"/>
        <v>A55E09</v>
      </c>
      <c r="V201">
        <v>0</v>
      </c>
      <c r="W201">
        <v>0</v>
      </c>
      <c r="X201">
        <v>2</v>
      </c>
      <c r="Y201">
        <v>0</v>
      </c>
      <c r="AA201">
        <v>0</v>
      </c>
      <c r="AB201">
        <v>9</v>
      </c>
      <c r="AC201">
        <v>3</v>
      </c>
      <c r="AD201">
        <v>0</v>
      </c>
      <c r="AE201">
        <v>9</v>
      </c>
      <c r="AF201" t="s">
        <v>128</v>
      </c>
      <c r="AG201">
        <v>0</v>
      </c>
      <c r="AH201">
        <v>0</v>
      </c>
      <c r="AI201">
        <v>1</v>
      </c>
      <c r="AJ201">
        <v>0</v>
      </c>
      <c r="AK201" t="s">
        <v>232</v>
      </c>
      <c r="AL201">
        <v>33.673459999999999</v>
      </c>
      <c r="AM201" t="s">
        <v>233</v>
      </c>
      <c r="AN201">
        <v>-101.20393</v>
      </c>
      <c r="AO201">
        <v>100</v>
      </c>
      <c r="AP201">
        <v>3300</v>
      </c>
      <c r="AQ201" t="s">
        <v>131</v>
      </c>
      <c r="AR201">
        <v>-23</v>
      </c>
      <c r="AS201">
        <v>69</v>
      </c>
      <c r="AT201">
        <v>640</v>
      </c>
      <c r="BB201" t="str">
        <f t="shared" si="19"/>
        <v>1200</v>
      </c>
      <c r="BC201">
        <v>1</v>
      </c>
      <c r="BD201" t="str">
        <f t="shared" si="20"/>
        <v xml:space="preserve">N445JS  </v>
      </c>
      <c r="BE201">
        <v>7</v>
      </c>
      <c r="BG201">
        <v>0</v>
      </c>
      <c r="BH201">
        <v>0</v>
      </c>
      <c r="BI201">
        <v>0</v>
      </c>
      <c r="BJ201">
        <v>3125</v>
      </c>
      <c r="BK201">
        <v>-175</v>
      </c>
      <c r="BL201" t="s">
        <v>132</v>
      </c>
      <c r="BM201">
        <v>1</v>
      </c>
      <c r="BN201">
        <v>1</v>
      </c>
      <c r="BO201">
        <v>1</v>
      </c>
      <c r="BP201">
        <v>0</v>
      </c>
      <c r="BT201">
        <v>0</v>
      </c>
      <c r="BU201">
        <v>0</v>
      </c>
      <c r="CE201" t="str">
        <f>"15:38:20.183"</f>
        <v>15:38:20.183</v>
      </c>
      <c r="CF201">
        <v>183380272</v>
      </c>
      <c r="CS201">
        <v>0</v>
      </c>
      <c r="CT201">
        <v>2</v>
      </c>
      <c r="CU201">
        <v>0</v>
      </c>
      <c r="CV201">
        <v>2</v>
      </c>
      <c r="CW201">
        <v>0</v>
      </c>
      <c r="CX201">
        <v>6</v>
      </c>
      <c r="CY201">
        <v>7</v>
      </c>
      <c r="CZ201" t="s">
        <v>133</v>
      </c>
      <c r="DA201">
        <v>125</v>
      </c>
      <c r="DB201">
        <v>1</v>
      </c>
      <c r="DC201" t="s">
        <v>134</v>
      </c>
      <c r="DD201" t="s">
        <v>135</v>
      </c>
      <c r="DG201">
        <v>2490528</v>
      </c>
      <c r="DI201">
        <v>0</v>
      </c>
      <c r="DJ201">
        <v>0</v>
      </c>
      <c r="DK201">
        <v>1</v>
      </c>
      <c r="DL201">
        <v>0</v>
      </c>
      <c r="DM201">
        <v>0</v>
      </c>
      <c r="DN201">
        <v>0</v>
      </c>
      <c r="DO201">
        <v>0</v>
      </c>
      <c r="DP201">
        <v>0</v>
      </c>
      <c r="DQ201">
        <v>0</v>
      </c>
      <c r="DR201">
        <v>0</v>
      </c>
      <c r="DS201">
        <v>0</v>
      </c>
    </row>
    <row r="202" spans="1:123" x14ac:dyDescent="0.25">
      <c r="A202" t="str">
        <f>"04/17/2026 15:38:21.832"</f>
        <v>04/17/2026 15:38:21.832</v>
      </c>
      <c r="C202" t="str">
        <f t="shared" si="17"/>
        <v>FFDFD3C0</v>
      </c>
      <c r="D202" t="s">
        <v>136</v>
      </c>
      <c r="E202" t="str">
        <f>"0E"</f>
        <v>0E</v>
      </c>
      <c r="F202">
        <v>1014</v>
      </c>
      <c r="G202" t="s">
        <v>125</v>
      </c>
      <c r="J202" t="s">
        <v>137</v>
      </c>
      <c r="K202">
        <v>0</v>
      </c>
      <c r="L202">
        <v>3</v>
      </c>
      <c r="M202">
        <v>0</v>
      </c>
      <c r="N202">
        <v>2</v>
      </c>
      <c r="O202">
        <v>1</v>
      </c>
      <c r="P202">
        <v>0</v>
      </c>
      <c r="Q202">
        <v>0</v>
      </c>
      <c r="R202" t="s">
        <v>127</v>
      </c>
      <c r="S202" t="str">
        <f>"15:38:21.602"</f>
        <v>15:38:21.602</v>
      </c>
      <c r="T202" t="str">
        <f>"15:38:21.402"</f>
        <v>15:38:21.402</v>
      </c>
      <c r="U202" t="str">
        <f t="shared" si="18"/>
        <v>A55E09</v>
      </c>
      <c r="V202">
        <v>0</v>
      </c>
      <c r="W202">
        <v>0</v>
      </c>
      <c r="X202">
        <v>2</v>
      </c>
      <c r="Y202">
        <v>0</v>
      </c>
      <c r="AA202">
        <v>0</v>
      </c>
      <c r="AB202">
        <v>9</v>
      </c>
      <c r="AC202">
        <v>3</v>
      </c>
      <c r="AD202">
        <v>0</v>
      </c>
      <c r="AE202">
        <v>9</v>
      </c>
      <c r="AF202" t="s">
        <v>128</v>
      </c>
      <c r="AG202">
        <v>0</v>
      </c>
      <c r="AH202">
        <v>0</v>
      </c>
      <c r="AI202">
        <v>1</v>
      </c>
      <c r="AJ202">
        <v>0</v>
      </c>
      <c r="AK202" t="s">
        <v>234</v>
      </c>
      <c r="AL202">
        <v>33.673932999999998</v>
      </c>
      <c r="AM202" t="s">
        <v>235</v>
      </c>
      <c r="AN202">
        <v>-101.20410200000001</v>
      </c>
      <c r="AO202">
        <v>100</v>
      </c>
      <c r="AP202">
        <v>3300</v>
      </c>
      <c r="AQ202" t="s">
        <v>131</v>
      </c>
      <c r="AR202">
        <v>-23</v>
      </c>
      <c r="AS202">
        <v>68</v>
      </c>
      <c r="AT202">
        <v>576</v>
      </c>
      <c r="BB202" t="str">
        <f t="shared" si="19"/>
        <v>1200</v>
      </c>
      <c r="BC202">
        <v>1</v>
      </c>
      <c r="BD202" t="str">
        <f t="shared" si="20"/>
        <v xml:space="preserve">N445JS  </v>
      </c>
      <c r="BE202">
        <v>7</v>
      </c>
      <c r="BG202">
        <v>0</v>
      </c>
      <c r="BH202">
        <v>0</v>
      </c>
      <c r="BI202">
        <v>0</v>
      </c>
      <c r="BJ202">
        <v>3125</v>
      </c>
      <c r="BK202">
        <v>-175</v>
      </c>
      <c r="BL202" t="s">
        <v>132</v>
      </c>
      <c r="BM202">
        <v>1</v>
      </c>
      <c r="BN202">
        <v>1</v>
      </c>
      <c r="BO202">
        <v>1</v>
      </c>
      <c r="BP202">
        <v>0</v>
      </c>
      <c r="BT202">
        <v>0</v>
      </c>
      <c r="BU202">
        <v>0</v>
      </c>
      <c r="CE202" t="str">
        <f>"15:38:21.608"</f>
        <v>15:38:21.608</v>
      </c>
      <c r="CF202">
        <v>608240561</v>
      </c>
      <c r="CS202">
        <v>0</v>
      </c>
      <c r="CT202">
        <v>2</v>
      </c>
      <c r="CU202">
        <v>0</v>
      </c>
      <c r="CV202">
        <v>2</v>
      </c>
      <c r="CW202">
        <v>0</v>
      </c>
      <c r="CX202">
        <v>7</v>
      </c>
      <c r="CY202">
        <v>7</v>
      </c>
      <c r="CZ202" t="s">
        <v>133</v>
      </c>
      <c r="DA202">
        <v>125</v>
      </c>
      <c r="DB202">
        <v>1</v>
      </c>
      <c r="DC202" t="s">
        <v>134</v>
      </c>
      <c r="DD202" t="s">
        <v>135</v>
      </c>
      <c r="DG202">
        <v>2491950</v>
      </c>
      <c r="DI202">
        <v>0</v>
      </c>
      <c r="DJ202">
        <v>0</v>
      </c>
      <c r="DK202">
        <v>0</v>
      </c>
      <c r="DL202">
        <v>0</v>
      </c>
      <c r="DM202">
        <v>0</v>
      </c>
      <c r="DN202">
        <v>0</v>
      </c>
      <c r="DO202">
        <v>0</v>
      </c>
      <c r="DP202">
        <v>0</v>
      </c>
      <c r="DQ202">
        <v>0</v>
      </c>
      <c r="DR202">
        <v>0</v>
      </c>
      <c r="DS202">
        <v>0</v>
      </c>
    </row>
    <row r="203" spans="1:123" x14ac:dyDescent="0.25">
      <c r="A203" t="str">
        <f>"04/17/2026 15:38:21.833"</f>
        <v>04/17/2026 15:38:21.833</v>
      </c>
      <c r="C203" t="str">
        <f t="shared" si="17"/>
        <v>FFDFD3C0</v>
      </c>
      <c r="D203" t="s">
        <v>136</v>
      </c>
      <c r="E203" t="str">
        <f>"0F"</f>
        <v>0F</v>
      </c>
      <c r="F203">
        <v>1015</v>
      </c>
      <c r="G203" t="s">
        <v>138</v>
      </c>
      <c r="J203" t="s">
        <v>137</v>
      </c>
      <c r="K203">
        <v>0</v>
      </c>
      <c r="L203">
        <v>3</v>
      </c>
      <c r="M203">
        <v>0</v>
      </c>
      <c r="N203">
        <v>2</v>
      </c>
      <c r="O203">
        <v>1</v>
      </c>
      <c r="P203">
        <v>0</v>
      </c>
      <c r="Q203">
        <v>0</v>
      </c>
      <c r="R203" t="s">
        <v>127</v>
      </c>
      <c r="S203" t="str">
        <f>"15:38:21.602"</f>
        <v>15:38:21.602</v>
      </c>
      <c r="T203" t="str">
        <f>"15:38:21.402"</f>
        <v>15:38:21.402</v>
      </c>
      <c r="U203" t="str">
        <f t="shared" si="18"/>
        <v>A55E09</v>
      </c>
      <c r="V203">
        <v>0</v>
      </c>
      <c r="W203">
        <v>0</v>
      </c>
      <c r="X203">
        <v>2</v>
      </c>
      <c r="Y203">
        <v>0</v>
      </c>
      <c r="AA203">
        <v>0</v>
      </c>
      <c r="AB203">
        <v>9</v>
      </c>
      <c r="AC203">
        <v>3</v>
      </c>
      <c r="AD203">
        <v>0</v>
      </c>
      <c r="AE203">
        <v>9</v>
      </c>
      <c r="AF203" t="s">
        <v>128</v>
      </c>
      <c r="AG203">
        <v>0</v>
      </c>
      <c r="AH203">
        <v>0</v>
      </c>
      <c r="AI203">
        <v>1</v>
      </c>
      <c r="AJ203">
        <v>0</v>
      </c>
      <c r="AK203" t="s">
        <v>234</v>
      </c>
      <c r="AL203">
        <v>33.673932999999998</v>
      </c>
      <c r="AM203" t="s">
        <v>235</v>
      </c>
      <c r="AN203">
        <v>-101.20410200000001</v>
      </c>
      <c r="AO203">
        <v>100</v>
      </c>
      <c r="AP203">
        <v>3300</v>
      </c>
      <c r="AQ203" t="s">
        <v>131</v>
      </c>
      <c r="AR203">
        <v>-23</v>
      </c>
      <c r="AS203">
        <v>68</v>
      </c>
      <c r="AT203">
        <v>576</v>
      </c>
      <c r="BB203" t="str">
        <f t="shared" si="19"/>
        <v>1200</v>
      </c>
      <c r="BC203">
        <v>1</v>
      </c>
      <c r="BD203" t="str">
        <f t="shared" si="20"/>
        <v xml:space="preserve">N445JS  </v>
      </c>
      <c r="BE203">
        <v>7</v>
      </c>
      <c r="BG203">
        <v>0</v>
      </c>
      <c r="BH203">
        <v>0</v>
      </c>
      <c r="BI203">
        <v>0</v>
      </c>
      <c r="BJ203">
        <v>3125</v>
      </c>
      <c r="BK203">
        <v>-175</v>
      </c>
      <c r="BL203" t="s">
        <v>132</v>
      </c>
      <c r="BM203">
        <v>1</v>
      </c>
      <c r="BN203">
        <v>1</v>
      </c>
      <c r="BO203">
        <v>1</v>
      </c>
      <c r="BP203">
        <v>0</v>
      </c>
      <c r="BT203">
        <v>0</v>
      </c>
      <c r="BU203">
        <v>0</v>
      </c>
      <c r="CE203" t="str">
        <f>"15:38:21.608"</f>
        <v>15:38:21.608</v>
      </c>
      <c r="CF203">
        <v>608240561</v>
      </c>
      <c r="CS203">
        <v>0</v>
      </c>
      <c r="CT203">
        <v>2</v>
      </c>
      <c r="CU203">
        <v>0</v>
      </c>
      <c r="CV203">
        <v>2</v>
      </c>
      <c r="CW203">
        <v>0</v>
      </c>
      <c r="CX203">
        <v>7</v>
      </c>
      <c r="CY203">
        <v>7</v>
      </c>
      <c r="CZ203" t="s">
        <v>133</v>
      </c>
      <c r="DA203">
        <v>125</v>
      </c>
      <c r="DB203">
        <v>1</v>
      </c>
      <c r="DC203" t="s">
        <v>134</v>
      </c>
      <c r="DD203" t="s">
        <v>135</v>
      </c>
      <c r="DG203">
        <v>2491950</v>
      </c>
      <c r="DI203">
        <v>0</v>
      </c>
      <c r="DJ203">
        <v>0</v>
      </c>
      <c r="DK203">
        <v>1</v>
      </c>
      <c r="DL203">
        <v>0</v>
      </c>
      <c r="DM203">
        <v>0</v>
      </c>
      <c r="DN203">
        <v>0</v>
      </c>
      <c r="DO203">
        <v>0</v>
      </c>
      <c r="DP203">
        <v>0</v>
      </c>
      <c r="DQ203">
        <v>0</v>
      </c>
      <c r="DR203">
        <v>0</v>
      </c>
      <c r="DS203">
        <v>0</v>
      </c>
    </row>
    <row r="204" spans="1:123" x14ac:dyDescent="0.25">
      <c r="A204" t="str">
        <f>"04/17/2026 15:38:21.834"</f>
        <v>04/17/2026 15:38:21.834</v>
      </c>
      <c r="C204" t="str">
        <f t="shared" si="17"/>
        <v>FFDFD3C0</v>
      </c>
      <c r="D204" t="s">
        <v>124</v>
      </c>
      <c r="E204" t="str">
        <f>"03"</f>
        <v>03</v>
      </c>
      <c r="H204">
        <v>160</v>
      </c>
      <c r="I204" t="s">
        <v>125</v>
      </c>
      <c r="J204" t="s">
        <v>126</v>
      </c>
      <c r="K204">
        <v>0</v>
      </c>
      <c r="L204">
        <v>3</v>
      </c>
      <c r="M204">
        <v>0</v>
      </c>
      <c r="N204">
        <v>2</v>
      </c>
      <c r="O204">
        <v>1</v>
      </c>
      <c r="P204">
        <v>0</v>
      </c>
      <c r="Q204">
        <v>0</v>
      </c>
      <c r="R204" t="s">
        <v>127</v>
      </c>
      <c r="S204" t="str">
        <f>"15:38:21.602"</f>
        <v>15:38:21.602</v>
      </c>
      <c r="T204" t="str">
        <f>"15:38:21.402"</f>
        <v>15:38:21.402</v>
      </c>
      <c r="U204" t="str">
        <f t="shared" si="18"/>
        <v>A55E09</v>
      </c>
      <c r="V204">
        <v>0</v>
      </c>
      <c r="W204">
        <v>0</v>
      </c>
      <c r="X204">
        <v>2</v>
      </c>
      <c r="Y204">
        <v>0</v>
      </c>
      <c r="AA204">
        <v>0</v>
      </c>
      <c r="AB204">
        <v>9</v>
      </c>
      <c r="AC204">
        <v>3</v>
      </c>
      <c r="AD204">
        <v>0</v>
      </c>
      <c r="AE204">
        <v>9</v>
      </c>
      <c r="AF204" t="s">
        <v>128</v>
      </c>
      <c r="AG204">
        <v>0</v>
      </c>
      <c r="AH204">
        <v>0</v>
      </c>
      <c r="AI204">
        <v>1</v>
      </c>
      <c r="AJ204">
        <v>0</v>
      </c>
      <c r="AK204" t="s">
        <v>234</v>
      </c>
      <c r="AL204">
        <v>33.673932999999998</v>
      </c>
      <c r="AM204" t="s">
        <v>235</v>
      </c>
      <c r="AN204">
        <v>-101.20410200000001</v>
      </c>
      <c r="AO204">
        <v>100</v>
      </c>
      <c r="AP204">
        <v>3300</v>
      </c>
      <c r="AQ204" t="s">
        <v>131</v>
      </c>
      <c r="AR204">
        <v>-23</v>
      </c>
      <c r="AS204">
        <v>68</v>
      </c>
      <c r="AT204">
        <v>576</v>
      </c>
      <c r="BB204" t="str">
        <f t="shared" si="19"/>
        <v>1200</v>
      </c>
      <c r="BC204">
        <v>1</v>
      </c>
      <c r="BD204" t="str">
        <f t="shared" si="20"/>
        <v xml:space="preserve">N445JS  </v>
      </c>
      <c r="BE204">
        <v>7</v>
      </c>
      <c r="BG204">
        <v>0</v>
      </c>
      <c r="BH204">
        <v>0</v>
      </c>
      <c r="BI204">
        <v>0</v>
      </c>
      <c r="BJ204">
        <v>3125</v>
      </c>
      <c r="BK204">
        <v>-175</v>
      </c>
      <c r="BL204" t="s">
        <v>132</v>
      </c>
      <c r="BM204">
        <v>1</v>
      </c>
      <c r="BN204">
        <v>1</v>
      </c>
      <c r="BO204">
        <v>1</v>
      </c>
      <c r="BP204">
        <v>0</v>
      </c>
      <c r="BT204">
        <v>0</v>
      </c>
      <c r="BU204">
        <v>0</v>
      </c>
      <c r="CE204" t="str">
        <f>"15:38:21.608"</f>
        <v>15:38:21.608</v>
      </c>
      <c r="CF204">
        <v>608240561</v>
      </c>
      <c r="CS204">
        <v>0</v>
      </c>
      <c r="CT204">
        <v>2</v>
      </c>
      <c r="CU204">
        <v>0</v>
      </c>
      <c r="CV204">
        <v>2</v>
      </c>
      <c r="CW204">
        <v>0</v>
      </c>
      <c r="CX204">
        <v>7</v>
      </c>
      <c r="CY204">
        <v>7</v>
      </c>
      <c r="CZ204" t="s">
        <v>133</v>
      </c>
      <c r="DA204">
        <v>125</v>
      </c>
      <c r="DB204">
        <v>1</v>
      </c>
      <c r="DC204" t="s">
        <v>134</v>
      </c>
      <c r="DD204" t="s">
        <v>135</v>
      </c>
      <c r="DG204">
        <v>2491950</v>
      </c>
      <c r="DI204">
        <v>0</v>
      </c>
      <c r="DJ204">
        <v>0</v>
      </c>
      <c r="DK204">
        <v>1</v>
      </c>
      <c r="DL204">
        <v>0</v>
      </c>
      <c r="DM204">
        <v>0</v>
      </c>
      <c r="DN204">
        <v>0</v>
      </c>
      <c r="DO204">
        <v>0</v>
      </c>
      <c r="DP204">
        <v>0</v>
      </c>
      <c r="DQ204">
        <v>0</v>
      </c>
      <c r="DR204">
        <v>0</v>
      </c>
      <c r="DS204">
        <v>0</v>
      </c>
    </row>
    <row r="205" spans="1:123" x14ac:dyDescent="0.25">
      <c r="A205" t="str">
        <f>"04/17/2026 15:38:21.859"</f>
        <v>04/17/2026 15:38:21.859</v>
      </c>
      <c r="C205" t="str">
        <f t="shared" si="17"/>
        <v>FFDFD3C0</v>
      </c>
      <c r="D205" t="s">
        <v>139</v>
      </c>
      <c r="E205" t="str">
        <f>"28"</f>
        <v>28</v>
      </c>
      <c r="H205">
        <v>140</v>
      </c>
      <c r="I205" t="s">
        <v>140</v>
      </c>
      <c r="J205" t="s">
        <v>141</v>
      </c>
      <c r="K205">
        <v>0</v>
      </c>
      <c r="L205">
        <v>3</v>
      </c>
      <c r="M205">
        <v>0</v>
      </c>
      <c r="N205">
        <v>2</v>
      </c>
      <c r="O205">
        <v>1</v>
      </c>
      <c r="P205">
        <v>0</v>
      </c>
      <c r="Q205">
        <v>0</v>
      </c>
      <c r="R205" t="s">
        <v>127</v>
      </c>
      <c r="S205" t="str">
        <f>"15:38:21.602"</f>
        <v>15:38:21.602</v>
      </c>
      <c r="T205" t="str">
        <f>"15:38:21.402"</f>
        <v>15:38:21.402</v>
      </c>
      <c r="U205" t="str">
        <f t="shared" si="18"/>
        <v>A55E09</v>
      </c>
      <c r="V205">
        <v>0</v>
      </c>
      <c r="W205">
        <v>0</v>
      </c>
      <c r="X205">
        <v>2</v>
      </c>
      <c r="Y205">
        <v>0</v>
      </c>
      <c r="AA205">
        <v>0</v>
      </c>
      <c r="AB205">
        <v>9</v>
      </c>
      <c r="AC205">
        <v>3</v>
      </c>
      <c r="AD205">
        <v>0</v>
      </c>
      <c r="AE205">
        <v>9</v>
      </c>
      <c r="AF205" t="s">
        <v>128</v>
      </c>
      <c r="AG205">
        <v>0</v>
      </c>
      <c r="AH205">
        <v>0</v>
      </c>
      <c r="AI205">
        <v>1</v>
      </c>
      <c r="AJ205">
        <v>0</v>
      </c>
      <c r="AK205" t="s">
        <v>234</v>
      </c>
      <c r="AL205">
        <v>33.673932999999998</v>
      </c>
      <c r="AM205" t="s">
        <v>235</v>
      </c>
      <c r="AN205">
        <v>-101.20410200000001</v>
      </c>
      <c r="AO205">
        <v>100</v>
      </c>
      <c r="AP205">
        <v>3300</v>
      </c>
      <c r="AQ205" t="s">
        <v>131</v>
      </c>
      <c r="AR205">
        <v>-23</v>
      </c>
      <c r="AS205">
        <v>68</v>
      </c>
      <c r="AT205">
        <v>576</v>
      </c>
      <c r="BB205" t="str">
        <f t="shared" si="19"/>
        <v>1200</v>
      </c>
      <c r="BC205">
        <v>1</v>
      </c>
      <c r="BD205" t="str">
        <f t="shared" si="20"/>
        <v xml:space="preserve">N445JS  </v>
      </c>
      <c r="BE205">
        <v>7</v>
      </c>
      <c r="BG205">
        <v>0</v>
      </c>
      <c r="BH205">
        <v>0</v>
      </c>
      <c r="BI205">
        <v>0</v>
      </c>
      <c r="BJ205">
        <v>3125</v>
      </c>
      <c r="BK205">
        <v>-175</v>
      </c>
      <c r="BL205" t="s">
        <v>132</v>
      </c>
      <c r="BM205">
        <v>1</v>
      </c>
      <c r="BN205">
        <v>1</v>
      </c>
      <c r="BO205">
        <v>1</v>
      </c>
      <c r="BP205">
        <v>0</v>
      </c>
      <c r="BT205">
        <v>0</v>
      </c>
      <c r="BU205">
        <v>0</v>
      </c>
      <c r="CE205" t="str">
        <f>"15:38:21.608"</f>
        <v>15:38:21.608</v>
      </c>
      <c r="CF205">
        <v>608240561</v>
      </c>
      <c r="CS205">
        <v>0</v>
      </c>
      <c r="CT205">
        <v>2</v>
      </c>
      <c r="CU205">
        <v>0</v>
      </c>
      <c r="CV205">
        <v>2</v>
      </c>
      <c r="CW205">
        <v>0</v>
      </c>
      <c r="CX205">
        <v>7</v>
      </c>
      <c r="CY205">
        <v>7</v>
      </c>
      <c r="CZ205" t="s">
        <v>133</v>
      </c>
      <c r="DA205">
        <v>125</v>
      </c>
      <c r="DB205">
        <v>1</v>
      </c>
      <c r="DC205" t="s">
        <v>134</v>
      </c>
      <c r="DD205" t="s">
        <v>135</v>
      </c>
      <c r="DG205">
        <v>2491950</v>
      </c>
      <c r="DI205">
        <v>0</v>
      </c>
      <c r="DJ205">
        <v>0</v>
      </c>
      <c r="DK205">
        <v>1</v>
      </c>
      <c r="DL205">
        <v>0</v>
      </c>
      <c r="DM205">
        <v>0</v>
      </c>
      <c r="DN205">
        <v>0</v>
      </c>
      <c r="DO205">
        <v>0</v>
      </c>
      <c r="DP205">
        <v>0</v>
      </c>
      <c r="DQ205">
        <v>0</v>
      </c>
      <c r="DR205">
        <v>0</v>
      </c>
      <c r="DS205">
        <v>0</v>
      </c>
    </row>
    <row r="206" spans="1:123" x14ac:dyDescent="0.25">
      <c r="A206" t="str">
        <f>"04/17/2026 15:38:22.883"</f>
        <v>04/17/2026 15:38:22.883</v>
      </c>
      <c r="C206" t="str">
        <f t="shared" si="17"/>
        <v>FFDFD3C0</v>
      </c>
      <c r="D206" t="s">
        <v>136</v>
      </c>
      <c r="E206" t="str">
        <f>"0E"</f>
        <v>0E</v>
      </c>
      <c r="F206">
        <v>1014</v>
      </c>
      <c r="G206" t="s">
        <v>125</v>
      </c>
      <c r="J206" t="s">
        <v>137</v>
      </c>
      <c r="K206">
        <v>0</v>
      </c>
      <c r="L206">
        <v>3</v>
      </c>
      <c r="M206">
        <v>0</v>
      </c>
      <c r="N206">
        <v>2</v>
      </c>
      <c r="O206">
        <v>1</v>
      </c>
      <c r="P206">
        <v>0</v>
      </c>
      <c r="Q206">
        <v>0</v>
      </c>
      <c r="R206" t="s">
        <v>127</v>
      </c>
      <c r="S206" t="str">
        <f>"15:38:22.625"</f>
        <v>15:38:22.625</v>
      </c>
      <c r="T206" t="str">
        <f>"15:38:22.425"</f>
        <v>15:38:22.425</v>
      </c>
      <c r="U206" t="str">
        <f t="shared" si="18"/>
        <v>A55E09</v>
      </c>
      <c r="V206">
        <v>0</v>
      </c>
      <c r="W206">
        <v>0</v>
      </c>
      <c r="X206">
        <v>2</v>
      </c>
      <c r="Y206">
        <v>0</v>
      </c>
      <c r="AA206">
        <v>0</v>
      </c>
      <c r="AB206">
        <v>9</v>
      </c>
      <c r="AC206">
        <v>3</v>
      </c>
      <c r="AD206">
        <v>0</v>
      </c>
      <c r="AE206">
        <v>9</v>
      </c>
      <c r="AF206" t="s">
        <v>128</v>
      </c>
      <c r="AG206">
        <v>0</v>
      </c>
      <c r="AH206">
        <v>0</v>
      </c>
      <c r="AI206">
        <v>1</v>
      </c>
      <c r="AJ206">
        <v>0</v>
      </c>
      <c r="AK206" t="s">
        <v>236</v>
      </c>
      <c r="AL206">
        <v>33.674233000000001</v>
      </c>
      <c r="AM206" t="s">
        <v>237</v>
      </c>
      <c r="AN206">
        <v>-101.20420900000001</v>
      </c>
      <c r="AO206">
        <v>100</v>
      </c>
      <c r="AP206">
        <v>3300</v>
      </c>
      <c r="AQ206" t="s">
        <v>131</v>
      </c>
      <c r="AR206">
        <v>-23</v>
      </c>
      <c r="AS206">
        <v>67</v>
      </c>
      <c r="AT206">
        <v>448</v>
      </c>
      <c r="BB206" t="str">
        <f t="shared" si="19"/>
        <v>1200</v>
      </c>
      <c r="BC206">
        <v>1</v>
      </c>
      <c r="BD206" t="str">
        <f t="shared" si="20"/>
        <v xml:space="preserve">N445JS  </v>
      </c>
      <c r="BE206">
        <v>7</v>
      </c>
      <c r="BG206">
        <v>0</v>
      </c>
      <c r="BH206">
        <v>0</v>
      </c>
      <c r="BI206">
        <v>0</v>
      </c>
      <c r="BJ206">
        <v>3150</v>
      </c>
      <c r="BK206">
        <v>-150</v>
      </c>
      <c r="BL206" t="s">
        <v>132</v>
      </c>
      <c r="BM206">
        <v>1</v>
      </c>
      <c r="BN206">
        <v>1</v>
      </c>
      <c r="BO206">
        <v>1</v>
      </c>
      <c r="BP206">
        <v>0</v>
      </c>
      <c r="BT206">
        <v>0</v>
      </c>
      <c r="BU206">
        <v>0</v>
      </c>
      <c r="CE206" t="str">
        <f>"15:38:22.628"</f>
        <v>15:38:22.628</v>
      </c>
      <c r="CF206">
        <v>628140564</v>
      </c>
      <c r="CS206">
        <v>0</v>
      </c>
      <c r="CT206">
        <v>2</v>
      </c>
      <c r="CU206">
        <v>0</v>
      </c>
      <c r="CV206">
        <v>2</v>
      </c>
      <c r="CW206">
        <v>0</v>
      </c>
      <c r="CX206">
        <v>7</v>
      </c>
      <c r="CY206">
        <v>7</v>
      </c>
      <c r="CZ206" t="s">
        <v>133</v>
      </c>
      <c r="DA206">
        <v>125</v>
      </c>
      <c r="DB206">
        <v>1</v>
      </c>
      <c r="DC206" t="s">
        <v>134</v>
      </c>
      <c r="DD206" t="s">
        <v>135</v>
      </c>
      <c r="DG206">
        <v>2492929</v>
      </c>
      <c r="DI206">
        <v>0</v>
      </c>
      <c r="DJ206">
        <v>0</v>
      </c>
      <c r="DK206">
        <v>0</v>
      </c>
      <c r="DL206">
        <v>0</v>
      </c>
      <c r="DM206">
        <v>0</v>
      </c>
      <c r="DN206">
        <v>0</v>
      </c>
      <c r="DO206">
        <v>0</v>
      </c>
      <c r="DP206">
        <v>0</v>
      </c>
      <c r="DQ206">
        <v>0</v>
      </c>
      <c r="DR206">
        <v>0</v>
      </c>
      <c r="DS206">
        <v>0</v>
      </c>
    </row>
    <row r="207" spans="1:123" x14ac:dyDescent="0.25">
      <c r="A207" t="str">
        <f>"04/17/2026 15:38:22.884"</f>
        <v>04/17/2026 15:38:22.884</v>
      </c>
      <c r="C207" t="str">
        <f t="shared" si="17"/>
        <v>FFDFD3C0</v>
      </c>
      <c r="D207" t="s">
        <v>136</v>
      </c>
      <c r="E207" t="str">
        <f>"0F"</f>
        <v>0F</v>
      </c>
      <c r="F207">
        <v>1015</v>
      </c>
      <c r="G207" t="s">
        <v>138</v>
      </c>
      <c r="J207" t="s">
        <v>137</v>
      </c>
      <c r="K207">
        <v>0</v>
      </c>
      <c r="L207">
        <v>3</v>
      </c>
      <c r="M207">
        <v>0</v>
      </c>
      <c r="N207">
        <v>2</v>
      </c>
      <c r="O207">
        <v>1</v>
      </c>
      <c r="P207">
        <v>0</v>
      </c>
      <c r="Q207">
        <v>0</v>
      </c>
      <c r="R207" t="s">
        <v>127</v>
      </c>
      <c r="S207" t="str">
        <f>"15:38:22.625"</f>
        <v>15:38:22.625</v>
      </c>
      <c r="T207" t="str">
        <f>"15:38:22.425"</f>
        <v>15:38:22.425</v>
      </c>
      <c r="U207" t="str">
        <f t="shared" si="18"/>
        <v>A55E09</v>
      </c>
      <c r="V207">
        <v>0</v>
      </c>
      <c r="W207">
        <v>0</v>
      </c>
      <c r="X207">
        <v>2</v>
      </c>
      <c r="Y207">
        <v>0</v>
      </c>
      <c r="AA207">
        <v>0</v>
      </c>
      <c r="AB207">
        <v>9</v>
      </c>
      <c r="AC207">
        <v>3</v>
      </c>
      <c r="AD207">
        <v>0</v>
      </c>
      <c r="AE207">
        <v>9</v>
      </c>
      <c r="AF207" t="s">
        <v>128</v>
      </c>
      <c r="AG207">
        <v>0</v>
      </c>
      <c r="AH207">
        <v>0</v>
      </c>
      <c r="AI207">
        <v>1</v>
      </c>
      <c r="AJ207">
        <v>0</v>
      </c>
      <c r="AK207" t="s">
        <v>236</v>
      </c>
      <c r="AL207">
        <v>33.674233000000001</v>
      </c>
      <c r="AM207" t="s">
        <v>237</v>
      </c>
      <c r="AN207">
        <v>-101.20420900000001</v>
      </c>
      <c r="AO207">
        <v>100</v>
      </c>
      <c r="AP207">
        <v>3300</v>
      </c>
      <c r="AQ207" t="s">
        <v>131</v>
      </c>
      <c r="AR207">
        <v>-23</v>
      </c>
      <c r="AS207">
        <v>67</v>
      </c>
      <c r="AT207">
        <v>448</v>
      </c>
      <c r="BB207" t="str">
        <f t="shared" si="19"/>
        <v>1200</v>
      </c>
      <c r="BC207">
        <v>1</v>
      </c>
      <c r="BD207" t="str">
        <f t="shared" si="20"/>
        <v xml:space="preserve">N445JS  </v>
      </c>
      <c r="BE207">
        <v>7</v>
      </c>
      <c r="BG207">
        <v>0</v>
      </c>
      <c r="BH207">
        <v>0</v>
      </c>
      <c r="BI207">
        <v>0</v>
      </c>
      <c r="BJ207">
        <v>3150</v>
      </c>
      <c r="BK207">
        <v>-150</v>
      </c>
      <c r="BL207" t="s">
        <v>132</v>
      </c>
      <c r="BM207">
        <v>1</v>
      </c>
      <c r="BN207">
        <v>1</v>
      </c>
      <c r="BO207">
        <v>1</v>
      </c>
      <c r="BP207">
        <v>0</v>
      </c>
      <c r="BT207">
        <v>0</v>
      </c>
      <c r="BU207">
        <v>0</v>
      </c>
      <c r="CE207" t="str">
        <f>"15:38:22.628"</f>
        <v>15:38:22.628</v>
      </c>
      <c r="CF207">
        <v>628140564</v>
      </c>
      <c r="CS207">
        <v>0</v>
      </c>
      <c r="CT207">
        <v>2</v>
      </c>
      <c r="CU207">
        <v>0</v>
      </c>
      <c r="CV207">
        <v>2</v>
      </c>
      <c r="CW207">
        <v>0</v>
      </c>
      <c r="CX207">
        <v>7</v>
      </c>
      <c r="CY207">
        <v>7</v>
      </c>
      <c r="CZ207" t="s">
        <v>133</v>
      </c>
      <c r="DA207">
        <v>125</v>
      </c>
      <c r="DB207">
        <v>1</v>
      </c>
      <c r="DC207" t="s">
        <v>134</v>
      </c>
      <c r="DD207" t="s">
        <v>135</v>
      </c>
      <c r="DG207">
        <v>2492929</v>
      </c>
      <c r="DI207">
        <v>0</v>
      </c>
      <c r="DJ207">
        <v>0</v>
      </c>
      <c r="DK207">
        <v>1</v>
      </c>
      <c r="DL207">
        <v>0</v>
      </c>
      <c r="DM207">
        <v>0</v>
      </c>
      <c r="DN207">
        <v>0</v>
      </c>
      <c r="DO207">
        <v>0</v>
      </c>
      <c r="DP207">
        <v>0</v>
      </c>
      <c r="DQ207">
        <v>0</v>
      </c>
      <c r="DR207">
        <v>0</v>
      </c>
      <c r="DS207">
        <v>0</v>
      </c>
    </row>
    <row r="208" spans="1:123" x14ac:dyDescent="0.25">
      <c r="A208" t="str">
        <f>"04/17/2026 15:38:22.885"</f>
        <v>04/17/2026 15:38:22.885</v>
      </c>
      <c r="C208" t="str">
        <f t="shared" si="17"/>
        <v>FFDFD3C0</v>
      </c>
      <c r="D208" t="s">
        <v>124</v>
      </c>
      <c r="E208" t="str">
        <f>"03"</f>
        <v>03</v>
      </c>
      <c r="H208">
        <v>160</v>
      </c>
      <c r="I208" t="s">
        <v>125</v>
      </c>
      <c r="J208" t="s">
        <v>126</v>
      </c>
      <c r="K208">
        <v>0</v>
      </c>
      <c r="L208">
        <v>3</v>
      </c>
      <c r="M208">
        <v>0</v>
      </c>
      <c r="N208">
        <v>2</v>
      </c>
      <c r="O208">
        <v>1</v>
      </c>
      <c r="P208">
        <v>0</v>
      </c>
      <c r="Q208">
        <v>0</v>
      </c>
      <c r="R208" t="s">
        <v>127</v>
      </c>
      <c r="S208" t="str">
        <f>"15:38:22.625"</f>
        <v>15:38:22.625</v>
      </c>
      <c r="T208" t="str">
        <f>"15:38:22.425"</f>
        <v>15:38:22.425</v>
      </c>
      <c r="U208" t="str">
        <f t="shared" si="18"/>
        <v>A55E09</v>
      </c>
      <c r="V208">
        <v>0</v>
      </c>
      <c r="W208">
        <v>0</v>
      </c>
      <c r="X208">
        <v>2</v>
      </c>
      <c r="Y208">
        <v>0</v>
      </c>
      <c r="AA208">
        <v>0</v>
      </c>
      <c r="AB208">
        <v>9</v>
      </c>
      <c r="AC208">
        <v>3</v>
      </c>
      <c r="AD208">
        <v>0</v>
      </c>
      <c r="AE208">
        <v>9</v>
      </c>
      <c r="AF208" t="s">
        <v>128</v>
      </c>
      <c r="AG208">
        <v>0</v>
      </c>
      <c r="AH208">
        <v>0</v>
      </c>
      <c r="AI208">
        <v>1</v>
      </c>
      <c r="AJ208">
        <v>0</v>
      </c>
      <c r="AK208" t="s">
        <v>236</v>
      </c>
      <c r="AL208">
        <v>33.674233000000001</v>
      </c>
      <c r="AM208" t="s">
        <v>237</v>
      </c>
      <c r="AN208">
        <v>-101.20420900000001</v>
      </c>
      <c r="AO208">
        <v>100</v>
      </c>
      <c r="AP208">
        <v>3300</v>
      </c>
      <c r="AQ208" t="s">
        <v>131</v>
      </c>
      <c r="AR208">
        <v>-23</v>
      </c>
      <c r="AS208">
        <v>67</v>
      </c>
      <c r="AT208">
        <v>448</v>
      </c>
      <c r="BB208" t="str">
        <f t="shared" si="19"/>
        <v>1200</v>
      </c>
      <c r="BC208">
        <v>1</v>
      </c>
      <c r="BD208" t="str">
        <f t="shared" si="20"/>
        <v xml:space="preserve">N445JS  </v>
      </c>
      <c r="BE208">
        <v>7</v>
      </c>
      <c r="BG208">
        <v>0</v>
      </c>
      <c r="BH208">
        <v>0</v>
      </c>
      <c r="BI208">
        <v>0</v>
      </c>
      <c r="BJ208">
        <v>3150</v>
      </c>
      <c r="BK208">
        <v>-150</v>
      </c>
      <c r="BL208" t="s">
        <v>132</v>
      </c>
      <c r="BM208">
        <v>1</v>
      </c>
      <c r="BN208">
        <v>1</v>
      </c>
      <c r="BO208">
        <v>1</v>
      </c>
      <c r="BP208">
        <v>0</v>
      </c>
      <c r="BT208">
        <v>0</v>
      </c>
      <c r="BU208">
        <v>0</v>
      </c>
      <c r="CE208" t="str">
        <f>"15:38:22.628"</f>
        <v>15:38:22.628</v>
      </c>
      <c r="CF208">
        <v>628140564</v>
      </c>
      <c r="CS208">
        <v>0</v>
      </c>
      <c r="CT208">
        <v>2</v>
      </c>
      <c r="CU208">
        <v>0</v>
      </c>
      <c r="CV208">
        <v>2</v>
      </c>
      <c r="CW208">
        <v>0</v>
      </c>
      <c r="CX208">
        <v>7</v>
      </c>
      <c r="CY208">
        <v>7</v>
      </c>
      <c r="CZ208" t="s">
        <v>133</v>
      </c>
      <c r="DA208">
        <v>125</v>
      </c>
      <c r="DB208">
        <v>1</v>
      </c>
      <c r="DC208" t="s">
        <v>134</v>
      </c>
      <c r="DD208" t="s">
        <v>135</v>
      </c>
      <c r="DG208">
        <v>2492929</v>
      </c>
      <c r="DI208">
        <v>0</v>
      </c>
      <c r="DJ208">
        <v>0</v>
      </c>
      <c r="DK208">
        <v>1</v>
      </c>
      <c r="DL208">
        <v>0</v>
      </c>
      <c r="DM208">
        <v>0</v>
      </c>
      <c r="DN208">
        <v>0</v>
      </c>
      <c r="DO208">
        <v>0</v>
      </c>
      <c r="DP208">
        <v>0</v>
      </c>
      <c r="DQ208">
        <v>0</v>
      </c>
      <c r="DR208">
        <v>0</v>
      </c>
      <c r="DS208">
        <v>0</v>
      </c>
    </row>
    <row r="209" spans="1:123" x14ac:dyDescent="0.25">
      <c r="A209" t="str">
        <f>"04/17/2026 15:38:22.911"</f>
        <v>04/17/2026 15:38:22.911</v>
      </c>
      <c r="C209" t="str">
        <f t="shared" si="17"/>
        <v>FFDFD3C0</v>
      </c>
      <c r="D209" t="s">
        <v>139</v>
      </c>
      <c r="E209" t="str">
        <f>"28"</f>
        <v>28</v>
      </c>
      <c r="H209">
        <v>140</v>
      </c>
      <c r="I209" t="s">
        <v>140</v>
      </c>
      <c r="J209" t="s">
        <v>141</v>
      </c>
      <c r="K209">
        <v>0</v>
      </c>
      <c r="L209">
        <v>3</v>
      </c>
      <c r="M209">
        <v>0</v>
      </c>
      <c r="N209">
        <v>2</v>
      </c>
      <c r="O209">
        <v>1</v>
      </c>
      <c r="P209">
        <v>0</v>
      </c>
      <c r="Q209">
        <v>0</v>
      </c>
      <c r="R209" t="s">
        <v>127</v>
      </c>
      <c r="S209" t="str">
        <f>"15:38:22.625"</f>
        <v>15:38:22.625</v>
      </c>
      <c r="T209" t="str">
        <f>"15:38:22.425"</f>
        <v>15:38:22.425</v>
      </c>
      <c r="U209" t="str">
        <f t="shared" si="18"/>
        <v>A55E09</v>
      </c>
      <c r="V209">
        <v>0</v>
      </c>
      <c r="W209">
        <v>0</v>
      </c>
      <c r="X209">
        <v>2</v>
      </c>
      <c r="Y209">
        <v>0</v>
      </c>
      <c r="AA209">
        <v>0</v>
      </c>
      <c r="AB209">
        <v>9</v>
      </c>
      <c r="AC209">
        <v>3</v>
      </c>
      <c r="AD209">
        <v>0</v>
      </c>
      <c r="AE209">
        <v>9</v>
      </c>
      <c r="AF209" t="s">
        <v>128</v>
      </c>
      <c r="AG209">
        <v>0</v>
      </c>
      <c r="AH209">
        <v>0</v>
      </c>
      <c r="AI209">
        <v>1</v>
      </c>
      <c r="AJ209">
        <v>0</v>
      </c>
      <c r="AK209" t="s">
        <v>236</v>
      </c>
      <c r="AL209">
        <v>33.674233000000001</v>
      </c>
      <c r="AM209" t="s">
        <v>237</v>
      </c>
      <c r="AN209">
        <v>-101.20420900000001</v>
      </c>
      <c r="AO209">
        <v>100</v>
      </c>
      <c r="AP209">
        <v>3300</v>
      </c>
      <c r="AQ209" t="s">
        <v>131</v>
      </c>
      <c r="AR209">
        <v>-23</v>
      </c>
      <c r="AS209">
        <v>67</v>
      </c>
      <c r="AT209">
        <v>448</v>
      </c>
      <c r="BB209" t="str">
        <f t="shared" si="19"/>
        <v>1200</v>
      </c>
      <c r="BC209">
        <v>1</v>
      </c>
      <c r="BD209" t="str">
        <f t="shared" si="20"/>
        <v xml:space="preserve">N445JS  </v>
      </c>
      <c r="BE209">
        <v>7</v>
      </c>
      <c r="BG209">
        <v>0</v>
      </c>
      <c r="BH209">
        <v>0</v>
      </c>
      <c r="BI209">
        <v>0</v>
      </c>
      <c r="BJ209">
        <v>3150</v>
      </c>
      <c r="BK209">
        <v>-150</v>
      </c>
      <c r="BL209" t="s">
        <v>132</v>
      </c>
      <c r="BM209">
        <v>1</v>
      </c>
      <c r="BN209">
        <v>1</v>
      </c>
      <c r="BO209">
        <v>1</v>
      </c>
      <c r="BP209">
        <v>0</v>
      </c>
      <c r="BT209">
        <v>0</v>
      </c>
      <c r="BU209">
        <v>0</v>
      </c>
      <c r="CE209" t="str">
        <f>"15:38:22.628"</f>
        <v>15:38:22.628</v>
      </c>
      <c r="CF209">
        <v>628140564</v>
      </c>
      <c r="CS209">
        <v>0</v>
      </c>
      <c r="CT209">
        <v>2</v>
      </c>
      <c r="CU209">
        <v>0</v>
      </c>
      <c r="CV209">
        <v>2</v>
      </c>
      <c r="CW209">
        <v>0</v>
      </c>
      <c r="CX209">
        <v>7</v>
      </c>
      <c r="CY209">
        <v>7</v>
      </c>
      <c r="CZ209" t="s">
        <v>133</v>
      </c>
      <c r="DA209">
        <v>125</v>
      </c>
      <c r="DB209">
        <v>1</v>
      </c>
      <c r="DC209" t="s">
        <v>134</v>
      </c>
      <c r="DD209" t="s">
        <v>135</v>
      </c>
      <c r="DG209">
        <v>2492929</v>
      </c>
      <c r="DI209">
        <v>0</v>
      </c>
      <c r="DJ209">
        <v>0</v>
      </c>
      <c r="DK209">
        <v>1</v>
      </c>
      <c r="DL209">
        <v>0</v>
      </c>
      <c r="DM209">
        <v>0</v>
      </c>
      <c r="DN209">
        <v>0</v>
      </c>
      <c r="DO209">
        <v>0</v>
      </c>
      <c r="DP209">
        <v>0</v>
      </c>
      <c r="DQ209">
        <v>0</v>
      </c>
      <c r="DR209">
        <v>0</v>
      </c>
      <c r="DS209">
        <v>0</v>
      </c>
    </row>
    <row r="210" spans="1:123" x14ac:dyDescent="0.25">
      <c r="A210" t="str">
        <f>"04/17/2026 15:38:23.985"</f>
        <v>04/17/2026 15:38:23.985</v>
      </c>
      <c r="C210" t="str">
        <f t="shared" si="17"/>
        <v>FFDFD3C0</v>
      </c>
      <c r="D210" t="s">
        <v>136</v>
      </c>
      <c r="E210" t="str">
        <f>"0E"</f>
        <v>0E</v>
      </c>
      <c r="F210">
        <v>1014</v>
      </c>
      <c r="G210" t="s">
        <v>125</v>
      </c>
      <c r="J210" t="s">
        <v>137</v>
      </c>
      <c r="K210">
        <v>0</v>
      </c>
      <c r="L210">
        <v>3</v>
      </c>
      <c r="M210">
        <v>0</v>
      </c>
      <c r="N210">
        <v>2</v>
      </c>
      <c r="O210">
        <v>1</v>
      </c>
      <c r="P210">
        <v>0</v>
      </c>
      <c r="Q210">
        <v>0</v>
      </c>
      <c r="R210" t="s">
        <v>127</v>
      </c>
      <c r="S210" t="str">
        <f t="shared" ref="S210:T213" si="21">"15:38:23.703"</f>
        <v>15:38:23.703</v>
      </c>
      <c r="T210" t="str">
        <f t="shared" si="21"/>
        <v>15:38:23.703</v>
      </c>
      <c r="U210" t="str">
        <f t="shared" si="18"/>
        <v>A55E09</v>
      </c>
      <c r="V210">
        <v>0</v>
      </c>
      <c r="W210">
        <v>0</v>
      </c>
      <c r="X210">
        <v>2</v>
      </c>
      <c r="Y210">
        <v>0</v>
      </c>
      <c r="AA210">
        <v>0</v>
      </c>
      <c r="AB210">
        <v>9</v>
      </c>
      <c r="AC210">
        <v>3</v>
      </c>
      <c r="AD210">
        <v>0</v>
      </c>
      <c r="AE210">
        <v>9</v>
      </c>
      <c r="AF210" t="s">
        <v>128</v>
      </c>
      <c r="AG210">
        <v>0</v>
      </c>
      <c r="AH210">
        <v>0</v>
      </c>
      <c r="AI210">
        <v>1</v>
      </c>
      <c r="AJ210">
        <v>0</v>
      </c>
      <c r="AK210" t="s">
        <v>238</v>
      </c>
      <c r="AL210">
        <v>33.674576000000002</v>
      </c>
      <c r="AM210" t="s">
        <v>239</v>
      </c>
      <c r="AN210">
        <v>-101.204402</v>
      </c>
      <c r="AO210">
        <v>100</v>
      </c>
      <c r="AP210">
        <v>3300</v>
      </c>
      <c r="AQ210" t="s">
        <v>131</v>
      </c>
      <c r="AR210">
        <v>-24</v>
      </c>
      <c r="AS210">
        <v>68</v>
      </c>
      <c r="AT210">
        <v>192</v>
      </c>
      <c r="BB210" t="str">
        <f t="shared" si="19"/>
        <v>1200</v>
      </c>
      <c r="BC210">
        <v>1</v>
      </c>
      <c r="BD210" t="str">
        <f t="shared" si="20"/>
        <v xml:space="preserve">N445JS  </v>
      </c>
      <c r="BE210">
        <v>7</v>
      </c>
      <c r="BG210">
        <v>0</v>
      </c>
      <c r="BH210">
        <v>0</v>
      </c>
      <c r="BI210">
        <v>0</v>
      </c>
      <c r="BJ210">
        <v>3150</v>
      </c>
      <c r="BK210">
        <v>-150</v>
      </c>
      <c r="BL210" t="s">
        <v>132</v>
      </c>
      <c r="BM210">
        <v>1</v>
      </c>
      <c r="BN210">
        <v>1</v>
      </c>
      <c r="BO210">
        <v>1</v>
      </c>
      <c r="BP210">
        <v>0</v>
      </c>
      <c r="BT210">
        <v>0</v>
      </c>
      <c r="BU210">
        <v>0</v>
      </c>
      <c r="CE210" t="str">
        <f>"15:38:23.708"</f>
        <v>15:38:23.708</v>
      </c>
      <c r="CF210">
        <v>708034695</v>
      </c>
      <c r="CS210">
        <v>0</v>
      </c>
      <c r="CT210">
        <v>2</v>
      </c>
      <c r="CU210">
        <v>0</v>
      </c>
      <c r="CV210">
        <v>2</v>
      </c>
      <c r="CW210">
        <v>0</v>
      </c>
      <c r="CX210">
        <v>7</v>
      </c>
      <c r="CY210">
        <v>7</v>
      </c>
      <c r="CZ210" t="s">
        <v>133</v>
      </c>
      <c r="DA210">
        <v>125</v>
      </c>
      <c r="DB210">
        <v>1</v>
      </c>
      <c r="DC210" t="s">
        <v>134</v>
      </c>
      <c r="DD210" t="s">
        <v>135</v>
      </c>
      <c r="DG210">
        <v>2493988</v>
      </c>
      <c r="DI210">
        <v>0</v>
      </c>
      <c r="DJ210">
        <v>0</v>
      </c>
      <c r="DK210">
        <v>0</v>
      </c>
      <c r="DL210">
        <v>0</v>
      </c>
      <c r="DM210">
        <v>0</v>
      </c>
      <c r="DN210">
        <v>0</v>
      </c>
      <c r="DO210">
        <v>0</v>
      </c>
      <c r="DP210">
        <v>0</v>
      </c>
      <c r="DQ210">
        <v>0</v>
      </c>
      <c r="DR210">
        <v>0</v>
      </c>
      <c r="DS210">
        <v>0</v>
      </c>
    </row>
    <row r="211" spans="1:123" x14ac:dyDescent="0.25">
      <c r="A211" t="str">
        <f>"04/17/2026 15:38:23.988"</f>
        <v>04/17/2026 15:38:23.988</v>
      </c>
      <c r="C211" t="str">
        <f t="shared" si="17"/>
        <v>FFDFD3C0</v>
      </c>
      <c r="D211" t="s">
        <v>124</v>
      </c>
      <c r="E211" t="str">
        <f>"03"</f>
        <v>03</v>
      </c>
      <c r="H211">
        <v>160</v>
      </c>
      <c r="I211" t="s">
        <v>125</v>
      </c>
      <c r="J211" t="s">
        <v>126</v>
      </c>
      <c r="K211">
        <v>0</v>
      </c>
      <c r="L211">
        <v>3</v>
      </c>
      <c r="M211">
        <v>0</v>
      </c>
      <c r="N211">
        <v>2</v>
      </c>
      <c r="O211">
        <v>1</v>
      </c>
      <c r="P211">
        <v>0</v>
      </c>
      <c r="Q211">
        <v>0</v>
      </c>
      <c r="R211" t="s">
        <v>127</v>
      </c>
      <c r="S211" t="str">
        <f t="shared" si="21"/>
        <v>15:38:23.703</v>
      </c>
      <c r="T211" t="str">
        <f t="shared" si="21"/>
        <v>15:38:23.703</v>
      </c>
      <c r="U211" t="str">
        <f t="shared" si="18"/>
        <v>A55E09</v>
      </c>
      <c r="V211">
        <v>0</v>
      </c>
      <c r="W211">
        <v>0</v>
      </c>
      <c r="X211">
        <v>2</v>
      </c>
      <c r="Y211">
        <v>0</v>
      </c>
      <c r="AA211">
        <v>0</v>
      </c>
      <c r="AB211">
        <v>9</v>
      </c>
      <c r="AC211">
        <v>3</v>
      </c>
      <c r="AD211">
        <v>0</v>
      </c>
      <c r="AE211">
        <v>9</v>
      </c>
      <c r="AF211" t="s">
        <v>128</v>
      </c>
      <c r="AG211">
        <v>0</v>
      </c>
      <c r="AH211">
        <v>0</v>
      </c>
      <c r="AI211">
        <v>1</v>
      </c>
      <c r="AJ211">
        <v>0</v>
      </c>
      <c r="AK211" t="s">
        <v>238</v>
      </c>
      <c r="AL211">
        <v>33.674576000000002</v>
      </c>
      <c r="AM211" t="s">
        <v>239</v>
      </c>
      <c r="AN211">
        <v>-101.204402</v>
      </c>
      <c r="AO211">
        <v>100</v>
      </c>
      <c r="AP211">
        <v>3300</v>
      </c>
      <c r="AQ211" t="s">
        <v>131</v>
      </c>
      <c r="AR211">
        <v>-24</v>
      </c>
      <c r="AS211">
        <v>68</v>
      </c>
      <c r="AT211">
        <v>192</v>
      </c>
      <c r="BB211" t="str">
        <f t="shared" si="19"/>
        <v>1200</v>
      </c>
      <c r="BC211">
        <v>1</v>
      </c>
      <c r="BD211" t="str">
        <f t="shared" si="20"/>
        <v xml:space="preserve">N445JS  </v>
      </c>
      <c r="BE211">
        <v>7</v>
      </c>
      <c r="BG211">
        <v>0</v>
      </c>
      <c r="BH211">
        <v>0</v>
      </c>
      <c r="BI211">
        <v>0</v>
      </c>
      <c r="BJ211">
        <v>3150</v>
      </c>
      <c r="BK211">
        <v>-150</v>
      </c>
      <c r="BL211" t="s">
        <v>132</v>
      </c>
      <c r="BM211">
        <v>1</v>
      </c>
      <c r="BN211">
        <v>1</v>
      </c>
      <c r="BO211">
        <v>1</v>
      </c>
      <c r="BP211">
        <v>0</v>
      </c>
      <c r="BT211">
        <v>0</v>
      </c>
      <c r="BU211">
        <v>0</v>
      </c>
      <c r="CE211" t="str">
        <f>"15:38:23.708"</f>
        <v>15:38:23.708</v>
      </c>
      <c r="CF211">
        <v>708034695</v>
      </c>
      <c r="CS211">
        <v>0</v>
      </c>
      <c r="CT211">
        <v>2</v>
      </c>
      <c r="CU211">
        <v>0</v>
      </c>
      <c r="CV211">
        <v>2</v>
      </c>
      <c r="CW211">
        <v>0</v>
      </c>
      <c r="CX211">
        <v>7</v>
      </c>
      <c r="CY211">
        <v>7</v>
      </c>
      <c r="CZ211" t="s">
        <v>133</v>
      </c>
      <c r="DA211">
        <v>125</v>
      </c>
      <c r="DB211">
        <v>1</v>
      </c>
      <c r="DC211" t="s">
        <v>134</v>
      </c>
      <c r="DD211" t="s">
        <v>135</v>
      </c>
      <c r="DG211">
        <v>2493988</v>
      </c>
      <c r="DI211">
        <v>0</v>
      </c>
      <c r="DJ211">
        <v>0</v>
      </c>
      <c r="DK211">
        <v>1</v>
      </c>
      <c r="DL211">
        <v>0</v>
      </c>
      <c r="DM211">
        <v>0</v>
      </c>
      <c r="DN211">
        <v>0</v>
      </c>
      <c r="DO211">
        <v>0</v>
      </c>
      <c r="DP211">
        <v>0</v>
      </c>
      <c r="DQ211">
        <v>0</v>
      </c>
      <c r="DR211">
        <v>0</v>
      </c>
      <c r="DS211">
        <v>0</v>
      </c>
    </row>
    <row r="212" spans="1:123" x14ac:dyDescent="0.25">
      <c r="A212" t="str">
        <f>"04/17/2026 15:38:23.986"</f>
        <v>04/17/2026 15:38:23.986</v>
      </c>
      <c r="C212" t="str">
        <f t="shared" si="17"/>
        <v>FFDFD3C0</v>
      </c>
      <c r="D212" t="s">
        <v>136</v>
      </c>
      <c r="E212" t="str">
        <f>"0F"</f>
        <v>0F</v>
      </c>
      <c r="F212">
        <v>1015</v>
      </c>
      <c r="G212" t="s">
        <v>138</v>
      </c>
      <c r="J212" t="s">
        <v>137</v>
      </c>
      <c r="K212">
        <v>0</v>
      </c>
      <c r="L212">
        <v>3</v>
      </c>
      <c r="M212">
        <v>0</v>
      </c>
      <c r="N212">
        <v>2</v>
      </c>
      <c r="O212">
        <v>1</v>
      </c>
      <c r="P212">
        <v>0</v>
      </c>
      <c r="Q212">
        <v>0</v>
      </c>
      <c r="R212" t="s">
        <v>127</v>
      </c>
      <c r="S212" t="str">
        <f t="shared" si="21"/>
        <v>15:38:23.703</v>
      </c>
      <c r="T212" t="str">
        <f t="shared" si="21"/>
        <v>15:38:23.703</v>
      </c>
      <c r="U212" t="str">
        <f t="shared" si="18"/>
        <v>A55E09</v>
      </c>
      <c r="V212">
        <v>0</v>
      </c>
      <c r="W212">
        <v>0</v>
      </c>
      <c r="X212">
        <v>2</v>
      </c>
      <c r="Y212">
        <v>0</v>
      </c>
      <c r="AA212">
        <v>0</v>
      </c>
      <c r="AB212">
        <v>9</v>
      </c>
      <c r="AC212">
        <v>3</v>
      </c>
      <c r="AD212">
        <v>0</v>
      </c>
      <c r="AE212">
        <v>9</v>
      </c>
      <c r="AF212" t="s">
        <v>128</v>
      </c>
      <c r="AG212">
        <v>0</v>
      </c>
      <c r="AH212">
        <v>0</v>
      </c>
      <c r="AI212">
        <v>1</v>
      </c>
      <c r="AJ212">
        <v>0</v>
      </c>
      <c r="AK212" t="s">
        <v>238</v>
      </c>
      <c r="AL212">
        <v>33.674576000000002</v>
      </c>
      <c r="AM212" t="s">
        <v>239</v>
      </c>
      <c r="AN212">
        <v>-101.204402</v>
      </c>
      <c r="AO212">
        <v>100</v>
      </c>
      <c r="AP212">
        <v>3300</v>
      </c>
      <c r="AQ212" t="s">
        <v>131</v>
      </c>
      <c r="AR212">
        <v>-24</v>
      </c>
      <c r="AS212">
        <v>68</v>
      </c>
      <c r="AT212">
        <v>192</v>
      </c>
      <c r="BB212" t="str">
        <f t="shared" si="19"/>
        <v>1200</v>
      </c>
      <c r="BC212">
        <v>1</v>
      </c>
      <c r="BD212" t="str">
        <f t="shared" si="20"/>
        <v xml:space="preserve">N445JS  </v>
      </c>
      <c r="BE212">
        <v>7</v>
      </c>
      <c r="BG212">
        <v>0</v>
      </c>
      <c r="BH212">
        <v>0</v>
      </c>
      <c r="BI212">
        <v>0</v>
      </c>
      <c r="BJ212">
        <v>3150</v>
      </c>
      <c r="BK212">
        <v>-150</v>
      </c>
      <c r="BL212" t="s">
        <v>132</v>
      </c>
      <c r="BM212">
        <v>1</v>
      </c>
      <c r="BN212">
        <v>1</v>
      </c>
      <c r="BO212">
        <v>1</v>
      </c>
      <c r="BP212">
        <v>0</v>
      </c>
      <c r="BT212">
        <v>0</v>
      </c>
      <c r="BU212">
        <v>0</v>
      </c>
      <c r="CE212" t="str">
        <f>"15:38:23.708"</f>
        <v>15:38:23.708</v>
      </c>
      <c r="CF212">
        <v>708034695</v>
      </c>
      <c r="CS212">
        <v>0</v>
      </c>
      <c r="CT212">
        <v>2</v>
      </c>
      <c r="CU212">
        <v>0</v>
      </c>
      <c r="CV212">
        <v>2</v>
      </c>
      <c r="CW212">
        <v>0</v>
      </c>
      <c r="CX212">
        <v>7</v>
      </c>
      <c r="CY212">
        <v>7</v>
      </c>
      <c r="CZ212" t="s">
        <v>133</v>
      </c>
      <c r="DA212">
        <v>125</v>
      </c>
      <c r="DB212">
        <v>1</v>
      </c>
      <c r="DC212" t="s">
        <v>134</v>
      </c>
      <c r="DD212" t="s">
        <v>135</v>
      </c>
      <c r="DG212">
        <v>2493988</v>
      </c>
      <c r="DI212">
        <v>0</v>
      </c>
      <c r="DJ212">
        <v>0</v>
      </c>
      <c r="DK212">
        <v>1</v>
      </c>
      <c r="DL212">
        <v>0</v>
      </c>
      <c r="DM212">
        <v>0</v>
      </c>
      <c r="DN212">
        <v>0</v>
      </c>
      <c r="DO212">
        <v>0</v>
      </c>
      <c r="DP212">
        <v>0</v>
      </c>
      <c r="DQ212">
        <v>0</v>
      </c>
      <c r="DR212">
        <v>0</v>
      </c>
      <c r="DS212">
        <v>0</v>
      </c>
    </row>
    <row r="213" spans="1:123" x14ac:dyDescent="0.25">
      <c r="A213" t="str">
        <f>"04/17/2026 15:38:24.013"</f>
        <v>04/17/2026 15:38:24.013</v>
      </c>
      <c r="C213" t="str">
        <f t="shared" si="17"/>
        <v>FFDFD3C0</v>
      </c>
      <c r="D213" t="s">
        <v>139</v>
      </c>
      <c r="E213" t="str">
        <f>"28"</f>
        <v>28</v>
      </c>
      <c r="H213">
        <v>140</v>
      </c>
      <c r="I213" t="s">
        <v>140</v>
      </c>
      <c r="J213" t="s">
        <v>141</v>
      </c>
      <c r="K213">
        <v>0</v>
      </c>
      <c r="L213">
        <v>3</v>
      </c>
      <c r="M213">
        <v>0</v>
      </c>
      <c r="N213">
        <v>2</v>
      </c>
      <c r="O213">
        <v>1</v>
      </c>
      <c r="P213">
        <v>0</v>
      </c>
      <c r="Q213">
        <v>0</v>
      </c>
      <c r="R213" t="s">
        <v>127</v>
      </c>
      <c r="S213" t="str">
        <f t="shared" si="21"/>
        <v>15:38:23.703</v>
      </c>
      <c r="T213" t="str">
        <f t="shared" si="21"/>
        <v>15:38:23.703</v>
      </c>
      <c r="U213" t="str">
        <f t="shared" si="18"/>
        <v>A55E09</v>
      </c>
      <c r="V213">
        <v>0</v>
      </c>
      <c r="W213">
        <v>0</v>
      </c>
      <c r="X213">
        <v>2</v>
      </c>
      <c r="Y213">
        <v>0</v>
      </c>
      <c r="AA213">
        <v>0</v>
      </c>
      <c r="AB213">
        <v>9</v>
      </c>
      <c r="AC213">
        <v>3</v>
      </c>
      <c r="AD213">
        <v>0</v>
      </c>
      <c r="AE213">
        <v>9</v>
      </c>
      <c r="AF213" t="s">
        <v>128</v>
      </c>
      <c r="AG213">
        <v>0</v>
      </c>
      <c r="AH213">
        <v>0</v>
      </c>
      <c r="AI213">
        <v>1</v>
      </c>
      <c r="AJ213">
        <v>0</v>
      </c>
      <c r="AK213" t="s">
        <v>238</v>
      </c>
      <c r="AL213">
        <v>33.674576000000002</v>
      </c>
      <c r="AM213" t="s">
        <v>239</v>
      </c>
      <c r="AN213">
        <v>-101.204402</v>
      </c>
      <c r="AO213">
        <v>100</v>
      </c>
      <c r="AP213">
        <v>3300</v>
      </c>
      <c r="AQ213" t="s">
        <v>131</v>
      </c>
      <c r="AR213">
        <v>-24</v>
      </c>
      <c r="AS213">
        <v>68</v>
      </c>
      <c r="AT213">
        <v>192</v>
      </c>
      <c r="BB213" t="str">
        <f t="shared" si="19"/>
        <v>1200</v>
      </c>
      <c r="BC213">
        <v>1</v>
      </c>
      <c r="BD213" t="str">
        <f t="shared" si="20"/>
        <v xml:space="preserve">N445JS  </v>
      </c>
      <c r="BE213">
        <v>7</v>
      </c>
      <c r="BG213">
        <v>0</v>
      </c>
      <c r="BH213">
        <v>0</v>
      </c>
      <c r="BI213">
        <v>0</v>
      </c>
      <c r="BJ213">
        <v>3150</v>
      </c>
      <c r="BK213">
        <v>-150</v>
      </c>
      <c r="BL213" t="s">
        <v>132</v>
      </c>
      <c r="BM213">
        <v>1</v>
      </c>
      <c r="BN213">
        <v>1</v>
      </c>
      <c r="BO213">
        <v>1</v>
      </c>
      <c r="BP213">
        <v>0</v>
      </c>
      <c r="BT213">
        <v>0</v>
      </c>
      <c r="BU213">
        <v>0</v>
      </c>
      <c r="CE213" t="str">
        <f>"15:38:23.708"</f>
        <v>15:38:23.708</v>
      </c>
      <c r="CF213">
        <v>708034695</v>
      </c>
      <c r="CS213">
        <v>0</v>
      </c>
      <c r="CT213">
        <v>2</v>
      </c>
      <c r="CU213">
        <v>0</v>
      </c>
      <c r="CV213">
        <v>2</v>
      </c>
      <c r="CW213">
        <v>0</v>
      </c>
      <c r="CX213">
        <v>7</v>
      </c>
      <c r="CY213">
        <v>7</v>
      </c>
      <c r="CZ213" t="s">
        <v>133</v>
      </c>
      <c r="DA213">
        <v>125</v>
      </c>
      <c r="DB213">
        <v>1</v>
      </c>
      <c r="DC213" t="s">
        <v>134</v>
      </c>
      <c r="DD213" t="s">
        <v>135</v>
      </c>
      <c r="DG213">
        <v>2493988</v>
      </c>
      <c r="DI213">
        <v>0</v>
      </c>
      <c r="DJ213">
        <v>0</v>
      </c>
      <c r="DK213">
        <v>1</v>
      </c>
      <c r="DL213">
        <v>0</v>
      </c>
      <c r="DM213">
        <v>0</v>
      </c>
      <c r="DN213">
        <v>0</v>
      </c>
      <c r="DO213">
        <v>0</v>
      </c>
      <c r="DP213">
        <v>0</v>
      </c>
      <c r="DQ213">
        <v>0</v>
      </c>
      <c r="DR213">
        <v>0</v>
      </c>
      <c r="DS213">
        <v>0</v>
      </c>
    </row>
    <row r="214" spans="1:123" x14ac:dyDescent="0.25">
      <c r="A214" t="str">
        <f>"04/17/2026 15:38:25.015"</f>
        <v>04/17/2026 15:38:25.015</v>
      </c>
      <c r="C214" t="str">
        <f t="shared" si="17"/>
        <v>FFDFD3C0</v>
      </c>
      <c r="D214" t="s">
        <v>139</v>
      </c>
      <c r="E214" t="str">
        <f>"28"</f>
        <v>28</v>
      </c>
      <c r="H214">
        <v>140</v>
      </c>
      <c r="I214" t="s">
        <v>140</v>
      </c>
      <c r="J214" t="s">
        <v>141</v>
      </c>
      <c r="K214">
        <v>0</v>
      </c>
      <c r="L214">
        <v>3</v>
      </c>
      <c r="M214">
        <v>0</v>
      </c>
      <c r="N214">
        <v>2</v>
      </c>
      <c r="O214">
        <v>1</v>
      </c>
      <c r="P214">
        <v>0</v>
      </c>
      <c r="Q214">
        <v>0</v>
      </c>
      <c r="R214" t="s">
        <v>127</v>
      </c>
      <c r="S214" t="str">
        <f t="shared" ref="S214:T217" si="22">"15:38:24.758"</f>
        <v>15:38:24.758</v>
      </c>
      <c r="T214" t="str">
        <f t="shared" si="22"/>
        <v>15:38:24.758</v>
      </c>
      <c r="U214" t="str">
        <f t="shared" si="18"/>
        <v>A55E09</v>
      </c>
      <c r="V214">
        <v>0</v>
      </c>
      <c r="W214">
        <v>0</v>
      </c>
      <c r="X214">
        <v>2</v>
      </c>
      <c r="Y214">
        <v>0</v>
      </c>
      <c r="AA214">
        <v>0</v>
      </c>
      <c r="AB214">
        <v>9</v>
      </c>
      <c r="AC214">
        <v>3</v>
      </c>
      <c r="AD214">
        <v>0</v>
      </c>
      <c r="AE214">
        <v>9</v>
      </c>
      <c r="AF214" t="s">
        <v>128</v>
      </c>
      <c r="AG214">
        <v>0</v>
      </c>
      <c r="AH214">
        <v>0</v>
      </c>
      <c r="AI214">
        <v>1</v>
      </c>
      <c r="AJ214">
        <v>0</v>
      </c>
      <c r="AK214" t="s">
        <v>240</v>
      </c>
      <c r="AL214">
        <v>33.67492</v>
      </c>
      <c r="AM214" t="s">
        <v>241</v>
      </c>
      <c r="AN214">
        <v>-101.204531</v>
      </c>
      <c r="AO214">
        <v>100</v>
      </c>
      <c r="AP214">
        <v>3300</v>
      </c>
      <c r="AQ214" t="s">
        <v>131</v>
      </c>
      <c r="AR214">
        <v>-24</v>
      </c>
      <c r="AS214">
        <v>69</v>
      </c>
      <c r="AT214">
        <v>0</v>
      </c>
      <c r="BB214" t="str">
        <f t="shared" si="19"/>
        <v>1200</v>
      </c>
      <c r="BC214">
        <v>1</v>
      </c>
      <c r="BD214" t="str">
        <f t="shared" si="20"/>
        <v xml:space="preserve">N445JS  </v>
      </c>
      <c r="BE214">
        <v>7</v>
      </c>
      <c r="BG214">
        <v>0</v>
      </c>
      <c r="BH214">
        <v>0</v>
      </c>
      <c r="BI214">
        <v>0</v>
      </c>
      <c r="BJ214">
        <v>3150</v>
      </c>
      <c r="BK214">
        <v>-150</v>
      </c>
      <c r="BL214" t="s">
        <v>132</v>
      </c>
      <c r="BM214">
        <v>1</v>
      </c>
      <c r="BN214">
        <v>1</v>
      </c>
      <c r="BO214">
        <v>1</v>
      </c>
      <c r="BP214">
        <v>0</v>
      </c>
      <c r="BT214">
        <v>0</v>
      </c>
      <c r="BU214">
        <v>0</v>
      </c>
      <c r="CE214" t="str">
        <f>"15:38:24.758"</f>
        <v>15:38:24.758</v>
      </c>
      <c r="CF214">
        <v>757931738</v>
      </c>
      <c r="CS214">
        <v>0</v>
      </c>
      <c r="CT214">
        <v>2</v>
      </c>
      <c r="CU214">
        <v>0</v>
      </c>
      <c r="CV214">
        <v>2</v>
      </c>
      <c r="CW214">
        <v>0</v>
      </c>
      <c r="CX214">
        <v>7</v>
      </c>
      <c r="CY214">
        <v>7</v>
      </c>
      <c r="CZ214" t="s">
        <v>133</v>
      </c>
      <c r="DA214">
        <v>125</v>
      </c>
      <c r="DB214">
        <v>1</v>
      </c>
      <c r="DC214" t="s">
        <v>134</v>
      </c>
      <c r="DD214" t="s">
        <v>135</v>
      </c>
      <c r="DG214">
        <v>2494994</v>
      </c>
      <c r="DI214">
        <v>0</v>
      </c>
      <c r="DJ214">
        <v>0</v>
      </c>
      <c r="DK214">
        <v>0</v>
      </c>
      <c r="DL214">
        <v>0</v>
      </c>
      <c r="DM214">
        <v>0</v>
      </c>
      <c r="DN214">
        <v>0</v>
      </c>
      <c r="DO214">
        <v>0</v>
      </c>
      <c r="DP214">
        <v>0</v>
      </c>
      <c r="DQ214">
        <v>0</v>
      </c>
      <c r="DR214">
        <v>0</v>
      </c>
      <c r="DS214">
        <v>0</v>
      </c>
    </row>
    <row r="215" spans="1:123" x14ac:dyDescent="0.25">
      <c r="A215" t="str">
        <f>"04/17/2026 15:38:25.037"</f>
        <v>04/17/2026 15:38:25.037</v>
      </c>
      <c r="C215" t="str">
        <f t="shared" si="17"/>
        <v>FFDFD3C0</v>
      </c>
      <c r="D215" t="s">
        <v>136</v>
      </c>
      <c r="E215" t="str">
        <f>"0E"</f>
        <v>0E</v>
      </c>
      <c r="F215">
        <v>1014</v>
      </c>
      <c r="G215" t="s">
        <v>125</v>
      </c>
      <c r="J215" t="s">
        <v>137</v>
      </c>
      <c r="K215">
        <v>0</v>
      </c>
      <c r="L215">
        <v>3</v>
      </c>
      <c r="M215">
        <v>0</v>
      </c>
      <c r="N215">
        <v>2</v>
      </c>
      <c r="O215">
        <v>1</v>
      </c>
      <c r="P215">
        <v>0</v>
      </c>
      <c r="Q215">
        <v>0</v>
      </c>
      <c r="R215" t="s">
        <v>127</v>
      </c>
      <c r="S215" t="str">
        <f t="shared" si="22"/>
        <v>15:38:24.758</v>
      </c>
      <c r="T215" t="str">
        <f t="shared" si="22"/>
        <v>15:38:24.758</v>
      </c>
      <c r="U215" t="str">
        <f t="shared" si="18"/>
        <v>A55E09</v>
      </c>
      <c r="V215">
        <v>0</v>
      </c>
      <c r="W215">
        <v>0</v>
      </c>
      <c r="X215">
        <v>2</v>
      </c>
      <c r="Y215">
        <v>0</v>
      </c>
      <c r="AA215">
        <v>0</v>
      </c>
      <c r="AB215">
        <v>9</v>
      </c>
      <c r="AC215">
        <v>3</v>
      </c>
      <c r="AD215">
        <v>0</v>
      </c>
      <c r="AE215">
        <v>9</v>
      </c>
      <c r="AF215" t="s">
        <v>128</v>
      </c>
      <c r="AG215">
        <v>0</v>
      </c>
      <c r="AH215">
        <v>0</v>
      </c>
      <c r="AI215">
        <v>1</v>
      </c>
      <c r="AJ215">
        <v>0</v>
      </c>
      <c r="AK215" t="s">
        <v>240</v>
      </c>
      <c r="AL215">
        <v>33.67492</v>
      </c>
      <c r="AM215" t="s">
        <v>241</v>
      </c>
      <c r="AN215">
        <v>-101.204531</v>
      </c>
      <c r="AO215">
        <v>100</v>
      </c>
      <c r="AP215">
        <v>3300</v>
      </c>
      <c r="AQ215" t="s">
        <v>131</v>
      </c>
      <c r="AR215">
        <v>-24</v>
      </c>
      <c r="AS215">
        <v>69</v>
      </c>
      <c r="AT215">
        <v>0</v>
      </c>
      <c r="BB215" t="str">
        <f t="shared" si="19"/>
        <v>1200</v>
      </c>
      <c r="BC215">
        <v>1</v>
      </c>
      <c r="BD215" t="str">
        <f t="shared" si="20"/>
        <v xml:space="preserve">N445JS  </v>
      </c>
      <c r="BE215">
        <v>7</v>
      </c>
      <c r="BG215">
        <v>0</v>
      </c>
      <c r="BH215">
        <v>0</v>
      </c>
      <c r="BI215">
        <v>0</v>
      </c>
      <c r="BJ215">
        <v>3150</v>
      </c>
      <c r="BK215">
        <v>-150</v>
      </c>
      <c r="BL215" t="s">
        <v>132</v>
      </c>
      <c r="BM215">
        <v>1</v>
      </c>
      <c r="BN215">
        <v>1</v>
      </c>
      <c r="BO215">
        <v>1</v>
      </c>
      <c r="BP215">
        <v>0</v>
      </c>
      <c r="BT215">
        <v>0</v>
      </c>
      <c r="BU215">
        <v>0</v>
      </c>
      <c r="CE215" t="str">
        <f>"15:38:24.758"</f>
        <v>15:38:24.758</v>
      </c>
      <c r="CF215">
        <v>757931738</v>
      </c>
      <c r="CS215">
        <v>0</v>
      </c>
      <c r="CT215">
        <v>2</v>
      </c>
      <c r="CU215">
        <v>0</v>
      </c>
      <c r="CV215">
        <v>2</v>
      </c>
      <c r="CW215">
        <v>0</v>
      </c>
      <c r="CX215">
        <v>7</v>
      </c>
      <c r="CY215">
        <v>7</v>
      </c>
      <c r="CZ215" t="s">
        <v>133</v>
      </c>
      <c r="DA215">
        <v>125</v>
      </c>
      <c r="DB215">
        <v>1</v>
      </c>
      <c r="DC215" t="s">
        <v>134</v>
      </c>
      <c r="DD215" t="s">
        <v>135</v>
      </c>
      <c r="DG215">
        <v>2494994</v>
      </c>
      <c r="DI215">
        <v>0</v>
      </c>
      <c r="DJ215">
        <v>0</v>
      </c>
      <c r="DK215">
        <v>1</v>
      </c>
      <c r="DL215">
        <v>0</v>
      </c>
      <c r="DM215">
        <v>0</v>
      </c>
      <c r="DN215">
        <v>0</v>
      </c>
      <c r="DO215">
        <v>0</v>
      </c>
      <c r="DP215">
        <v>0</v>
      </c>
      <c r="DQ215">
        <v>0</v>
      </c>
      <c r="DR215">
        <v>0</v>
      </c>
      <c r="DS215">
        <v>0</v>
      </c>
    </row>
    <row r="216" spans="1:123" x14ac:dyDescent="0.25">
      <c r="A216" t="str">
        <f>"04/17/2026 15:38:25.039"</f>
        <v>04/17/2026 15:38:25.039</v>
      </c>
      <c r="C216" t="str">
        <f t="shared" si="17"/>
        <v>FFDFD3C0</v>
      </c>
      <c r="D216" t="s">
        <v>136</v>
      </c>
      <c r="E216" t="str">
        <f>"0F"</f>
        <v>0F</v>
      </c>
      <c r="F216">
        <v>1015</v>
      </c>
      <c r="G216" t="s">
        <v>138</v>
      </c>
      <c r="J216" t="s">
        <v>137</v>
      </c>
      <c r="K216">
        <v>0</v>
      </c>
      <c r="L216">
        <v>3</v>
      </c>
      <c r="M216">
        <v>0</v>
      </c>
      <c r="N216">
        <v>2</v>
      </c>
      <c r="O216">
        <v>1</v>
      </c>
      <c r="P216">
        <v>0</v>
      </c>
      <c r="Q216">
        <v>0</v>
      </c>
      <c r="R216" t="s">
        <v>127</v>
      </c>
      <c r="S216" t="str">
        <f t="shared" si="22"/>
        <v>15:38:24.758</v>
      </c>
      <c r="T216" t="str">
        <f t="shared" si="22"/>
        <v>15:38:24.758</v>
      </c>
      <c r="U216" t="str">
        <f t="shared" si="18"/>
        <v>A55E09</v>
      </c>
      <c r="V216">
        <v>0</v>
      </c>
      <c r="W216">
        <v>0</v>
      </c>
      <c r="X216">
        <v>2</v>
      </c>
      <c r="Y216">
        <v>0</v>
      </c>
      <c r="AA216">
        <v>0</v>
      </c>
      <c r="AB216">
        <v>9</v>
      </c>
      <c r="AC216">
        <v>3</v>
      </c>
      <c r="AD216">
        <v>0</v>
      </c>
      <c r="AE216">
        <v>9</v>
      </c>
      <c r="AF216" t="s">
        <v>128</v>
      </c>
      <c r="AG216">
        <v>0</v>
      </c>
      <c r="AH216">
        <v>0</v>
      </c>
      <c r="AI216">
        <v>1</v>
      </c>
      <c r="AJ216">
        <v>0</v>
      </c>
      <c r="AK216" t="s">
        <v>240</v>
      </c>
      <c r="AL216">
        <v>33.67492</v>
      </c>
      <c r="AM216" t="s">
        <v>241</v>
      </c>
      <c r="AN216">
        <v>-101.204531</v>
      </c>
      <c r="AO216">
        <v>100</v>
      </c>
      <c r="AP216">
        <v>3300</v>
      </c>
      <c r="AQ216" t="s">
        <v>131</v>
      </c>
      <c r="AR216">
        <v>-24</v>
      </c>
      <c r="AS216">
        <v>69</v>
      </c>
      <c r="AT216">
        <v>0</v>
      </c>
      <c r="BB216" t="str">
        <f t="shared" si="19"/>
        <v>1200</v>
      </c>
      <c r="BC216">
        <v>1</v>
      </c>
      <c r="BD216" t="str">
        <f t="shared" si="20"/>
        <v xml:space="preserve">N445JS  </v>
      </c>
      <c r="BE216">
        <v>7</v>
      </c>
      <c r="BG216">
        <v>0</v>
      </c>
      <c r="BH216">
        <v>0</v>
      </c>
      <c r="BI216">
        <v>0</v>
      </c>
      <c r="BJ216">
        <v>3150</v>
      </c>
      <c r="BK216">
        <v>-150</v>
      </c>
      <c r="BL216" t="s">
        <v>132</v>
      </c>
      <c r="BM216">
        <v>1</v>
      </c>
      <c r="BN216">
        <v>1</v>
      </c>
      <c r="BO216">
        <v>1</v>
      </c>
      <c r="BP216">
        <v>0</v>
      </c>
      <c r="BT216">
        <v>0</v>
      </c>
      <c r="BU216">
        <v>0</v>
      </c>
      <c r="CE216" t="str">
        <f>"15:38:24.758"</f>
        <v>15:38:24.758</v>
      </c>
      <c r="CF216">
        <v>757931738</v>
      </c>
      <c r="CS216">
        <v>0</v>
      </c>
      <c r="CT216">
        <v>2</v>
      </c>
      <c r="CU216">
        <v>0</v>
      </c>
      <c r="CV216">
        <v>2</v>
      </c>
      <c r="CW216">
        <v>0</v>
      </c>
      <c r="CX216">
        <v>7</v>
      </c>
      <c r="CY216">
        <v>7</v>
      </c>
      <c r="CZ216" t="s">
        <v>133</v>
      </c>
      <c r="DA216">
        <v>125</v>
      </c>
      <c r="DB216">
        <v>1</v>
      </c>
      <c r="DC216" t="s">
        <v>134</v>
      </c>
      <c r="DD216" t="s">
        <v>135</v>
      </c>
      <c r="DG216">
        <v>2494994</v>
      </c>
      <c r="DI216">
        <v>0</v>
      </c>
      <c r="DJ216">
        <v>0</v>
      </c>
      <c r="DK216">
        <v>1</v>
      </c>
      <c r="DL216">
        <v>0</v>
      </c>
      <c r="DM216">
        <v>0</v>
      </c>
      <c r="DN216">
        <v>0</v>
      </c>
      <c r="DO216">
        <v>0</v>
      </c>
      <c r="DP216">
        <v>0</v>
      </c>
      <c r="DQ216">
        <v>0</v>
      </c>
      <c r="DR216">
        <v>0</v>
      </c>
      <c r="DS216">
        <v>0</v>
      </c>
    </row>
    <row r="217" spans="1:123" x14ac:dyDescent="0.25">
      <c r="A217" t="str">
        <f>"04/17/2026 15:38:25.040"</f>
        <v>04/17/2026 15:38:25.040</v>
      </c>
      <c r="C217" t="str">
        <f t="shared" si="17"/>
        <v>FFDFD3C0</v>
      </c>
      <c r="D217" t="s">
        <v>124</v>
      </c>
      <c r="E217" t="str">
        <f>"03"</f>
        <v>03</v>
      </c>
      <c r="H217">
        <v>160</v>
      </c>
      <c r="I217" t="s">
        <v>125</v>
      </c>
      <c r="J217" t="s">
        <v>126</v>
      </c>
      <c r="K217">
        <v>0</v>
      </c>
      <c r="L217">
        <v>3</v>
      </c>
      <c r="M217">
        <v>0</v>
      </c>
      <c r="N217">
        <v>2</v>
      </c>
      <c r="O217">
        <v>1</v>
      </c>
      <c r="P217">
        <v>0</v>
      </c>
      <c r="Q217">
        <v>0</v>
      </c>
      <c r="R217" t="s">
        <v>127</v>
      </c>
      <c r="S217" t="str">
        <f t="shared" si="22"/>
        <v>15:38:24.758</v>
      </c>
      <c r="T217" t="str">
        <f t="shared" si="22"/>
        <v>15:38:24.758</v>
      </c>
      <c r="U217" t="str">
        <f t="shared" si="18"/>
        <v>A55E09</v>
      </c>
      <c r="V217">
        <v>0</v>
      </c>
      <c r="W217">
        <v>0</v>
      </c>
      <c r="X217">
        <v>2</v>
      </c>
      <c r="Y217">
        <v>0</v>
      </c>
      <c r="AA217">
        <v>0</v>
      </c>
      <c r="AB217">
        <v>9</v>
      </c>
      <c r="AC217">
        <v>3</v>
      </c>
      <c r="AD217">
        <v>0</v>
      </c>
      <c r="AE217">
        <v>9</v>
      </c>
      <c r="AF217" t="s">
        <v>128</v>
      </c>
      <c r="AG217">
        <v>0</v>
      </c>
      <c r="AH217">
        <v>0</v>
      </c>
      <c r="AI217">
        <v>1</v>
      </c>
      <c r="AJ217">
        <v>0</v>
      </c>
      <c r="AK217" t="s">
        <v>240</v>
      </c>
      <c r="AL217">
        <v>33.67492</v>
      </c>
      <c r="AM217" t="s">
        <v>241</v>
      </c>
      <c r="AN217">
        <v>-101.204531</v>
      </c>
      <c r="AO217">
        <v>100</v>
      </c>
      <c r="AP217">
        <v>3300</v>
      </c>
      <c r="AQ217" t="s">
        <v>131</v>
      </c>
      <c r="AR217">
        <v>-24</v>
      </c>
      <c r="AS217">
        <v>69</v>
      </c>
      <c r="AT217">
        <v>0</v>
      </c>
      <c r="BB217" t="str">
        <f t="shared" si="19"/>
        <v>1200</v>
      </c>
      <c r="BC217">
        <v>1</v>
      </c>
      <c r="BD217" t="str">
        <f t="shared" si="20"/>
        <v xml:space="preserve">N445JS  </v>
      </c>
      <c r="BE217">
        <v>7</v>
      </c>
      <c r="BG217">
        <v>0</v>
      </c>
      <c r="BH217">
        <v>0</v>
      </c>
      <c r="BI217">
        <v>0</v>
      </c>
      <c r="BJ217">
        <v>3150</v>
      </c>
      <c r="BK217">
        <v>-150</v>
      </c>
      <c r="BL217" t="s">
        <v>132</v>
      </c>
      <c r="BM217">
        <v>1</v>
      </c>
      <c r="BN217">
        <v>1</v>
      </c>
      <c r="BO217">
        <v>1</v>
      </c>
      <c r="BP217">
        <v>0</v>
      </c>
      <c r="BT217">
        <v>0</v>
      </c>
      <c r="BU217">
        <v>0</v>
      </c>
      <c r="CE217" t="str">
        <f>"15:38:24.758"</f>
        <v>15:38:24.758</v>
      </c>
      <c r="CF217">
        <v>757931738</v>
      </c>
      <c r="CS217">
        <v>0</v>
      </c>
      <c r="CT217">
        <v>2</v>
      </c>
      <c r="CU217">
        <v>0</v>
      </c>
      <c r="CV217">
        <v>2</v>
      </c>
      <c r="CW217">
        <v>0</v>
      </c>
      <c r="CX217">
        <v>7</v>
      </c>
      <c r="CY217">
        <v>7</v>
      </c>
      <c r="CZ217" t="s">
        <v>133</v>
      </c>
      <c r="DA217">
        <v>125</v>
      </c>
      <c r="DB217">
        <v>1</v>
      </c>
      <c r="DC217" t="s">
        <v>134</v>
      </c>
      <c r="DD217" t="s">
        <v>135</v>
      </c>
      <c r="DG217">
        <v>2494994</v>
      </c>
      <c r="DI217">
        <v>0</v>
      </c>
      <c r="DJ217">
        <v>0</v>
      </c>
      <c r="DK217">
        <v>1</v>
      </c>
      <c r="DL217">
        <v>0</v>
      </c>
      <c r="DM217">
        <v>0</v>
      </c>
      <c r="DN217">
        <v>0</v>
      </c>
      <c r="DO217">
        <v>0</v>
      </c>
      <c r="DP217">
        <v>0</v>
      </c>
      <c r="DQ217">
        <v>0</v>
      </c>
      <c r="DR217">
        <v>0</v>
      </c>
      <c r="DS217">
        <v>0</v>
      </c>
    </row>
    <row r="218" spans="1:123" x14ac:dyDescent="0.25">
      <c r="A218" t="str">
        <f>"04/17/2026 15:38:26.039"</f>
        <v>04/17/2026 15:38:26.039</v>
      </c>
      <c r="C218" t="str">
        <f t="shared" si="17"/>
        <v>FFDFD3C0</v>
      </c>
      <c r="D218" t="s">
        <v>136</v>
      </c>
      <c r="E218" t="str">
        <f>"0E"</f>
        <v>0E</v>
      </c>
      <c r="F218">
        <v>1014</v>
      </c>
      <c r="G218" t="s">
        <v>125</v>
      </c>
      <c r="J218" t="s">
        <v>137</v>
      </c>
      <c r="K218">
        <v>0</v>
      </c>
      <c r="L218">
        <v>3</v>
      </c>
      <c r="M218">
        <v>0</v>
      </c>
      <c r="N218">
        <v>2</v>
      </c>
      <c r="O218">
        <v>1</v>
      </c>
      <c r="P218">
        <v>0</v>
      </c>
      <c r="Q218">
        <v>0</v>
      </c>
      <c r="R218" t="s">
        <v>127</v>
      </c>
      <c r="S218" t="str">
        <f>"15:38:25.773"</f>
        <v>15:38:25.773</v>
      </c>
      <c r="T218" t="str">
        <f>"15:38:25.373"</f>
        <v>15:38:25.373</v>
      </c>
      <c r="U218" t="str">
        <f t="shared" si="18"/>
        <v>A55E09</v>
      </c>
      <c r="V218">
        <v>0</v>
      </c>
      <c r="W218">
        <v>0</v>
      </c>
      <c r="X218">
        <v>2</v>
      </c>
      <c r="Y218">
        <v>0</v>
      </c>
      <c r="AA218">
        <v>0</v>
      </c>
      <c r="AB218">
        <v>9</v>
      </c>
      <c r="AC218">
        <v>3</v>
      </c>
      <c r="AD218">
        <v>0</v>
      </c>
      <c r="AE218">
        <v>9</v>
      </c>
      <c r="AF218" t="s">
        <v>128</v>
      </c>
      <c r="AG218">
        <v>0</v>
      </c>
      <c r="AH218">
        <v>0</v>
      </c>
      <c r="AI218">
        <v>1</v>
      </c>
      <c r="AJ218">
        <v>0</v>
      </c>
      <c r="AK218" t="s">
        <v>242</v>
      </c>
      <c r="AL218">
        <v>33.675241</v>
      </c>
      <c r="AM218" t="s">
        <v>243</v>
      </c>
      <c r="AN218">
        <v>-101.20466</v>
      </c>
      <c r="AO218">
        <v>100</v>
      </c>
      <c r="AP218">
        <v>3300</v>
      </c>
      <c r="AQ218" t="s">
        <v>131</v>
      </c>
      <c r="AR218">
        <v>-24</v>
      </c>
      <c r="AS218">
        <v>69</v>
      </c>
      <c r="AT218">
        <v>-64</v>
      </c>
      <c r="BB218" t="str">
        <f t="shared" si="19"/>
        <v>1200</v>
      </c>
      <c r="BC218">
        <v>1</v>
      </c>
      <c r="BD218" t="str">
        <f t="shared" si="20"/>
        <v xml:space="preserve">N445JS  </v>
      </c>
      <c r="BE218">
        <v>7</v>
      </c>
      <c r="BG218">
        <v>0</v>
      </c>
      <c r="BH218">
        <v>0</v>
      </c>
      <c r="BI218">
        <v>0</v>
      </c>
      <c r="BJ218">
        <v>3150</v>
      </c>
      <c r="BK218">
        <v>-150</v>
      </c>
      <c r="BL218" t="s">
        <v>132</v>
      </c>
      <c r="BM218">
        <v>1</v>
      </c>
      <c r="BN218">
        <v>1</v>
      </c>
      <c r="BO218">
        <v>1</v>
      </c>
      <c r="BP218">
        <v>0</v>
      </c>
      <c r="BT218">
        <v>0</v>
      </c>
      <c r="BU218">
        <v>0</v>
      </c>
      <c r="CE218" t="str">
        <f>"15:38:25.778"</f>
        <v>15:38:25.778</v>
      </c>
      <c r="CF218">
        <v>777831753</v>
      </c>
      <c r="CS218">
        <v>0</v>
      </c>
      <c r="CT218">
        <v>2</v>
      </c>
      <c r="CU218">
        <v>0</v>
      </c>
      <c r="CV218">
        <v>2</v>
      </c>
      <c r="CW218">
        <v>0</v>
      </c>
      <c r="CX218">
        <v>7</v>
      </c>
      <c r="CY218">
        <v>7</v>
      </c>
      <c r="CZ218" t="s">
        <v>133</v>
      </c>
      <c r="DA218">
        <v>125</v>
      </c>
      <c r="DB218">
        <v>1</v>
      </c>
      <c r="DC218" t="s">
        <v>134</v>
      </c>
      <c r="DD218" t="s">
        <v>135</v>
      </c>
      <c r="DG218">
        <v>2495991</v>
      </c>
      <c r="DI218">
        <v>0</v>
      </c>
      <c r="DJ218">
        <v>0</v>
      </c>
      <c r="DK218">
        <v>0</v>
      </c>
      <c r="DL218">
        <v>0</v>
      </c>
      <c r="DM218">
        <v>0</v>
      </c>
      <c r="DN218">
        <v>0</v>
      </c>
      <c r="DO218">
        <v>0</v>
      </c>
      <c r="DP218">
        <v>0</v>
      </c>
      <c r="DQ218">
        <v>0</v>
      </c>
      <c r="DR218">
        <v>0</v>
      </c>
      <c r="DS218">
        <v>0</v>
      </c>
    </row>
    <row r="219" spans="1:123" x14ac:dyDescent="0.25">
      <c r="A219" t="str">
        <f>"04/17/2026 15:38:26.040"</f>
        <v>04/17/2026 15:38:26.040</v>
      </c>
      <c r="C219" t="str">
        <f t="shared" si="17"/>
        <v>FFDFD3C0</v>
      </c>
      <c r="D219" t="s">
        <v>136</v>
      </c>
      <c r="E219" t="str">
        <f>"0F"</f>
        <v>0F</v>
      </c>
      <c r="F219">
        <v>1015</v>
      </c>
      <c r="G219" t="s">
        <v>138</v>
      </c>
      <c r="J219" t="s">
        <v>137</v>
      </c>
      <c r="K219">
        <v>0</v>
      </c>
      <c r="L219">
        <v>3</v>
      </c>
      <c r="M219">
        <v>0</v>
      </c>
      <c r="N219">
        <v>2</v>
      </c>
      <c r="O219">
        <v>1</v>
      </c>
      <c r="P219">
        <v>0</v>
      </c>
      <c r="Q219">
        <v>0</v>
      </c>
      <c r="R219" t="s">
        <v>127</v>
      </c>
      <c r="S219" t="str">
        <f>"15:38:25.773"</f>
        <v>15:38:25.773</v>
      </c>
      <c r="T219" t="str">
        <f>"15:38:25.373"</f>
        <v>15:38:25.373</v>
      </c>
      <c r="U219" t="str">
        <f t="shared" si="18"/>
        <v>A55E09</v>
      </c>
      <c r="V219">
        <v>0</v>
      </c>
      <c r="W219">
        <v>0</v>
      </c>
      <c r="X219">
        <v>2</v>
      </c>
      <c r="Y219">
        <v>0</v>
      </c>
      <c r="AA219">
        <v>0</v>
      </c>
      <c r="AB219">
        <v>9</v>
      </c>
      <c r="AC219">
        <v>3</v>
      </c>
      <c r="AD219">
        <v>0</v>
      </c>
      <c r="AE219">
        <v>9</v>
      </c>
      <c r="AF219" t="s">
        <v>128</v>
      </c>
      <c r="AG219">
        <v>0</v>
      </c>
      <c r="AH219">
        <v>0</v>
      </c>
      <c r="AI219">
        <v>1</v>
      </c>
      <c r="AJ219">
        <v>0</v>
      </c>
      <c r="AK219" t="s">
        <v>242</v>
      </c>
      <c r="AL219">
        <v>33.675241</v>
      </c>
      <c r="AM219" t="s">
        <v>243</v>
      </c>
      <c r="AN219">
        <v>-101.20466</v>
      </c>
      <c r="AO219">
        <v>100</v>
      </c>
      <c r="AP219">
        <v>3300</v>
      </c>
      <c r="AQ219" t="s">
        <v>131</v>
      </c>
      <c r="AR219">
        <v>-24</v>
      </c>
      <c r="AS219">
        <v>69</v>
      </c>
      <c r="AT219">
        <v>-64</v>
      </c>
      <c r="BB219" t="str">
        <f t="shared" si="19"/>
        <v>1200</v>
      </c>
      <c r="BC219">
        <v>1</v>
      </c>
      <c r="BD219" t="str">
        <f t="shared" si="20"/>
        <v xml:space="preserve">N445JS  </v>
      </c>
      <c r="BE219">
        <v>7</v>
      </c>
      <c r="BG219">
        <v>0</v>
      </c>
      <c r="BH219">
        <v>0</v>
      </c>
      <c r="BI219">
        <v>0</v>
      </c>
      <c r="BJ219">
        <v>3150</v>
      </c>
      <c r="BK219">
        <v>-150</v>
      </c>
      <c r="BL219" t="s">
        <v>132</v>
      </c>
      <c r="BM219">
        <v>1</v>
      </c>
      <c r="BN219">
        <v>1</v>
      </c>
      <c r="BO219">
        <v>1</v>
      </c>
      <c r="BP219">
        <v>0</v>
      </c>
      <c r="BT219">
        <v>0</v>
      </c>
      <c r="BU219">
        <v>0</v>
      </c>
      <c r="CE219" t="str">
        <f>"15:38:25.778"</f>
        <v>15:38:25.778</v>
      </c>
      <c r="CF219">
        <v>777831753</v>
      </c>
      <c r="CS219">
        <v>0</v>
      </c>
      <c r="CT219">
        <v>2</v>
      </c>
      <c r="CU219">
        <v>0</v>
      </c>
      <c r="CV219">
        <v>2</v>
      </c>
      <c r="CW219">
        <v>0</v>
      </c>
      <c r="CX219">
        <v>7</v>
      </c>
      <c r="CY219">
        <v>7</v>
      </c>
      <c r="CZ219" t="s">
        <v>133</v>
      </c>
      <c r="DA219">
        <v>125</v>
      </c>
      <c r="DB219">
        <v>1</v>
      </c>
      <c r="DC219" t="s">
        <v>134</v>
      </c>
      <c r="DD219" t="s">
        <v>135</v>
      </c>
      <c r="DG219">
        <v>2495991</v>
      </c>
      <c r="DI219">
        <v>0</v>
      </c>
      <c r="DJ219">
        <v>0</v>
      </c>
      <c r="DK219">
        <v>1</v>
      </c>
      <c r="DL219">
        <v>0</v>
      </c>
      <c r="DM219">
        <v>0</v>
      </c>
      <c r="DN219">
        <v>0</v>
      </c>
      <c r="DO219">
        <v>0</v>
      </c>
      <c r="DP219">
        <v>0</v>
      </c>
      <c r="DQ219">
        <v>0</v>
      </c>
      <c r="DR219">
        <v>0</v>
      </c>
      <c r="DS219">
        <v>0</v>
      </c>
    </row>
    <row r="220" spans="1:123" x14ac:dyDescent="0.25">
      <c r="A220" t="str">
        <f>"04/17/2026 15:38:26.042"</f>
        <v>04/17/2026 15:38:26.042</v>
      </c>
      <c r="C220" t="str">
        <f t="shared" si="17"/>
        <v>FFDFD3C0</v>
      </c>
      <c r="D220" t="s">
        <v>124</v>
      </c>
      <c r="E220" t="str">
        <f>"03"</f>
        <v>03</v>
      </c>
      <c r="H220">
        <v>160</v>
      </c>
      <c r="I220" t="s">
        <v>125</v>
      </c>
      <c r="J220" t="s">
        <v>126</v>
      </c>
      <c r="K220">
        <v>0</v>
      </c>
      <c r="L220">
        <v>3</v>
      </c>
      <c r="M220">
        <v>0</v>
      </c>
      <c r="N220">
        <v>2</v>
      </c>
      <c r="O220">
        <v>1</v>
      </c>
      <c r="P220">
        <v>0</v>
      </c>
      <c r="Q220">
        <v>0</v>
      </c>
      <c r="R220" t="s">
        <v>127</v>
      </c>
      <c r="S220" t="str">
        <f>"15:38:25.773"</f>
        <v>15:38:25.773</v>
      </c>
      <c r="T220" t="str">
        <f>"15:38:25.373"</f>
        <v>15:38:25.373</v>
      </c>
      <c r="U220" t="str">
        <f t="shared" si="18"/>
        <v>A55E09</v>
      </c>
      <c r="V220">
        <v>0</v>
      </c>
      <c r="W220">
        <v>0</v>
      </c>
      <c r="X220">
        <v>2</v>
      </c>
      <c r="Y220">
        <v>0</v>
      </c>
      <c r="AA220">
        <v>0</v>
      </c>
      <c r="AB220">
        <v>9</v>
      </c>
      <c r="AC220">
        <v>3</v>
      </c>
      <c r="AD220">
        <v>0</v>
      </c>
      <c r="AE220">
        <v>9</v>
      </c>
      <c r="AF220" t="s">
        <v>128</v>
      </c>
      <c r="AG220">
        <v>0</v>
      </c>
      <c r="AH220">
        <v>0</v>
      </c>
      <c r="AI220">
        <v>1</v>
      </c>
      <c r="AJ220">
        <v>0</v>
      </c>
      <c r="AK220" t="s">
        <v>242</v>
      </c>
      <c r="AL220">
        <v>33.675241</v>
      </c>
      <c r="AM220" t="s">
        <v>243</v>
      </c>
      <c r="AN220">
        <v>-101.20466</v>
      </c>
      <c r="AO220">
        <v>100</v>
      </c>
      <c r="AP220">
        <v>3300</v>
      </c>
      <c r="AQ220" t="s">
        <v>131</v>
      </c>
      <c r="AR220">
        <v>-24</v>
      </c>
      <c r="AS220">
        <v>69</v>
      </c>
      <c r="AT220">
        <v>-64</v>
      </c>
      <c r="BB220" t="str">
        <f t="shared" si="19"/>
        <v>1200</v>
      </c>
      <c r="BC220">
        <v>1</v>
      </c>
      <c r="BD220" t="str">
        <f t="shared" si="20"/>
        <v xml:space="preserve">N445JS  </v>
      </c>
      <c r="BE220">
        <v>7</v>
      </c>
      <c r="BG220">
        <v>0</v>
      </c>
      <c r="BH220">
        <v>0</v>
      </c>
      <c r="BI220">
        <v>0</v>
      </c>
      <c r="BJ220">
        <v>3150</v>
      </c>
      <c r="BK220">
        <v>-150</v>
      </c>
      <c r="BL220" t="s">
        <v>132</v>
      </c>
      <c r="BM220">
        <v>1</v>
      </c>
      <c r="BN220">
        <v>1</v>
      </c>
      <c r="BO220">
        <v>1</v>
      </c>
      <c r="BP220">
        <v>0</v>
      </c>
      <c r="BT220">
        <v>0</v>
      </c>
      <c r="BU220">
        <v>0</v>
      </c>
      <c r="CE220" t="str">
        <f>"15:38:25.778"</f>
        <v>15:38:25.778</v>
      </c>
      <c r="CF220">
        <v>777831753</v>
      </c>
      <c r="CS220">
        <v>0</v>
      </c>
      <c r="CT220">
        <v>2</v>
      </c>
      <c r="CU220">
        <v>0</v>
      </c>
      <c r="CV220">
        <v>2</v>
      </c>
      <c r="CW220">
        <v>0</v>
      </c>
      <c r="CX220">
        <v>7</v>
      </c>
      <c r="CY220">
        <v>7</v>
      </c>
      <c r="CZ220" t="s">
        <v>133</v>
      </c>
      <c r="DA220">
        <v>125</v>
      </c>
      <c r="DB220">
        <v>1</v>
      </c>
      <c r="DC220" t="s">
        <v>134</v>
      </c>
      <c r="DD220" t="s">
        <v>135</v>
      </c>
      <c r="DG220">
        <v>2495991</v>
      </c>
      <c r="DI220">
        <v>0</v>
      </c>
      <c r="DJ220">
        <v>0</v>
      </c>
      <c r="DK220">
        <v>1</v>
      </c>
      <c r="DL220">
        <v>0</v>
      </c>
      <c r="DM220">
        <v>0</v>
      </c>
      <c r="DN220">
        <v>0</v>
      </c>
      <c r="DO220">
        <v>0</v>
      </c>
      <c r="DP220">
        <v>0</v>
      </c>
      <c r="DQ220">
        <v>0</v>
      </c>
      <c r="DR220">
        <v>0</v>
      </c>
      <c r="DS220">
        <v>0</v>
      </c>
    </row>
    <row r="221" spans="1:123" x14ac:dyDescent="0.25">
      <c r="A221" t="str">
        <f>"04/17/2026 15:38:26.067"</f>
        <v>04/17/2026 15:38:26.067</v>
      </c>
      <c r="C221" t="str">
        <f t="shared" si="17"/>
        <v>FFDFD3C0</v>
      </c>
      <c r="D221" t="s">
        <v>139</v>
      </c>
      <c r="E221" t="str">
        <f>"28"</f>
        <v>28</v>
      </c>
      <c r="H221">
        <v>140</v>
      </c>
      <c r="I221" t="s">
        <v>140</v>
      </c>
      <c r="J221" t="s">
        <v>141</v>
      </c>
      <c r="K221">
        <v>0</v>
      </c>
      <c r="L221">
        <v>3</v>
      </c>
      <c r="M221">
        <v>0</v>
      </c>
      <c r="N221">
        <v>2</v>
      </c>
      <c r="O221">
        <v>1</v>
      </c>
      <c r="P221">
        <v>0</v>
      </c>
      <c r="Q221">
        <v>0</v>
      </c>
      <c r="R221" t="s">
        <v>127</v>
      </c>
      <c r="S221" t="str">
        <f>"15:38:25.773"</f>
        <v>15:38:25.773</v>
      </c>
      <c r="T221" t="str">
        <f>"15:38:25.373"</f>
        <v>15:38:25.373</v>
      </c>
      <c r="U221" t="str">
        <f t="shared" si="18"/>
        <v>A55E09</v>
      </c>
      <c r="V221">
        <v>0</v>
      </c>
      <c r="W221">
        <v>0</v>
      </c>
      <c r="X221">
        <v>2</v>
      </c>
      <c r="Y221">
        <v>0</v>
      </c>
      <c r="AA221">
        <v>0</v>
      </c>
      <c r="AB221">
        <v>9</v>
      </c>
      <c r="AC221">
        <v>3</v>
      </c>
      <c r="AD221">
        <v>0</v>
      </c>
      <c r="AE221">
        <v>9</v>
      </c>
      <c r="AF221" t="s">
        <v>128</v>
      </c>
      <c r="AG221">
        <v>0</v>
      </c>
      <c r="AH221">
        <v>0</v>
      </c>
      <c r="AI221">
        <v>1</v>
      </c>
      <c r="AJ221">
        <v>0</v>
      </c>
      <c r="AK221" t="s">
        <v>242</v>
      </c>
      <c r="AL221">
        <v>33.675241</v>
      </c>
      <c r="AM221" t="s">
        <v>243</v>
      </c>
      <c r="AN221">
        <v>-101.20466</v>
      </c>
      <c r="AO221">
        <v>100</v>
      </c>
      <c r="AP221">
        <v>3300</v>
      </c>
      <c r="AQ221" t="s">
        <v>131</v>
      </c>
      <c r="AR221">
        <v>-24</v>
      </c>
      <c r="AS221">
        <v>69</v>
      </c>
      <c r="AT221">
        <v>-64</v>
      </c>
      <c r="BB221" t="str">
        <f t="shared" si="19"/>
        <v>1200</v>
      </c>
      <c r="BC221">
        <v>1</v>
      </c>
      <c r="BD221" t="str">
        <f t="shared" si="20"/>
        <v xml:space="preserve">N445JS  </v>
      </c>
      <c r="BE221">
        <v>7</v>
      </c>
      <c r="BG221">
        <v>0</v>
      </c>
      <c r="BH221">
        <v>0</v>
      </c>
      <c r="BI221">
        <v>0</v>
      </c>
      <c r="BJ221">
        <v>3150</v>
      </c>
      <c r="BK221">
        <v>-150</v>
      </c>
      <c r="BL221" t="s">
        <v>132</v>
      </c>
      <c r="BM221">
        <v>1</v>
      </c>
      <c r="BN221">
        <v>1</v>
      </c>
      <c r="BO221">
        <v>1</v>
      </c>
      <c r="BP221">
        <v>0</v>
      </c>
      <c r="BT221">
        <v>0</v>
      </c>
      <c r="BU221">
        <v>0</v>
      </c>
      <c r="CE221" t="str">
        <f>"15:38:25.778"</f>
        <v>15:38:25.778</v>
      </c>
      <c r="CF221">
        <v>777831753</v>
      </c>
      <c r="CS221">
        <v>0</v>
      </c>
      <c r="CT221">
        <v>2</v>
      </c>
      <c r="CU221">
        <v>0</v>
      </c>
      <c r="CV221">
        <v>2</v>
      </c>
      <c r="CW221">
        <v>0</v>
      </c>
      <c r="CX221">
        <v>7</v>
      </c>
      <c r="CY221">
        <v>7</v>
      </c>
      <c r="CZ221" t="s">
        <v>133</v>
      </c>
      <c r="DA221">
        <v>125</v>
      </c>
      <c r="DB221">
        <v>1</v>
      </c>
      <c r="DC221" t="s">
        <v>134</v>
      </c>
      <c r="DD221" t="s">
        <v>135</v>
      </c>
      <c r="DG221">
        <v>2495991</v>
      </c>
      <c r="DI221">
        <v>0</v>
      </c>
      <c r="DJ221">
        <v>0</v>
      </c>
      <c r="DK221">
        <v>1</v>
      </c>
      <c r="DL221">
        <v>0</v>
      </c>
      <c r="DM221">
        <v>0</v>
      </c>
      <c r="DN221">
        <v>0</v>
      </c>
      <c r="DO221">
        <v>0</v>
      </c>
      <c r="DP221">
        <v>0</v>
      </c>
      <c r="DQ221">
        <v>0</v>
      </c>
      <c r="DR221">
        <v>0</v>
      </c>
      <c r="DS221">
        <v>0</v>
      </c>
    </row>
    <row r="222" spans="1:123" x14ac:dyDescent="0.25">
      <c r="A222" t="str">
        <f>"04/17/2026 15:38:26.890"</f>
        <v>04/17/2026 15:38:26.890</v>
      </c>
      <c r="C222" t="str">
        <f t="shared" si="17"/>
        <v>FFDFD3C0</v>
      </c>
      <c r="D222" t="s">
        <v>136</v>
      </c>
      <c r="E222" t="str">
        <f>"0E"</f>
        <v>0E</v>
      </c>
      <c r="F222">
        <v>1014</v>
      </c>
      <c r="G222" t="s">
        <v>125</v>
      </c>
      <c r="J222" t="s">
        <v>137</v>
      </c>
      <c r="K222">
        <v>0</v>
      </c>
      <c r="L222">
        <v>3</v>
      </c>
      <c r="M222">
        <v>0</v>
      </c>
      <c r="N222">
        <v>2</v>
      </c>
      <c r="O222">
        <v>1</v>
      </c>
      <c r="P222">
        <v>0</v>
      </c>
      <c r="Q222">
        <v>0</v>
      </c>
      <c r="R222" t="s">
        <v>127</v>
      </c>
      <c r="S222" t="str">
        <f>"15:38:26.617"</f>
        <v>15:38:26.617</v>
      </c>
      <c r="T222" t="str">
        <f>"15:38:26.417"</f>
        <v>15:38:26.417</v>
      </c>
      <c r="U222" t="str">
        <f t="shared" si="18"/>
        <v>A55E09</v>
      </c>
      <c r="V222">
        <v>0</v>
      </c>
      <c r="W222">
        <v>0</v>
      </c>
      <c r="X222">
        <v>2</v>
      </c>
      <c r="Y222">
        <v>0</v>
      </c>
      <c r="AA222">
        <v>0</v>
      </c>
      <c r="AB222">
        <v>9</v>
      </c>
      <c r="AC222">
        <v>3</v>
      </c>
      <c r="AD222">
        <v>0</v>
      </c>
      <c r="AE222">
        <v>9</v>
      </c>
      <c r="AF222" t="s">
        <v>128</v>
      </c>
      <c r="AG222">
        <v>0</v>
      </c>
      <c r="AH222">
        <v>0</v>
      </c>
      <c r="AI222">
        <v>1</v>
      </c>
      <c r="AJ222">
        <v>0</v>
      </c>
      <c r="AK222" t="s">
        <v>244</v>
      </c>
      <c r="AL222">
        <v>33.675519999999999</v>
      </c>
      <c r="AM222" t="s">
        <v>245</v>
      </c>
      <c r="AN222">
        <v>-101.204767</v>
      </c>
      <c r="AO222">
        <v>100</v>
      </c>
      <c r="AP222">
        <v>3300</v>
      </c>
      <c r="AQ222" t="s">
        <v>131</v>
      </c>
      <c r="AR222">
        <v>-23</v>
      </c>
      <c r="AS222">
        <v>70</v>
      </c>
      <c r="AT222">
        <v>-128</v>
      </c>
      <c r="BB222" t="str">
        <f t="shared" si="19"/>
        <v>1200</v>
      </c>
      <c r="BC222">
        <v>1</v>
      </c>
      <c r="BD222" t="str">
        <f t="shared" si="20"/>
        <v xml:space="preserve">N445JS  </v>
      </c>
      <c r="BE222">
        <v>7</v>
      </c>
      <c r="BG222">
        <v>0</v>
      </c>
      <c r="BH222">
        <v>0</v>
      </c>
      <c r="BI222">
        <v>0</v>
      </c>
      <c r="BJ222">
        <v>3150</v>
      </c>
      <c r="BK222">
        <v>-150</v>
      </c>
      <c r="BL222" t="s">
        <v>132</v>
      </c>
      <c r="BM222">
        <v>1</v>
      </c>
      <c r="BN222">
        <v>1</v>
      </c>
      <c r="BO222">
        <v>1</v>
      </c>
      <c r="BP222">
        <v>0</v>
      </c>
      <c r="BT222">
        <v>0</v>
      </c>
      <c r="BU222">
        <v>0</v>
      </c>
      <c r="CE222" t="str">
        <f>"15:38:26.618"</f>
        <v>15:38:26.618</v>
      </c>
      <c r="CF222">
        <v>617749387</v>
      </c>
      <c r="CS222">
        <v>0</v>
      </c>
      <c r="CT222">
        <v>2</v>
      </c>
      <c r="CU222">
        <v>0</v>
      </c>
      <c r="CV222">
        <v>2</v>
      </c>
      <c r="CW222">
        <v>0</v>
      </c>
      <c r="CX222">
        <v>7</v>
      </c>
      <c r="CY222">
        <v>7</v>
      </c>
      <c r="CZ222" t="s">
        <v>133</v>
      </c>
      <c r="DA222">
        <v>125</v>
      </c>
      <c r="DB222">
        <v>1</v>
      </c>
      <c r="DC222" t="s">
        <v>134</v>
      </c>
      <c r="DD222" t="s">
        <v>135</v>
      </c>
      <c r="DG222">
        <v>2496807</v>
      </c>
      <c r="DI222">
        <v>0</v>
      </c>
      <c r="DJ222">
        <v>0</v>
      </c>
      <c r="DK222">
        <v>0</v>
      </c>
      <c r="DL222">
        <v>0</v>
      </c>
      <c r="DM222">
        <v>0</v>
      </c>
      <c r="DN222">
        <v>0</v>
      </c>
      <c r="DO222">
        <v>0</v>
      </c>
      <c r="DP222">
        <v>0</v>
      </c>
      <c r="DQ222">
        <v>0</v>
      </c>
      <c r="DR222">
        <v>0</v>
      </c>
      <c r="DS222">
        <v>0</v>
      </c>
    </row>
    <row r="223" spans="1:123" x14ac:dyDescent="0.25">
      <c r="A223" t="str">
        <f>"04/17/2026 15:38:26.891"</f>
        <v>04/17/2026 15:38:26.891</v>
      </c>
      <c r="C223" t="str">
        <f t="shared" si="17"/>
        <v>FFDFD3C0</v>
      </c>
      <c r="D223" t="s">
        <v>136</v>
      </c>
      <c r="E223" t="str">
        <f>"0F"</f>
        <v>0F</v>
      </c>
      <c r="F223">
        <v>1015</v>
      </c>
      <c r="G223" t="s">
        <v>138</v>
      </c>
      <c r="J223" t="s">
        <v>137</v>
      </c>
      <c r="K223">
        <v>0</v>
      </c>
      <c r="L223">
        <v>3</v>
      </c>
      <c r="M223">
        <v>0</v>
      </c>
      <c r="N223">
        <v>2</v>
      </c>
      <c r="O223">
        <v>1</v>
      </c>
      <c r="P223">
        <v>0</v>
      </c>
      <c r="Q223">
        <v>0</v>
      </c>
      <c r="R223" t="s">
        <v>127</v>
      </c>
      <c r="S223" t="str">
        <f>"15:38:26.617"</f>
        <v>15:38:26.617</v>
      </c>
      <c r="T223" t="str">
        <f>"15:38:26.417"</f>
        <v>15:38:26.417</v>
      </c>
      <c r="U223" t="str">
        <f t="shared" si="18"/>
        <v>A55E09</v>
      </c>
      <c r="V223">
        <v>0</v>
      </c>
      <c r="W223">
        <v>0</v>
      </c>
      <c r="X223">
        <v>2</v>
      </c>
      <c r="Y223">
        <v>0</v>
      </c>
      <c r="AA223">
        <v>0</v>
      </c>
      <c r="AB223">
        <v>9</v>
      </c>
      <c r="AC223">
        <v>3</v>
      </c>
      <c r="AD223">
        <v>0</v>
      </c>
      <c r="AE223">
        <v>9</v>
      </c>
      <c r="AF223" t="s">
        <v>128</v>
      </c>
      <c r="AG223">
        <v>0</v>
      </c>
      <c r="AH223">
        <v>0</v>
      </c>
      <c r="AI223">
        <v>1</v>
      </c>
      <c r="AJ223">
        <v>0</v>
      </c>
      <c r="AK223" t="s">
        <v>244</v>
      </c>
      <c r="AL223">
        <v>33.675519999999999</v>
      </c>
      <c r="AM223" t="s">
        <v>245</v>
      </c>
      <c r="AN223">
        <v>-101.204767</v>
      </c>
      <c r="AO223">
        <v>100</v>
      </c>
      <c r="AP223">
        <v>3300</v>
      </c>
      <c r="AQ223" t="s">
        <v>131</v>
      </c>
      <c r="AR223">
        <v>-23</v>
      </c>
      <c r="AS223">
        <v>70</v>
      </c>
      <c r="AT223">
        <v>-128</v>
      </c>
      <c r="BB223" t="str">
        <f t="shared" si="19"/>
        <v>1200</v>
      </c>
      <c r="BC223">
        <v>1</v>
      </c>
      <c r="BD223" t="str">
        <f t="shared" si="20"/>
        <v xml:space="preserve">N445JS  </v>
      </c>
      <c r="BE223">
        <v>7</v>
      </c>
      <c r="BG223">
        <v>0</v>
      </c>
      <c r="BH223">
        <v>0</v>
      </c>
      <c r="BI223">
        <v>0</v>
      </c>
      <c r="BJ223">
        <v>3150</v>
      </c>
      <c r="BK223">
        <v>-150</v>
      </c>
      <c r="BL223" t="s">
        <v>132</v>
      </c>
      <c r="BM223">
        <v>1</v>
      </c>
      <c r="BN223">
        <v>1</v>
      </c>
      <c r="BO223">
        <v>1</v>
      </c>
      <c r="BP223">
        <v>0</v>
      </c>
      <c r="BT223">
        <v>0</v>
      </c>
      <c r="BU223">
        <v>0</v>
      </c>
      <c r="CE223" t="str">
        <f>"15:38:26.618"</f>
        <v>15:38:26.618</v>
      </c>
      <c r="CF223">
        <v>617749387</v>
      </c>
      <c r="CS223">
        <v>0</v>
      </c>
      <c r="CT223">
        <v>2</v>
      </c>
      <c r="CU223">
        <v>0</v>
      </c>
      <c r="CV223">
        <v>2</v>
      </c>
      <c r="CW223">
        <v>0</v>
      </c>
      <c r="CX223">
        <v>7</v>
      </c>
      <c r="CY223">
        <v>7</v>
      </c>
      <c r="CZ223" t="s">
        <v>133</v>
      </c>
      <c r="DA223">
        <v>125</v>
      </c>
      <c r="DB223">
        <v>1</v>
      </c>
      <c r="DC223" t="s">
        <v>134</v>
      </c>
      <c r="DD223" t="s">
        <v>135</v>
      </c>
      <c r="DG223">
        <v>2496807</v>
      </c>
      <c r="DI223">
        <v>0</v>
      </c>
      <c r="DJ223">
        <v>0</v>
      </c>
      <c r="DK223">
        <v>1</v>
      </c>
      <c r="DL223">
        <v>0</v>
      </c>
      <c r="DM223">
        <v>0</v>
      </c>
      <c r="DN223">
        <v>0</v>
      </c>
      <c r="DO223">
        <v>0</v>
      </c>
      <c r="DP223">
        <v>0</v>
      </c>
      <c r="DQ223">
        <v>0</v>
      </c>
      <c r="DR223">
        <v>0</v>
      </c>
      <c r="DS223">
        <v>0</v>
      </c>
    </row>
    <row r="224" spans="1:123" x14ac:dyDescent="0.25">
      <c r="A224" t="str">
        <f>"04/17/2026 15:38:26.894"</f>
        <v>04/17/2026 15:38:26.894</v>
      </c>
      <c r="C224" t="str">
        <f t="shared" si="17"/>
        <v>FFDFD3C0</v>
      </c>
      <c r="D224" t="s">
        <v>124</v>
      </c>
      <c r="E224" t="str">
        <f>"03"</f>
        <v>03</v>
      </c>
      <c r="H224">
        <v>160</v>
      </c>
      <c r="I224" t="s">
        <v>125</v>
      </c>
      <c r="J224" t="s">
        <v>126</v>
      </c>
      <c r="K224">
        <v>0</v>
      </c>
      <c r="L224">
        <v>3</v>
      </c>
      <c r="M224">
        <v>0</v>
      </c>
      <c r="N224">
        <v>2</v>
      </c>
      <c r="O224">
        <v>1</v>
      </c>
      <c r="P224">
        <v>0</v>
      </c>
      <c r="Q224">
        <v>0</v>
      </c>
      <c r="R224" t="s">
        <v>127</v>
      </c>
      <c r="S224" t="str">
        <f>"15:38:26.617"</f>
        <v>15:38:26.617</v>
      </c>
      <c r="T224" t="str">
        <f>"15:38:26.417"</f>
        <v>15:38:26.417</v>
      </c>
      <c r="U224" t="str">
        <f t="shared" si="18"/>
        <v>A55E09</v>
      </c>
      <c r="V224">
        <v>0</v>
      </c>
      <c r="W224">
        <v>0</v>
      </c>
      <c r="X224">
        <v>2</v>
      </c>
      <c r="Y224">
        <v>0</v>
      </c>
      <c r="AA224">
        <v>0</v>
      </c>
      <c r="AB224">
        <v>9</v>
      </c>
      <c r="AC224">
        <v>3</v>
      </c>
      <c r="AD224">
        <v>0</v>
      </c>
      <c r="AE224">
        <v>9</v>
      </c>
      <c r="AF224" t="s">
        <v>128</v>
      </c>
      <c r="AG224">
        <v>0</v>
      </c>
      <c r="AH224">
        <v>0</v>
      </c>
      <c r="AI224">
        <v>1</v>
      </c>
      <c r="AJ224">
        <v>0</v>
      </c>
      <c r="AK224" t="s">
        <v>244</v>
      </c>
      <c r="AL224">
        <v>33.675519999999999</v>
      </c>
      <c r="AM224" t="s">
        <v>245</v>
      </c>
      <c r="AN224">
        <v>-101.204767</v>
      </c>
      <c r="AO224">
        <v>100</v>
      </c>
      <c r="AP224">
        <v>3300</v>
      </c>
      <c r="AQ224" t="s">
        <v>131</v>
      </c>
      <c r="AR224">
        <v>-23</v>
      </c>
      <c r="AS224">
        <v>70</v>
      </c>
      <c r="AT224">
        <v>-128</v>
      </c>
      <c r="BB224" t="str">
        <f t="shared" si="19"/>
        <v>1200</v>
      </c>
      <c r="BC224">
        <v>1</v>
      </c>
      <c r="BD224" t="str">
        <f t="shared" si="20"/>
        <v xml:space="preserve">N445JS  </v>
      </c>
      <c r="BE224">
        <v>7</v>
      </c>
      <c r="BG224">
        <v>0</v>
      </c>
      <c r="BH224">
        <v>0</v>
      </c>
      <c r="BI224">
        <v>0</v>
      </c>
      <c r="BJ224">
        <v>3150</v>
      </c>
      <c r="BK224">
        <v>-150</v>
      </c>
      <c r="BL224" t="s">
        <v>132</v>
      </c>
      <c r="BM224">
        <v>1</v>
      </c>
      <c r="BN224">
        <v>1</v>
      </c>
      <c r="BO224">
        <v>1</v>
      </c>
      <c r="BP224">
        <v>0</v>
      </c>
      <c r="BT224">
        <v>0</v>
      </c>
      <c r="BU224">
        <v>0</v>
      </c>
      <c r="CE224" t="str">
        <f>"15:38:26.618"</f>
        <v>15:38:26.618</v>
      </c>
      <c r="CF224">
        <v>617749387</v>
      </c>
      <c r="CS224">
        <v>0</v>
      </c>
      <c r="CT224">
        <v>2</v>
      </c>
      <c r="CU224">
        <v>0</v>
      </c>
      <c r="CV224">
        <v>2</v>
      </c>
      <c r="CW224">
        <v>0</v>
      </c>
      <c r="CX224">
        <v>7</v>
      </c>
      <c r="CY224">
        <v>7</v>
      </c>
      <c r="CZ224" t="s">
        <v>133</v>
      </c>
      <c r="DA224">
        <v>125</v>
      </c>
      <c r="DB224">
        <v>1</v>
      </c>
      <c r="DC224" t="s">
        <v>134</v>
      </c>
      <c r="DD224" t="s">
        <v>135</v>
      </c>
      <c r="DG224">
        <v>2496807</v>
      </c>
      <c r="DI224">
        <v>0</v>
      </c>
      <c r="DJ224">
        <v>0</v>
      </c>
      <c r="DK224">
        <v>1</v>
      </c>
      <c r="DL224">
        <v>0</v>
      </c>
      <c r="DM224">
        <v>0</v>
      </c>
      <c r="DN224">
        <v>0</v>
      </c>
      <c r="DO224">
        <v>0</v>
      </c>
      <c r="DP224">
        <v>0</v>
      </c>
      <c r="DQ224">
        <v>0</v>
      </c>
      <c r="DR224">
        <v>0</v>
      </c>
      <c r="DS224">
        <v>0</v>
      </c>
    </row>
    <row r="225" spans="1:123" x14ac:dyDescent="0.25">
      <c r="A225" t="str">
        <f>"04/17/2026 15:38:26.919"</f>
        <v>04/17/2026 15:38:26.919</v>
      </c>
      <c r="C225" t="str">
        <f t="shared" si="17"/>
        <v>FFDFD3C0</v>
      </c>
      <c r="D225" t="s">
        <v>139</v>
      </c>
      <c r="E225" t="str">
        <f>"28"</f>
        <v>28</v>
      </c>
      <c r="H225">
        <v>140</v>
      </c>
      <c r="I225" t="s">
        <v>140</v>
      </c>
      <c r="J225" t="s">
        <v>141</v>
      </c>
      <c r="K225">
        <v>0</v>
      </c>
      <c r="L225">
        <v>3</v>
      </c>
      <c r="M225">
        <v>0</v>
      </c>
      <c r="N225">
        <v>2</v>
      </c>
      <c r="O225">
        <v>1</v>
      </c>
      <c r="P225">
        <v>0</v>
      </c>
      <c r="Q225">
        <v>0</v>
      </c>
      <c r="R225" t="s">
        <v>127</v>
      </c>
      <c r="S225" t="str">
        <f>"15:38:26.617"</f>
        <v>15:38:26.617</v>
      </c>
      <c r="T225" t="str">
        <f>"15:38:26.417"</f>
        <v>15:38:26.417</v>
      </c>
      <c r="U225" t="str">
        <f t="shared" si="18"/>
        <v>A55E09</v>
      </c>
      <c r="V225">
        <v>0</v>
      </c>
      <c r="W225">
        <v>0</v>
      </c>
      <c r="X225">
        <v>2</v>
      </c>
      <c r="Y225">
        <v>0</v>
      </c>
      <c r="AA225">
        <v>0</v>
      </c>
      <c r="AB225">
        <v>9</v>
      </c>
      <c r="AC225">
        <v>3</v>
      </c>
      <c r="AD225">
        <v>0</v>
      </c>
      <c r="AE225">
        <v>9</v>
      </c>
      <c r="AF225" t="s">
        <v>128</v>
      </c>
      <c r="AG225">
        <v>0</v>
      </c>
      <c r="AH225">
        <v>0</v>
      </c>
      <c r="AI225">
        <v>1</v>
      </c>
      <c r="AJ225">
        <v>0</v>
      </c>
      <c r="AK225" t="s">
        <v>244</v>
      </c>
      <c r="AL225">
        <v>33.675519999999999</v>
      </c>
      <c r="AM225" t="s">
        <v>245</v>
      </c>
      <c r="AN225">
        <v>-101.204767</v>
      </c>
      <c r="AO225">
        <v>100</v>
      </c>
      <c r="AP225">
        <v>3300</v>
      </c>
      <c r="AQ225" t="s">
        <v>131</v>
      </c>
      <c r="AR225">
        <v>-23</v>
      </c>
      <c r="AS225">
        <v>70</v>
      </c>
      <c r="AT225">
        <v>-128</v>
      </c>
      <c r="BB225" t="str">
        <f t="shared" si="19"/>
        <v>1200</v>
      </c>
      <c r="BC225">
        <v>1</v>
      </c>
      <c r="BD225" t="str">
        <f t="shared" si="20"/>
        <v xml:space="preserve">N445JS  </v>
      </c>
      <c r="BE225">
        <v>7</v>
      </c>
      <c r="BG225">
        <v>0</v>
      </c>
      <c r="BH225">
        <v>0</v>
      </c>
      <c r="BI225">
        <v>0</v>
      </c>
      <c r="BJ225">
        <v>3150</v>
      </c>
      <c r="BK225">
        <v>-150</v>
      </c>
      <c r="BL225" t="s">
        <v>132</v>
      </c>
      <c r="BM225">
        <v>1</v>
      </c>
      <c r="BN225">
        <v>1</v>
      </c>
      <c r="BO225">
        <v>1</v>
      </c>
      <c r="BP225">
        <v>0</v>
      </c>
      <c r="BT225">
        <v>0</v>
      </c>
      <c r="BU225">
        <v>0</v>
      </c>
      <c r="CE225" t="str">
        <f>"15:38:26.618"</f>
        <v>15:38:26.618</v>
      </c>
      <c r="CF225">
        <v>617749387</v>
      </c>
      <c r="CS225">
        <v>0</v>
      </c>
      <c r="CT225">
        <v>2</v>
      </c>
      <c r="CU225">
        <v>0</v>
      </c>
      <c r="CV225">
        <v>2</v>
      </c>
      <c r="CW225">
        <v>0</v>
      </c>
      <c r="CX225">
        <v>7</v>
      </c>
      <c r="CY225">
        <v>7</v>
      </c>
      <c r="CZ225" t="s">
        <v>133</v>
      </c>
      <c r="DA225">
        <v>125</v>
      </c>
      <c r="DB225">
        <v>1</v>
      </c>
      <c r="DC225" t="s">
        <v>134</v>
      </c>
      <c r="DD225" t="s">
        <v>135</v>
      </c>
      <c r="DG225">
        <v>2496807</v>
      </c>
      <c r="DI225">
        <v>0</v>
      </c>
      <c r="DJ225">
        <v>0</v>
      </c>
      <c r="DK225">
        <v>1</v>
      </c>
      <c r="DL225">
        <v>0</v>
      </c>
      <c r="DM225">
        <v>0</v>
      </c>
      <c r="DN225">
        <v>0</v>
      </c>
      <c r="DO225">
        <v>0</v>
      </c>
      <c r="DP225">
        <v>0</v>
      </c>
      <c r="DQ225">
        <v>0</v>
      </c>
      <c r="DR225">
        <v>0</v>
      </c>
      <c r="DS225">
        <v>0</v>
      </c>
    </row>
    <row r="226" spans="1:123" x14ac:dyDescent="0.25">
      <c r="A226" t="str">
        <f>"04/17/2026 15:38:28.421"</f>
        <v>04/17/2026 15:38:28.421</v>
      </c>
      <c r="C226" t="str">
        <f t="shared" si="17"/>
        <v>FFDFD3C0</v>
      </c>
      <c r="D226" t="s">
        <v>139</v>
      </c>
      <c r="E226" t="str">
        <f>"28"</f>
        <v>28</v>
      </c>
      <c r="H226">
        <v>140</v>
      </c>
      <c r="I226" t="s">
        <v>140</v>
      </c>
      <c r="J226" t="s">
        <v>141</v>
      </c>
      <c r="K226">
        <v>0</v>
      </c>
      <c r="L226">
        <v>3</v>
      </c>
      <c r="M226">
        <v>0</v>
      </c>
      <c r="N226">
        <v>2</v>
      </c>
      <c r="O226">
        <v>1</v>
      </c>
      <c r="P226">
        <v>0</v>
      </c>
      <c r="Q226">
        <v>0</v>
      </c>
      <c r="R226" t="s">
        <v>127</v>
      </c>
      <c r="S226" t="str">
        <f>"15:38:28.188"</f>
        <v>15:38:28.188</v>
      </c>
      <c r="T226" t="str">
        <f>"15:38:27.888"</f>
        <v>15:38:27.888</v>
      </c>
      <c r="U226" t="str">
        <f t="shared" si="18"/>
        <v>A55E09</v>
      </c>
      <c r="V226">
        <v>0</v>
      </c>
      <c r="W226">
        <v>0</v>
      </c>
      <c r="X226">
        <v>2</v>
      </c>
      <c r="Y226">
        <v>0</v>
      </c>
      <c r="AA226">
        <v>0</v>
      </c>
      <c r="AB226">
        <v>9</v>
      </c>
      <c r="AC226">
        <v>3</v>
      </c>
      <c r="AD226">
        <v>0</v>
      </c>
      <c r="AE226">
        <v>9</v>
      </c>
      <c r="AF226" t="s">
        <v>128</v>
      </c>
      <c r="AG226">
        <v>0</v>
      </c>
      <c r="AH226">
        <v>0</v>
      </c>
      <c r="AI226">
        <v>1</v>
      </c>
      <c r="AJ226">
        <v>0</v>
      </c>
      <c r="AK226" t="s">
        <v>246</v>
      </c>
      <c r="AL226">
        <v>33.676034999999999</v>
      </c>
      <c r="AM226" t="s">
        <v>247</v>
      </c>
      <c r="AN226">
        <v>-101.204939</v>
      </c>
      <c r="AO226">
        <v>100</v>
      </c>
      <c r="AP226">
        <v>3300</v>
      </c>
      <c r="AQ226" t="s">
        <v>131</v>
      </c>
      <c r="AR226">
        <v>-22</v>
      </c>
      <c r="AS226">
        <v>71</v>
      </c>
      <c r="AT226">
        <v>-64</v>
      </c>
      <c r="BB226" t="str">
        <f t="shared" si="19"/>
        <v>1200</v>
      </c>
      <c r="BC226">
        <v>1</v>
      </c>
      <c r="BD226" t="str">
        <f t="shared" si="20"/>
        <v xml:space="preserve">N445JS  </v>
      </c>
      <c r="BE226">
        <v>7</v>
      </c>
      <c r="BG226">
        <v>0</v>
      </c>
      <c r="BH226">
        <v>0</v>
      </c>
      <c r="BI226">
        <v>0</v>
      </c>
      <c r="BJ226">
        <v>3125</v>
      </c>
      <c r="BK226">
        <v>-175</v>
      </c>
      <c r="BL226" t="s">
        <v>132</v>
      </c>
      <c r="BM226">
        <v>1</v>
      </c>
      <c r="BN226">
        <v>1</v>
      </c>
      <c r="BO226">
        <v>1</v>
      </c>
      <c r="BP226">
        <v>0</v>
      </c>
      <c r="BT226">
        <v>0</v>
      </c>
      <c r="BU226">
        <v>0</v>
      </c>
      <c r="CE226" t="str">
        <f>"15:38:28.193"</f>
        <v>15:38:28.193</v>
      </c>
      <c r="CF226">
        <v>192595000</v>
      </c>
      <c r="CS226">
        <v>0</v>
      </c>
      <c r="CT226">
        <v>2</v>
      </c>
      <c r="CU226">
        <v>0</v>
      </c>
      <c r="CV226">
        <v>2</v>
      </c>
      <c r="CW226">
        <v>0</v>
      </c>
      <c r="CX226">
        <v>7</v>
      </c>
      <c r="CY226">
        <v>7</v>
      </c>
      <c r="CZ226" t="s">
        <v>133</v>
      </c>
      <c r="DA226">
        <v>125</v>
      </c>
      <c r="DB226">
        <v>1</v>
      </c>
      <c r="DC226" t="s">
        <v>134</v>
      </c>
      <c r="DD226" t="s">
        <v>135</v>
      </c>
      <c r="DG226">
        <v>2498383</v>
      </c>
      <c r="DI226">
        <v>0</v>
      </c>
      <c r="DJ226">
        <v>0</v>
      </c>
      <c r="DK226">
        <v>0</v>
      </c>
      <c r="DL226">
        <v>0</v>
      </c>
      <c r="DM226">
        <v>0</v>
      </c>
      <c r="DN226">
        <v>0</v>
      </c>
      <c r="DO226">
        <v>0</v>
      </c>
      <c r="DP226">
        <v>0</v>
      </c>
      <c r="DQ226">
        <v>0</v>
      </c>
      <c r="DR226">
        <v>0</v>
      </c>
      <c r="DS226">
        <v>0</v>
      </c>
    </row>
    <row r="227" spans="1:123" x14ac:dyDescent="0.25">
      <c r="A227" t="str">
        <f>"04/17/2026 15:38:28.443"</f>
        <v>04/17/2026 15:38:28.443</v>
      </c>
      <c r="C227" t="str">
        <f t="shared" si="17"/>
        <v>FFDFD3C0</v>
      </c>
      <c r="D227" t="s">
        <v>136</v>
      </c>
      <c r="E227" t="str">
        <f>"0E"</f>
        <v>0E</v>
      </c>
      <c r="F227">
        <v>1014</v>
      </c>
      <c r="G227" t="s">
        <v>125</v>
      </c>
      <c r="J227" t="s">
        <v>137</v>
      </c>
      <c r="K227">
        <v>0</v>
      </c>
      <c r="L227">
        <v>3</v>
      </c>
      <c r="M227">
        <v>0</v>
      </c>
      <c r="N227">
        <v>2</v>
      </c>
      <c r="O227">
        <v>1</v>
      </c>
      <c r="P227">
        <v>0</v>
      </c>
      <c r="Q227">
        <v>0</v>
      </c>
      <c r="R227" t="s">
        <v>127</v>
      </c>
      <c r="S227" t="str">
        <f>"15:38:28.188"</f>
        <v>15:38:28.188</v>
      </c>
      <c r="T227" t="str">
        <f>"15:38:27.888"</f>
        <v>15:38:27.888</v>
      </c>
      <c r="U227" t="str">
        <f t="shared" si="18"/>
        <v>A55E09</v>
      </c>
      <c r="V227">
        <v>0</v>
      </c>
      <c r="W227">
        <v>0</v>
      </c>
      <c r="X227">
        <v>2</v>
      </c>
      <c r="Y227">
        <v>0</v>
      </c>
      <c r="AA227">
        <v>0</v>
      </c>
      <c r="AB227">
        <v>9</v>
      </c>
      <c r="AC227">
        <v>3</v>
      </c>
      <c r="AD227">
        <v>0</v>
      </c>
      <c r="AE227">
        <v>9</v>
      </c>
      <c r="AF227" t="s">
        <v>128</v>
      </c>
      <c r="AG227">
        <v>0</v>
      </c>
      <c r="AH227">
        <v>0</v>
      </c>
      <c r="AI227">
        <v>1</v>
      </c>
      <c r="AJ227">
        <v>0</v>
      </c>
      <c r="AK227" t="s">
        <v>246</v>
      </c>
      <c r="AL227">
        <v>33.676034999999999</v>
      </c>
      <c r="AM227" t="s">
        <v>247</v>
      </c>
      <c r="AN227">
        <v>-101.204939</v>
      </c>
      <c r="AO227">
        <v>100</v>
      </c>
      <c r="AP227">
        <v>3300</v>
      </c>
      <c r="AQ227" t="s">
        <v>131</v>
      </c>
      <c r="AR227">
        <v>-22</v>
      </c>
      <c r="AS227">
        <v>71</v>
      </c>
      <c r="AT227">
        <v>-64</v>
      </c>
      <c r="BB227" t="str">
        <f t="shared" si="19"/>
        <v>1200</v>
      </c>
      <c r="BC227">
        <v>1</v>
      </c>
      <c r="BD227" t="str">
        <f t="shared" si="20"/>
        <v xml:space="preserve">N445JS  </v>
      </c>
      <c r="BE227">
        <v>7</v>
      </c>
      <c r="BG227">
        <v>0</v>
      </c>
      <c r="BH227">
        <v>0</v>
      </c>
      <c r="BI227">
        <v>0</v>
      </c>
      <c r="BJ227">
        <v>3125</v>
      </c>
      <c r="BK227">
        <v>-175</v>
      </c>
      <c r="BL227" t="s">
        <v>132</v>
      </c>
      <c r="BM227">
        <v>1</v>
      </c>
      <c r="BN227">
        <v>1</v>
      </c>
      <c r="BO227">
        <v>1</v>
      </c>
      <c r="BP227">
        <v>0</v>
      </c>
      <c r="BT227">
        <v>0</v>
      </c>
      <c r="BU227">
        <v>0</v>
      </c>
      <c r="CE227" t="str">
        <f>"15:38:28.193"</f>
        <v>15:38:28.193</v>
      </c>
      <c r="CF227">
        <v>192595000</v>
      </c>
      <c r="CS227">
        <v>0</v>
      </c>
      <c r="CT227">
        <v>2</v>
      </c>
      <c r="CU227">
        <v>0</v>
      </c>
      <c r="CV227">
        <v>2</v>
      </c>
      <c r="CW227">
        <v>0</v>
      </c>
      <c r="CX227">
        <v>7</v>
      </c>
      <c r="CY227">
        <v>7</v>
      </c>
      <c r="CZ227" t="s">
        <v>133</v>
      </c>
      <c r="DA227">
        <v>125</v>
      </c>
      <c r="DB227">
        <v>1</v>
      </c>
      <c r="DC227" t="s">
        <v>134</v>
      </c>
      <c r="DD227" t="s">
        <v>135</v>
      </c>
      <c r="DG227">
        <v>2498383</v>
      </c>
      <c r="DI227">
        <v>0</v>
      </c>
      <c r="DJ227">
        <v>0</v>
      </c>
      <c r="DK227">
        <v>1</v>
      </c>
      <c r="DL227">
        <v>0</v>
      </c>
      <c r="DM227">
        <v>0</v>
      </c>
      <c r="DN227">
        <v>0</v>
      </c>
      <c r="DO227">
        <v>0</v>
      </c>
      <c r="DP227">
        <v>0</v>
      </c>
      <c r="DQ227">
        <v>0</v>
      </c>
      <c r="DR227">
        <v>0</v>
      </c>
      <c r="DS227">
        <v>0</v>
      </c>
    </row>
    <row r="228" spans="1:123" x14ac:dyDescent="0.25">
      <c r="A228" t="str">
        <f>"04/17/2026 15:38:28.444"</f>
        <v>04/17/2026 15:38:28.444</v>
      </c>
      <c r="C228" t="str">
        <f t="shared" si="17"/>
        <v>FFDFD3C0</v>
      </c>
      <c r="D228" t="s">
        <v>136</v>
      </c>
      <c r="E228" t="str">
        <f>"0F"</f>
        <v>0F</v>
      </c>
      <c r="F228">
        <v>1015</v>
      </c>
      <c r="G228" t="s">
        <v>138</v>
      </c>
      <c r="J228" t="s">
        <v>137</v>
      </c>
      <c r="K228">
        <v>0</v>
      </c>
      <c r="L228">
        <v>3</v>
      </c>
      <c r="M228">
        <v>0</v>
      </c>
      <c r="N228">
        <v>2</v>
      </c>
      <c r="O228">
        <v>1</v>
      </c>
      <c r="P228">
        <v>0</v>
      </c>
      <c r="Q228">
        <v>0</v>
      </c>
      <c r="R228" t="s">
        <v>127</v>
      </c>
      <c r="S228" t="str">
        <f>"15:38:28.188"</f>
        <v>15:38:28.188</v>
      </c>
      <c r="T228" t="str">
        <f>"15:38:27.888"</f>
        <v>15:38:27.888</v>
      </c>
      <c r="U228" t="str">
        <f t="shared" si="18"/>
        <v>A55E09</v>
      </c>
      <c r="V228">
        <v>0</v>
      </c>
      <c r="W228">
        <v>0</v>
      </c>
      <c r="X228">
        <v>2</v>
      </c>
      <c r="Y228">
        <v>0</v>
      </c>
      <c r="AA228">
        <v>0</v>
      </c>
      <c r="AB228">
        <v>9</v>
      </c>
      <c r="AC228">
        <v>3</v>
      </c>
      <c r="AD228">
        <v>0</v>
      </c>
      <c r="AE228">
        <v>9</v>
      </c>
      <c r="AF228" t="s">
        <v>128</v>
      </c>
      <c r="AG228">
        <v>0</v>
      </c>
      <c r="AH228">
        <v>0</v>
      </c>
      <c r="AI228">
        <v>1</v>
      </c>
      <c r="AJ228">
        <v>0</v>
      </c>
      <c r="AK228" t="s">
        <v>246</v>
      </c>
      <c r="AL228">
        <v>33.676034999999999</v>
      </c>
      <c r="AM228" t="s">
        <v>247</v>
      </c>
      <c r="AN228">
        <v>-101.204939</v>
      </c>
      <c r="AO228">
        <v>100</v>
      </c>
      <c r="AP228">
        <v>3300</v>
      </c>
      <c r="AQ228" t="s">
        <v>131</v>
      </c>
      <c r="AR228">
        <v>-22</v>
      </c>
      <c r="AS228">
        <v>71</v>
      </c>
      <c r="AT228">
        <v>-64</v>
      </c>
      <c r="BB228" t="str">
        <f t="shared" si="19"/>
        <v>1200</v>
      </c>
      <c r="BC228">
        <v>1</v>
      </c>
      <c r="BD228" t="str">
        <f t="shared" si="20"/>
        <v xml:space="preserve">N445JS  </v>
      </c>
      <c r="BE228">
        <v>7</v>
      </c>
      <c r="BG228">
        <v>0</v>
      </c>
      <c r="BH228">
        <v>0</v>
      </c>
      <c r="BI228">
        <v>0</v>
      </c>
      <c r="BJ228">
        <v>3125</v>
      </c>
      <c r="BK228">
        <v>-175</v>
      </c>
      <c r="BL228" t="s">
        <v>132</v>
      </c>
      <c r="BM228">
        <v>1</v>
      </c>
      <c r="BN228">
        <v>1</v>
      </c>
      <c r="BO228">
        <v>1</v>
      </c>
      <c r="BP228">
        <v>0</v>
      </c>
      <c r="BT228">
        <v>0</v>
      </c>
      <c r="BU228">
        <v>0</v>
      </c>
      <c r="CE228" t="str">
        <f>"15:38:28.193"</f>
        <v>15:38:28.193</v>
      </c>
      <c r="CF228">
        <v>192595000</v>
      </c>
      <c r="CS228">
        <v>0</v>
      </c>
      <c r="CT228">
        <v>2</v>
      </c>
      <c r="CU228">
        <v>0</v>
      </c>
      <c r="CV228">
        <v>2</v>
      </c>
      <c r="CW228">
        <v>0</v>
      </c>
      <c r="CX228">
        <v>7</v>
      </c>
      <c r="CY228">
        <v>7</v>
      </c>
      <c r="CZ228" t="s">
        <v>133</v>
      </c>
      <c r="DA228">
        <v>125</v>
      </c>
      <c r="DB228">
        <v>1</v>
      </c>
      <c r="DC228" t="s">
        <v>134</v>
      </c>
      <c r="DD228" t="s">
        <v>135</v>
      </c>
      <c r="DG228">
        <v>2498383</v>
      </c>
      <c r="DI228">
        <v>0</v>
      </c>
      <c r="DJ228">
        <v>0</v>
      </c>
      <c r="DK228">
        <v>1</v>
      </c>
      <c r="DL228">
        <v>0</v>
      </c>
      <c r="DM228">
        <v>0</v>
      </c>
      <c r="DN228">
        <v>0</v>
      </c>
      <c r="DO228">
        <v>0</v>
      </c>
      <c r="DP228">
        <v>0</v>
      </c>
      <c r="DQ228">
        <v>0</v>
      </c>
      <c r="DR228">
        <v>0</v>
      </c>
      <c r="DS228">
        <v>0</v>
      </c>
    </row>
    <row r="229" spans="1:123" x14ac:dyDescent="0.25">
      <c r="A229" t="str">
        <f>"04/17/2026 15:38:28.447"</f>
        <v>04/17/2026 15:38:28.447</v>
      </c>
      <c r="C229" t="str">
        <f t="shared" si="17"/>
        <v>FFDFD3C0</v>
      </c>
      <c r="D229" t="s">
        <v>124</v>
      </c>
      <c r="E229" t="str">
        <f>"03"</f>
        <v>03</v>
      </c>
      <c r="H229">
        <v>160</v>
      </c>
      <c r="I229" t="s">
        <v>125</v>
      </c>
      <c r="J229" t="s">
        <v>126</v>
      </c>
      <c r="K229">
        <v>0</v>
      </c>
      <c r="L229">
        <v>3</v>
      </c>
      <c r="M229">
        <v>0</v>
      </c>
      <c r="N229">
        <v>2</v>
      </c>
      <c r="O229">
        <v>1</v>
      </c>
      <c r="P229">
        <v>0</v>
      </c>
      <c r="Q229">
        <v>0</v>
      </c>
      <c r="R229" t="s">
        <v>127</v>
      </c>
      <c r="S229" t="str">
        <f>"15:38:28.188"</f>
        <v>15:38:28.188</v>
      </c>
      <c r="T229" t="str">
        <f>"15:38:27.888"</f>
        <v>15:38:27.888</v>
      </c>
      <c r="U229" t="str">
        <f t="shared" si="18"/>
        <v>A55E09</v>
      </c>
      <c r="V229">
        <v>0</v>
      </c>
      <c r="W229">
        <v>0</v>
      </c>
      <c r="X229">
        <v>2</v>
      </c>
      <c r="Y229">
        <v>0</v>
      </c>
      <c r="AA229">
        <v>0</v>
      </c>
      <c r="AB229">
        <v>9</v>
      </c>
      <c r="AC229">
        <v>3</v>
      </c>
      <c r="AD229">
        <v>0</v>
      </c>
      <c r="AE229">
        <v>9</v>
      </c>
      <c r="AF229" t="s">
        <v>128</v>
      </c>
      <c r="AG229">
        <v>0</v>
      </c>
      <c r="AH229">
        <v>0</v>
      </c>
      <c r="AI229">
        <v>1</v>
      </c>
      <c r="AJ229">
        <v>0</v>
      </c>
      <c r="AK229" t="s">
        <v>246</v>
      </c>
      <c r="AL229">
        <v>33.676034999999999</v>
      </c>
      <c r="AM229" t="s">
        <v>247</v>
      </c>
      <c r="AN229">
        <v>-101.204939</v>
      </c>
      <c r="AO229">
        <v>100</v>
      </c>
      <c r="AP229">
        <v>3300</v>
      </c>
      <c r="AQ229" t="s">
        <v>131</v>
      </c>
      <c r="AR229">
        <v>-22</v>
      </c>
      <c r="AS229">
        <v>71</v>
      </c>
      <c r="AT229">
        <v>-64</v>
      </c>
      <c r="BB229" t="str">
        <f t="shared" si="19"/>
        <v>1200</v>
      </c>
      <c r="BC229">
        <v>1</v>
      </c>
      <c r="BD229" t="str">
        <f t="shared" si="20"/>
        <v xml:space="preserve">N445JS  </v>
      </c>
      <c r="BE229">
        <v>7</v>
      </c>
      <c r="BG229">
        <v>0</v>
      </c>
      <c r="BH229">
        <v>0</v>
      </c>
      <c r="BI229">
        <v>0</v>
      </c>
      <c r="BJ229">
        <v>3125</v>
      </c>
      <c r="BK229">
        <v>-175</v>
      </c>
      <c r="BL229" t="s">
        <v>132</v>
      </c>
      <c r="BM229">
        <v>1</v>
      </c>
      <c r="BN229">
        <v>1</v>
      </c>
      <c r="BO229">
        <v>1</v>
      </c>
      <c r="BP229">
        <v>0</v>
      </c>
      <c r="BT229">
        <v>0</v>
      </c>
      <c r="BU229">
        <v>0</v>
      </c>
      <c r="CE229" t="str">
        <f>"15:38:28.193"</f>
        <v>15:38:28.193</v>
      </c>
      <c r="CF229">
        <v>192595000</v>
      </c>
      <c r="CS229">
        <v>0</v>
      </c>
      <c r="CT229">
        <v>2</v>
      </c>
      <c r="CU229">
        <v>0</v>
      </c>
      <c r="CV229">
        <v>2</v>
      </c>
      <c r="CW229">
        <v>0</v>
      </c>
      <c r="CX229">
        <v>7</v>
      </c>
      <c r="CY229">
        <v>7</v>
      </c>
      <c r="CZ229" t="s">
        <v>133</v>
      </c>
      <c r="DA229">
        <v>125</v>
      </c>
      <c r="DB229">
        <v>1</v>
      </c>
      <c r="DC229" t="s">
        <v>134</v>
      </c>
      <c r="DD229" t="s">
        <v>135</v>
      </c>
      <c r="DG229">
        <v>2498383</v>
      </c>
      <c r="DI229">
        <v>0</v>
      </c>
      <c r="DJ229">
        <v>0</v>
      </c>
      <c r="DK229">
        <v>1</v>
      </c>
      <c r="DL229">
        <v>0</v>
      </c>
      <c r="DM229">
        <v>0</v>
      </c>
      <c r="DN229">
        <v>0</v>
      </c>
      <c r="DO229">
        <v>0</v>
      </c>
      <c r="DP229">
        <v>0</v>
      </c>
      <c r="DQ229">
        <v>0</v>
      </c>
      <c r="DR229">
        <v>0</v>
      </c>
      <c r="DS229">
        <v>0</v>
      </c>
    </row>
    <row r="230" spans="1:123" x14ac:dyDescent="0.25">
      <c r="A230" t="str">
        <f>"04/17/2026 15:38:30.045"</f>
        <v>04/17/2026 15:38:30.045</v>
      </c>
      <c r="C230" t="str">
        <f t="shared" si="17"/>
        <v>FFDFD3C0</v>
      </c>
      <c r="D230" t="s">
        <v>136</v>
      </c>
      <c r="E230" t="str">
        <f>"0E"</f>
        <v>0E</v>
      </c>
      <c r="F230">
        <v>1014</v>
      </c>
      <c r="G230" t="s">
        <v>125</v>
      </c>
      <c r="J230" t="s">
        <v>137</v>
      </c>
      <c r="K230">
        <v>0</v>
      </c>
      <c r="L230">
        <v>3</v>
      </c>
      <c r="M230">
        <v>0</v>
      </c>
      <c r="N230">
        <v>2</v>
      </c>
      <c r="O230">
        <v>1</v>
      </c>
      <c r="P230">
        <v>0</v>
      </c>
      <c r="Q230">
        <v>0</v>
      </c>
      <c r="R230" t="s">
        <v>127</v>
      </c>
      <c r="S230" t="str">
        <f>"15:38:29.781"</f>
        <v>15:38:29.781</v>
      </c>
      <c r="T230" t="str">
        <f>"15:38:29.481"</f>
        <v>15:38:29.481</v>
      </c>
      <c r="U230" t="str">
        <f t="shared" si="18"/>
        <v>A55E09</v>
      </c>
      <c r="V230">
        <v>0</v>
      </c>
      <c r="W230">
        <v>0</v>
      </c>
      <c r="X230">
        <v>2</v>
      </c>
      <c r="Y230">
        <v>0</v>
      </c>
      <c r="AA230">
        <v>0</v>
      </c>
      <c r="AB230">
        <v>9</v>
      </c>
      <c r="AC230">
        <v>3</v>
      </c>
      <c r="AD230">
        <v>0</v>
      </c>
      <c r="AE230">
        <v>9</v>
      </c>
      <c r="AF230" t="s">
        <v>128</v>
      </c>
      <c r="AG230">
        <v>0</v>
      </c>
      <c r="AH230">
        <v>0</v>
      </c>
      <c r="AI230">
        <v>1</v>
      </c>
      <c r="AJ230">
        <v>0</v>
      </c>
      <c r="AK230" t="s">
        <v>248</v>
      </c>
      <c r="AL230">
        <v>33.676572</v>
      </c>
      <c r="AM230" t="s">
        <v>249</v>
      </c>
      <c r="AN230">
        <v>-101.205153</v>
      </c>
      <c r="AO230">
        <v>100</v>
      </c>
      <c r="AP230">
        <v>3300</v>
      </c>
      <c r="AQ230" t="s">
        <v>131</v>
      </c>
      <c r="AR230">
        <v>-23</v>
      </c>
      <c r="AS230">
        <v>72</v>
      </c>
      <c r="AT230">
        <v>0</v>
      </c>
      <c r="BB230" t="str">
        <f t="shared" si="19"/>
        <v>1200</v>
      </c>
      <c r="BC230">
        <v>1</v>
      </c>
      <c r="BD230" t="str">
        <f t="shared" si="20"/>
        <v xml:space="preserve">N445JS  </v>
      </c>
      <c r="BE230">
        <v>7</v>
      </c>
      <c r="BG230">
        <v>0</v>
      </c>
      <c r="BH230">
        <v>0</v>
      </c>
      <c r="BI230">
        <v>0</v>
      </c>
      <c r="BJ230">
        <v>3125</v>
      </c>
      <c r="BK230">
        <v>-175</v>
      </c>
      <c r="BL230" t="s">
        <v>132</v>
      </c>
      <c r="BM230">
        <v>1</v>
      </c>
      <c r="BN230">
        <v>1</v>
      </c>
      <c r="BO230">
        <v>1</v>
      </c>
      <c r="BP230">
        <v>0</v>
      </c>
      <c r="BT230">
        <v>0</v>
      </c>
      <c r="BU230">
        <v>0</v>
      </c>
      <c r="CE230" t="str">
        <f>"15:38:29.782"</f>
        <v>15:38:29.782</v>
      </c>
      <c r="CF230">
        <v>782439127</v>
      </c>
      <c r="CS230">
        <v>0</v>
      </c>
      <c r="CT230">
        <v>2</v>
      </c>
      <c r="CU230">
        <v>0</v>
      </c>
      <c r="CV230">
        <v>2</v>
      </c>
      <c r="CW230">
        <v>0</v>
      </c>
      <c r="CX230">
        <v>7</v>
      </c>
      <c r="CY230">
        <v>7</v>
      </c>
      <c r="CZ230" t="s">
        <v>133</v>
      </c>
      <c r="DA230">
        <v>125</v>
      </c>
      <c r="DB230">
        <v>1</v>
      </c>
      <c r="DC230" t="s">
        <v>134</v>
      </c>
      <c r="DD230" t="s">
        <v>135</v>
      </c>
      <c r="DG230">
        <v>2499894</v>
      </c>
      <c r="DI230">
        <v>0</v>
      </c>
      <c r="DJ230">
        <v>0</v>
      </c>
      <c r="DK230">
        <v>0</v>
      </c>
      <c r="DL230">
        <v>0</v>
      </c>
      <c r="DM230">
        <v>0</v>
      </c>
      <c r="DN230">
        <v>0</v>
      </c>
      <c r="DO230">
        <v>0</v>
      </c>
      <c r="DP230">
        <v>0</v>
      </c>
      <c r="DQ230">
        <v>0</v>
      </c>
      <c r="DR230">
        <v>0</v>
      </c>
      <c r="DS230">
        <v>0</v>
      </c>
    </row>
    <row r="231" spans="1:123" x14ac:dyDescent="0.25">
      <c r="A231" t="str">
        <f>"04/17/2026 15:38:30.046"</f>
        <v>04/17/2026 15:38:30.046</v>
      </c>
      <c r="C231" t="str">
        <f t="shared" si="17"/>
        <v>FFDFD3C0</v>
      </c>
      <c r="D231" t="s">
        <v>136</v>
      </c>
      <c r="E231" t="str">
        <f>"0F"</f>
        <v>0F</v>
      </c>
      <c r="F231">
        <v>1015</v>
      </c>
      <c r="G231" t="s">
        <v>138</v>
      </c>
      <c r="J231" t="s">
        <v>137</v>
      </c>
      <c r="K231">
        <v>0</v>
      </c>
      <c r="L231">
        <v>3</v>
      </c>
      <c r="M231">
        <v>0</v>
      </c>
      <c r="N231">
        <v>2</v>
      </c>
      <c r="O231">
        <v>1</v>
      </c>
      <c r="P231">
        <v>0</v>
      </c>
      <c r="Q231">
        <v>0</v>
      </c>
      <c r="R231" t="s">
        <v>127</v>
      </c>
      <c r="S231" t="str">
        <f>"15:38:29.781"</f>
        <v>15:38:29.781</v>
      </c>
      <c r="T231" t="str">
        <f>"15:38:29.481"</f>
        <v>15:38:29.481</v>
      </c>
      <c r="U231" t="str">
        <f t="shared" si="18"/>
        <v>A55E09</v>
      </c>
      <c r="V231">
        <v>0</v>
      </c>
      <c r="W231">
        <v>0</v>
      </c>
      <c r="X231">
        <v>2</v>
      </c>
      <c r="Y231">
        <v>0</v>
      </c>
      <c r="AA231">
        <v>0</v>
      </c>
      <c r="AB231">
        <v>9</v>
      </c>
      <c r="AC231">
        <v>3</v>
      </c>
      <c r="AD231">
        <v>0</v>
      </c>
      <c r="AE231">
        <v>9</v>
      </c>
      <c r="AF231" t="s">
        <v>128</v>
      </c>
      <c r="AG231">
        <v>0</v>
      </c>
      <c r="AH231">
        <v>0</v>
      </c>
      <c r="AI231">
        <v>1</v>
      </c>
      <c r="AJ231">
        <v>0</v>
      </c>
      <c r="AK231" t="s">
        <v>248</v>
      </c>
      <c r="AL231">
        <v>33.676572</v>
      </c>
      <c r="AM231" t="s">
        <v>249</v>
      </c>
      <c r="AN231">
        <v>-101.205153</v>
      </c>
      <c r="AO231">
        <v>100</v>
      </c>
      <c r="AP231">
        <v>3300</v>
      </c>
      <c r="AQ231" t="s">
        <v>131</v>
      </c>
      <c r="AR231">
        <v>-23</v>
      </c>
      <c r="AS231">
        <v>72</v>
      </c>
      <c r="AT231">
        <v>0</v>
      </c>
      <c r="BB231" t="str">
        <f t="shared" si="19"/>
        <v>1200</v>
      </c>
      <c r="BC231">
        <v>1</v>
      </c>
      <c r="BD231" t="str">
        <f t="shared" si="20"/>
        <v xml:space="preserve">N445JS  </v>
      </c>
      <c r="BE231">
        <v>7</v>
      </c>
      <c r="BG231">
        <v>0</v>
      </c>
      <c r="BH231">
        <v>0</v>
      </c>
      <c r="BI231">
        <v>0</v>
      </c>
      <c r="BJ231">
        <v>3125</v>
      </c>
      <c r="BK231">
        <v>-175</v>
      </c>
      <c r="BL231" t="s">
        <v>132</v>
      </c>
      <c r="BM231">
        <v>1</v>
      </c>
      <c r="BN231">
        <v>1</v>
      </c>
      <c r="BO231">
        <v>1</v>
      </c>
      <c r="BP231">
        <v>0</v>
      </c>
      <c r="BT231">
        <v>0</v>
      </c>
      <c r="BU231">
        <v>0</v>
      </c>
      <c r="CE231" t="str">
        <f>"15:38:29.782"</f>
        <v>15:38:29.782</v>
      </c>
      <c r="CF231">
        <v>782439127</v>
      </c>
      <c r="CS231">
        <v>0</v>
      </c>
      <c r="CT231">
        <v>2</v>
      </c>
      <c r="CU231">
        <v>0</v>
      </c>
      <c r="CV231">
        <v>2</v>
      </c>
      <c r="CW231">
        <v>0</v>
      </c>
      <c r="CX231">
        <v>7</v>
      </c>
      <c r="CY231">
        <v>7</v>
      </c>
      <c r="CZ231" t="s">
        <v>133</v>
      </c>
      <c r="DA231">
        <v>125</v>
      </c>
      <c r="DB231">
        <v>1</v>
      </c>
      <c r="DC231" t="s">
        <v>134</v>
      </c>
      <c r="DD231" t="s">
        <v>135</v>
      </c>
      <c r="DG231">
        <v>2499894</v>
      </c>
      <c r="DI231">
        <v>0</v>
      </c>
      <c r="DJ231">
        <v>0</v>
      </c>
      <c r="DK231">
        <v>1</v>
      </c>
      <c r="DL231">
        <v>0</v>
      </c>
      <c r="DM231">
        <v>0</v>
      </c>
      <c r="DN231">
        <v>0</v>
      </c>
      <c r="DO231">
        <v>0</v>
      </c>
      <c r="DP231">
        <v>0</v>
      </c>
      <c r="DQ231">
        <v>0</v>
      </c>
      <c r="DR231">
        <v>0</v>
      </c>
      <c r="DS231">
        <v>0</v>
      </c>
    </row>
    <row r="232" spans="1:123" x14ac:dyDescent="0.25">
      <c r="A232" t="str">
        <f>"04/17/2026 15:38:30.050"</f>
        <v>04/17/2026 15:38:30.050</v>
      </c>
      <c r="C232" t="str">
        <f t="shared" si="17"/>
        <v>FFDFD3C0</v>
      </c>
      <c r="D232" t="s">
        <v>124</v>
      </c>
      <c r="E232" t="str">
        <f>"03"</f>
        <v>03</v>
      </c>
      <c r="H232">
        <v>160</v>
      </c>
      <c r="I232" t="s">
        <v>125</v>
      </c>
      <c r="J232" t="s">
        <v>126</v>
      </c>
      <c r="K232">
        <v>0</v>
      </c>
      <c r="L232">
        <v>3</v>
      </c>
      <c r="M232">
        <v>0</v>
      </c>
      <c r="N232">
        <v>2</v>
      </c>
      <c r="O232">
        <v>1</v>
      </c>
      <c r="P232">
        <v>0</v>
      </c>
      <c r="Q232">
        <v>0</v>
      </c>
      <c r="R232" t="s">
        <v>127</v>
      </c>
      <c r="S232" t="str">
        <f>"15:38:29.781"</f>
        <v>15:38:29.781</v>
      </c>
      <c r="T232" t="str">
        <f>"15:38:29.481"</f>
        <v>15:38:29.481</v>
      </c>
      <c r="U232" t="str">
        <f t="shared" si="18"/>
        <v>A55E09</v>
      </c>
      <c r="V232">
        <v>0</v>
      </c>
      <c r="W232">
        <v>0</v>
      </c>
      <c r="X232">
        <v>2</v>
      </c>
      <c r="Y232">
        <v>0</v>
      </c>
      <c r="AA232">
        <v>0</v>
      </c>
      <c r="AB232">
        <v>9</v>
      </c>
      <c r="AC232">
        <v>3</v>
      </c>
      <c r="AD232">
        <v>0</v>
      </c>
      <c r="AE232">
        <v>9</v>
      </c>
      <c r="AF232" t="s">
        <v>128</v>
      </c>
      <c r="AG232">
        <v>0</v>
      </c>
      <c r="AH232">
        <v>0</v>
      </c>
      <c r="AI232">
        <v>1</v>
      </c>
      <c r="AJ232">
        <v>0</v>
      </c>
      <c r="AK232" t="s">
        <v>248</v>
      </c>
      <c r="AL232">
        <v>33.676572</v>
      </c>
      <c r="AM232" t="s">
        <v>249</v>
      </c>
      <c r="AN232">
        <v>-101.205153</v>
      </c>
      <c r="AO232">
        <v>100</v>
      </c>
      <c r="AP232">
        <v>3300</v>
      </c>
      <c r="AQ232" t="s">
        <v>131</v>
      </c>
      <c r="AR232">
        <v>-23</v>
      </c>
      <c r="AS232">
        <v>72</v>
      </c>
      <c r="AT232">
        <v>0</v>
      </c>
      <c r="BB232" t="str">
        <f t="shared" si="19"/>
        <v>1200</v>
      </c>
      <c r="BC232">
        <v>1</v>
      </c>
      <c r="BD232" t="str">
        <f t="shared" si="20"/>
        <v xml:space="preserve">N445JS  </v>
      </c>
      <c r="BE232">
        <v>7</v>
      </c>
      <c r="BG232">
        <v>0</v>
      </c>
      <c r="BH232">
        <v>0</v>
      </c>
      <c r="BI232">
        <v>0</v>
      </c>
      <c r="BJ232">
        <v>3125</v>
      </c>
      <c r="BK232">
        <v>-175</v>
      </c>
      <c r="BL232" t="s">
        <v>132</v>
      </c>
      <c r="BM232">
        <v>1</v>
      </c>
      <c r="BN232">
        <v>1</v>
      </c>
      <c r="BO232">
        <v>1</v>
      </c>
      <c r="BP232">
        <v>0</v>
      </c>
      <c r="BT232">
        <v>0</v>
      </c>
      <c r="BU232">
        <v>0</v>
      </c>
      <c r="CE232" t="str">
        <f>"15:38:29.782"</f>
        <v>15:38:29.782</v>
      </c>
      <c r="CF232">
        <v>782439127</v>
      </c>
      <c r="CS232">
        <v>0</v>
      </c>
      <c r="CT232">
        <v>2</v>
      </c>
      <c r="CU232">
        <v>0</v>
      </c>
      <c r="CV232">
        <v>2</v>
      </c>
      <c r="CW232">
        <v>0</v>
      </c>
      <c r="CX232">
        <v>7</v>
      </c>
      <c r="CY232">
        <v>7</v>
      </c>
      <c r="CZ232" t="s">
        <v>133</v>
      </c>
      <c r="DA232">
        <v>125</v>
      </c>
      <c r="DB232">
        <v>1</v>
      </c>
      <c r="DC232" t="s">
        <v>134</v>
      </c>
      <c r="DD232" t="s">
        <v>135</v>
      </c>
      <c r="DG232">
        <v>2499894</v>
      </c>
      <c r="DI232">
        <v>0</v>
      </c>
      <c r="DJ232">
        <v>0</v>
      </c>
      <c r="DK232">
        <v>1</v>
      </c>
      <c r="DL232">
        <v>0</v>
      </c>
      <c r="DM232">
        <v>0</v>
      </c>
      <c r="DN232">
        <v>0</v>
      </c>
      <c r="DO232">
        <v>0</v>
      </c>
      <c r="DP232">
        <v>0</v>
      </c>
      <c r="DQ232">
        <v>0</v>
      </c>
      <c r="DR232">
        <v>0</v>
      </c>
      <c r="DS232">
        <v>0</v>
      </c>
    </row>
    <row r="233" spans="1:123" x14ac:dyDescent="0.25">
      <c r="A233" t="str">
        <f>"04/17/2026 15:38:30.074"</f>
        <v>04/17/2026 15:38:30.074</v>
      </c>
      <c r="C233" t="str">
        <f t="shared" si="17"/>
        <v>FFDFD3C0</v>
      </c>
      <c r="D233" t="s">
        <v>139</v>
      </c>
      <c r="E233" t="str">
        <f>"28"</f>
        <v>28</v>
      </c>
      <c r="H233">
        <v>140</v>
      </c>
      <c r="I233" t="s">
        <v>140</v>
      </c>
      <c r="J233" t="s">
        <v>141</v>
      </c>
      <c r="K233">
        <v>0</v>
      </c>
      <c r="L233">
        <v>3</v>
      </c>
      <c r="M233">
        <v>0</v>
      </c>
      <c r="N233">
        <v>2</v>
      </c>
      <c r="O233">
        <v>1</v>
      </c>
      <c r="P233">
        <v>0</v>
      </c>
      <c r="Q233">
        <v>0</v>
      </c>
      <c r="R233" t="s">
        <v>127</v>
      </c>
      <c r="S233" t="str">
        <f>"15:38:29.781"</f>
        <v>15:38:29.781</v>
      </c>
      <c r="T233" t="str">
        <f>"15:38:29.481"</f>
        <v>15:38:29.481</v>
      </c>
      <c r="U233" t="str">
        <f t="shared" si="18"/>
        <v>A55E09</v>
      </c>
      <c r="V233">
        <v>0</v>
      </c>
      <c r="W233">
        <v>0</v>
      </c>
      <c r="X233">
        <v>2</v>
      </c>
      <c r="Y233">
        <v>0</v>
      </c>
      <c r="AA233">
        <v>0</v>
      </c>
      <c r="AB233">
        <v>9</v>
      </c>
      <c r="AC233">
        <v>3</v>
      </c>
      <c r="AD233">
        <v>0</v>
      </c>
      <c r="AE233">
        <v>9</v>
      </c>
      <c r="AF233" t="s">
        <v>128</v>
      </c>
      <c r="AG233">
        <v>0</v>
      </c>
      <c r="AH233">
        <v>0</v>
      </c>
      <c r="AI233">
        <v>1</v>
      </c>
      <c r="AJ233">
        <v>0</v>
      </c>
      <c r="AK233" t="s">
        <v>248</v>
      </c>
      <c r="AL233">
        <v>33.676572</v>
      </c>
      <c r="AM233" t="s">
        <v>249</v>
      </c>
      <c r="AN233">
        <v>-101.205153</v>
      </c>
      <c r="AO233">
        <v>100</v>
      </c>
      <c r="AP233">
        <v>3300</v>
      </c>
      <c r="AQ233" t="s">
        <v>131</v>
      </c>
      <c r="AR233">
        <v>-23</v>
      </c>
      <c r="AS233">
        <v>72</v>
      </c>
      <c r="AT233">
        <v>0</v>
      </c>
      <c r="BB233" t="str">
        <f t="shared" si="19"/>
        <v>1200</v>
      </c>
      <c r="BC233">
        <v>1</v>
      </c>
      <c r="BD233" t="str">
        <f t="shared" si="20"/>
        <v xml:space="preserve">N445JS  </v>
      </c>
      <c r="BE233">
        <v>7</v>
      </c>
      <c r="BG233">
        <v>0</v>
      </c>
      <c r="BH233">
        <v>0</v>
      </c>
      <c r="BI233">
        <v>0</v>
      </c>
      <c r="BJ233">
        <v>3125</v>
      </c>
      <c r="BK233">
        <v>-175</v>
      </c>
      <c r="BL233" t="s">
        <v>132</v>
      </c>
      <c r="BM233">
        <v>1</v>
      </c>
      <c r="BN233">
        <v>1</v>
      </c>
      <c r="BO233">
        <v>1</v>
      </c>
      <c r="BP233">
        <v>0</v>
      </c>
      <c r="BT233">
        <v>0</v>
      </c>
      <c r="BU233">
        <v>0</v>
      </c>
      <c r="CE233" t="str">
        <f>"15:38:29.782"</f>
        <v>15:38:29.782</v>
      </c>
      <c r="CF233">
        <v>782439127</v>
      </c>
      <c r="CS233">
        <v>0</v>
      </c>
      <c r="CT233">
        <v>2</v>
      </c>
      <c r="CU233">
        <v>0</v>
      </c>
      <c r="CV233">
        <v>2</v>
      </c>
      <c r="CW233">
        <v>0</v>
      </c>
      <c r="CX233">
        <v>7</v>
      </c>
      <c r="CY233">
        <v>7</v>
      </c>
      <c r="CZ233" t="s">
        <v>133</v>
      </c>
      <c r="DA233">
        <v>125</v>
      </c>
      <c r="DB233">
        <v>1</v>
      </c>
      <c r="DC233" t="s">
        <v>134</v>
      </c>
      <c r="DD233" t="s">
        <v>135</v>
      </c>
      <c r="DG233">
        <v>2499894</v>
      </c>
      <c r="DI233">
        <v>0</v>
      </c>
      <c r="DJ233">
        <v>0</v>
      </c>
      <c r="DK233">
        <v>1</v>
      </c>
      <c r="DL233">
        <v>0</v>
      </c>
      <c r="DM233">
        <v>0</v>
      </c>
      <c r="DN233">
        <v>0</v>
      </c>
      <c r="DO233">
        <v>0</v>
      </c>
      <c r="DP233">
        <v>0</v>
      </c>
      <c r="DQ233">
        <v>0</v>
      </c>
      <c r="DR233">
        <v>0</v>
      </c>
      <c r="DS233">
        <v>0</v>
      </c>
    </row>
    <row r="234" spans="1:123" x14ac:dyDescent="0.25">
      <c r="A234" t="str">
        <f>"04/17/2026 15:38:30.876"</f>
        <v>04/17/2026 15:38:30.876</v>
      </c>
      <c r="C234" t="str">
        <f t="shared" si="17"/>
        <v>FFDFD3C0</v>
      </c>
      <c r="D234" t="s">
        <v>139</v>
      </c>
      <c r="E234" t="str">
        <f>"28"</f>
        <v>28</v>
      </c>
      <c r="H234">
        <v>140</v>
      </c>
      <c r="I234" t="s">
        <v>140</v>
      </c>
      <c r="J234" t="s">
        <v>141</v>
      </c>
      <c r="K234">
        <v>0</v>
      </c>
      <c r="L234">
        <v>3</v>
      </c>
      <c r="M234">
        <v>0</v>
      </c>
      <c r="N234">
        <v>2</v>
      </c>
      <c r="O234">
        <v>1</v>
      </c>
      <c r="P234">
        <v>0</v>
      </c>
      <c r="Q234">
        <v>0</v>
      </c>
      <c r="R234" t="s">
        <v>127</v>
      </c>
      <c r="S234" t="str">
        <f>"15:38:30.617"</f>
        <v>15:38:30.617</v>
      </c>
      <c r="T234" t="str">
        <f>"15:38:30.417"</f>
        <v>15:38:30.417</v>
      </c>
      <c r="U234" t="str">
        <f t="shared" si="18"/>
        <v>A55E09</v>
      </c>
      <c r="V234">
        <v>0</v>
      </c>
      <c r="W234">
        <v>0</v>
      </c>
      <c r="X234">
        <v>2</v>
      </c>
      <c r="Y234">
        <v>0</v>
      </c>
      <c r="AA234">
        <v>0</v>
      </c>
      <c r="AB234">
        <v>9</v>
      </c>
      <c r="AC234">
        <v>3</v>
      </c>
      <c r="AD234">
        <v>0</v>
      </c>
      <c r="AE234">
        <v>9</v>
      </c>
      <c r="AF234" t="s">
        <v>128</v>
      </c>
      <c r="AG234">
        <v>0</v>
      </c>
      <c r="AH234">
        <v>0</v>
      </c>
      <c r="AI234">
        <v>1</v>
      </c>
      <c r="AJ234">
        <v>0</v>
      </c>
      <c r="AK234" t="s">
        <v>250</v>
      </c>
      <c r="AL234">
        <v>33.676850999999999</v>
      </c>
      <c r="AM234" t="s">
        <v>251</v>
      </c>
      <c r="AN234">
        <v>-101.20526099999999</v>
      </c>
      <c r="AO234">
        <v>100</v>
      </c>
      <c r="AP234">
        <v>3300</v>
      </c>
      <c r="AQ234" t="s">
        <v>131</v>
      </c>
      <c r="AR234">
        <v>-24</v>
      </c>
      <c r="AS234">
        <v>73</v>
      </c>
      <c r="AT234">
        <v>-192</v>
      </c>
      <c r="BB234" t="str">
        <f t="shared" si="19"/>
        <v>1200</v>
      </c>
      <c r="BC234">
        <v>1</v>
      </c>
      <c r="BD234" t="str">
        <f t="shared" si="20"/>
        <v xml:space="preserve">N445JS  </v>
      </c>
      <c r="BE234">
        <v>7</v>
      </c>
      <c r="BG234">
        <v>0</v>
      </c>
      <c r="BH234">
        <v>0</v>
      </c>
      <c r="BI234">
        <v>0</v>
      </c>
      <c r="BJ234">
        <v>3125</v>
      </c>
      <c r="BK234">
        <v>-175</v>
      </c>
      <c r="BL234" t="s">
        <v>132</v>
      </c>
      <c r="BM234">
        <v>1</v>
      </c>
      <c r="BN234">
        <v>1</v>
      </c>
      <c r="BO234">
        <v>1</v>
      </c>
      <c r="BP234">
        <v>0</v>
      </c>
      <c r="BT234">
        <v>0</v>
      </c>
      <c r="BU234">
        <v>0</v>
      </c>
      <c r="CE234" t="str">
        <f>"15:38:30.622"</f>
        <v>15:38:30.622</v>
      </c>
      <c r="CF234">
        <v>622356762</v>
      </c>
      <c r="CS234">
        <v>0</v>
      </c>
      <c r="CT234">
        <v>2</v>
      </c>
      <c r="CU234">
        <v>0</v>
      </c>
      <c r="CV234">
        <v>2</v>
      </c>
      <c r="CW234">
        <v>0</v>
      </c>
      <c r="CX234">
        <v>7</v>
      </c>
      <c r="CY234">
        <v>7</v>
      </c>
      <c r="CZ234" t="s">
        <v>133</v>
      </c>
      <c r="DA234">
        <v>125</v>
      </c>
      <c r="DB234">
        <v>1</v>
      </c>
      <c r="DC234" t="s">
        <v>134</v>
      </c>
      <c r="DD234" t="s">
        <v>135</v>
      </c>
      <c r="DG234">
        <v>2500717</v>
      </c>
      <c r="DI234">
        <v>0</v>
      </c>
      <c r="DJ234">
        <v>0</v>
      </c>
      <c r="DK234">
        <v>0</v>
      </c>
      <c r="DL234">
        <v>0</v>
      </c>
      <c r="DM234">
        <v>0</v>
      </c>
      <c r="DN234">
        <v>0</v>
      </c>
      <c r="DO234">
        <v>0</v>
      </c>
      <c r="DP234">
        <v>0</v>
      </c>
      <c r="DQ234">
        <v>0</v>
      </c>
      <c r="DR234">
        <v>0</v>
      </c>
      <c r="DS234">
        <v>0</v>
      </c>
    </row>
    <row r="235" spans="1:123" x14ac:dyDescent="0.25">
      <c r="A235" t="str">
        <f>"04/17/2026 15:38:30.897"</f>
        <v>04/17/2026 15:38:30.897</v>
      </c>
      <c r="C235" t="str">
        <f t="shared" si="17"/>
        <v>FFDFD3C0</v>
      </c>
      <c r="D235" t="s">
        <v>136</v>
      </c>
      <c r="E235" t="str">
        <f>"0E"</f>
        <v>0E</v>
      </c>
      <c r="F235">
        <v>1014</v>
      </c>
      <c r="G235" t="s">
        <v>125</v>
      </c>
      <c r="J235" t="s">
        <v>137</v>
      </c>
      <c r="K235">
        <v>0</v>
      </c>
      <c r="L235">
        <v>3</v>
      </c>
      <c r="M235">
        <v>0</v>
      </c>
      <c r="N235">
        <v>2</v>
      </c>
      <c r="O235">
        <v>1</v>
      </c>
      <c r="P235">
        <v>0</v>
      </c>
      <c r="Q235">
        <v>0</v>
      </c>
      <c r="R235" t="s">
        <v>127</v>
      </c>
      <c r="S235" t="str">
        <f>"15:38:30.617"</f>
        <v>15:38:30.617</v>
      </c>
      <c r="T235" t="str">
        <f>"15:38:30.417"</f>
        <v>15:38:30.417</v>
      </c>
      <c r="U235" t="str">
        <f t="shared" si="18"/>
        <v>A55E09</v>
      </c>
      <c r="V235">
        <v>0</v>
      </c>
      <c r="W235">
        <v>0</v>
      </c>
      <c r="X235">
        <v>2</v>
      </c>
      <c r="Y235">
        <v>0</v>
      </c>
      <c r="AA235">
        <v>0</v>
      </c>
      <c r="AB235">
        <v>9</v>
      </c>
      <c r="AC235">
        <v>3</v>
      </c>
      <c r="AD235">
        <v>0</v>
      </c>
      <c r="AE235">
        <v>9</v>
      </c>
      <c r="AF235" t="s">
        <v>128</v>
      </c>
      <c r="AG235">
        <v>0</v>
      </c>
      <c r="AH235">
        <v>0</v>
      </c>
      <c r="AI235">
        <v>1</v>
      </c>
      <c r="AJ235">
        <v>0</v>
      </c>
      <c r="AK235" t="s">
        <v>250</v>
      </c>
      <c r="AL235">
        <v>33.676850999999999</v>
      </c>
      <c r="AM235" t="s">
        <v>251</v>
      </c>
      <c r="AN235">
        <v>-101.20526099999999</v>
      </c>
      <c r="AO235">
        <v>100</v>
      </c>
      <c r="AP235">
        <v>3300</v>
      </c>
      <c r="AQ235" t="s">
        <v>131</v>
      </c>
      <c r="AR235">
        <v>-24</v>
      </c>
      <c r="AS235">
        <v>73</v>
      </c>
      <c r="AT235">
        <v>-192</v>
      </c>
      <c r="BB235" t="str">
        <f t="shared" si="19"/>
        <v>1200</v>
      </c>
      <c r="BC235">
        <v>1</v>
      </c>
      <c r="BD235" t="str">
        <f t="shared" si="20"/>
        <v xml:space="preserve">N445JS  </v>
      </c>
      <c r="BE235">
        <v>7</v>
      </c>
      <c r="BG235">
        <v>0</v>
      </c>
      <c r="BH235">
        <v>0</v>
      </c>
      <c r="BI235">
        <v>0</v>
      </c>
      <c r="BJ235">
        <v>3125</v>
      </c>
      <c r="BK235">
        <v>-175</v>
      </c>
      <c r="BL235" t="s">
        <v>132</v>
      </c>
      <c r="BM235">
        <v>1</v>
      </c>
      <c r="BN235">
        <v>1</v>
      </c>
      <c r="BO235">
        <v>1</v>
      </c>
      <c r="BP235">
        <v>0</v>
      </c>
      <c r="BT235">
        <v>0</v>
      </c>
      <c r="BU235">
        <v>0</v>
      </c>
      <c r="CE235" t="str">
        <f>"15:38:30.622"</f>
        <v>15:38:30.622</v>
      </c>
      <c r="CF235">
        <v>622356762</v>
      </c>
      <c r="CS235">
        <v>0</v>
      </c>
      <c r="CT235">
        <v>2</v>
      </c>
      <c r="CU235">
        <v>0</v>
      </c>
      <c r="CV235">
        <v>2</v>
      </c>
      <c r="CW235">
        <v>0</v>
      </c>
      <c r="CX235">
        <v>7</v>
      </c>
      <c r="CY235">
        <v>7</v>
      </c>
      <c r="CZ235" t="s">
        <v>133</v>
      </c>
      <c r="DA235">
        <v>125</v>
      </c>
      <c r="DB235">
        <v>1</v>
      </c>
      <c r="DC235" t="s">
        <v>134</v>
      </c>
      <c r="DD235" t="s">
        <v>135</v>
      </c>
      <c r="DG235">
        <v>2500717</v>
      </c>
      <c r="DI235">
        <v>0</v>
      </c>
      <c r="DJ235">
        <v>0</v>
      </c>
      <c r="DK235">
        <v>1</v>
      </c>
      <c r="DL235">
        <v>0</v>
      </c>
      <c r="DM235">
        <v>0</v>
      </c>
      <c r="DN235">
        <v>0</v>
      </c>
      <c r="DO235">
        <v>0</v>
      </c>
      <c r="DP235">
        <v>0</v>
      </c>
      <c r="DQ235">
        <v>0</v>
      </c>
      <c r="DR235">
        <v>0</v>
      </c>
      <c r="DS235">
        <v>0</v>
      </c>
    </row>
    <row r="236" spans="1:123" x14ac:dyDescent="0.25">
      <c r="A236" t="str">
        <f>"04/17/2026 15:38:30.898"</f>
        <v>04/17/2026 15:38:30.898</v>
      </c>
      <c r="C236" t="str">
        <f t="shared" si="17"/>
        <v>FFDFD3C0</v>
      </c>
      <c r="D236" t="s">
        <v>136</v>
      </c>
      <c r="E236" t="str">
        <f>"0F"</f>
        <v>0F</v>
      </c>
      <c r="F236">
        <v>1015</v>
      </c>
      <c r="G236" t="s">
        <v>138</v>
      </c>
      <c r="J236" t="s">
        <v>137</v>
      </c>
      <c r="K236">
        <v>0</v>
      </c>
      <c r="L236">
        <v>3</v>
      </c>
      <c r="M236">
        <v>0</v>
      </c>
      <c r="N236">
        <v>2</v>
      </c>
      <c r="O236">
        <v>1</v>
      </c>
      <c r="P236">
        <v>0</v>
      </c>
      <c r="Q236">
        <v>0</v>
      </c>
      <c r="R236" t="s">
        <v>127</v>
      </c>
      <c r="S236" t="str">
        <f>"15:38:30.617"</f>
        <v>15:38:30.617</v>
      </c>
      <c r="T236" t="str">
        <f>"15:38:30.417"</f>
        <v>15:38:30.417</v>
      </c>
      <c r="U236" t="str">
        <f t="shared" si="18"/>
        <v>A55E09</v>
      </c>
      <c r="V236">
        <v>0</v>
      </c>
      <c r="W236">
        <v>0</v>
      </c>
      <c r="X236">
        <v>2</v>
      </c>
      <c r="Y236">
        <v>0</v>
      </c>
      <c r="AA236">
        <v>0</v>
      </c>
      <c r="AB236">
        <v>9</v>
      </c>
      <c r="AC236">
        <v>3</v>
      </c>
      <c r="AD236">
        <v>0</v>
      </c>
      <c r="AE236">
        <v>9</v>
      </c>
      <c r="AF236" t="s">
        <v>128</v>
      </c>
      <c r="AG236">
        <v>0</v>
      </c>
      <c r="AH236">
        <v>0</v>
      </c>
      <c r="AI236">
        <v>1</v>
      </c>
      <c r="AJ236">
        <v>0</v>
      </c>
      <c r="AK236" t="s">
        <v>250</v>
      </c>
      <c r="AL236">
        <v>33.676850999999999</v>
      </c>
      <c r="AM236" t="s">
        <v>251</v>
      </c>
      <c r="AN236">
        <v>-101.20526099999999</v>
      </c>
      <c r="AO236">
        <v>100</v>
      </c>
      <c r="AP236">
        <v>3300</v>
      </c>
      <c r="AQ236" t="s">
        <v>131</v>
      </c>
      <c r="AR236">
        <v>-24</v>
      </c>
      <c r="AS236">
        <v>73</v>
      </c>
      <c r="AT236">
        <v>-192</v>
      </c>
      <c r="BB236" t="str">
        <f t="shared" si="19"/>
        <v>1200</v>
      </c>
      <c r="BC236">
        <v>1</v>
      </c>
      <c r="BD236" t="str">
        <f t="shared" si="20"/>
        <v xml:space="preserve">N445JS  </v>
      </c>
      <c r="BE236">
        <v>7</v>
      </c>
      <c r="BG236">
        <v>0</v>
      </c>
      <c r="BH236">
        <v>0</v>
      </c>
      <c r="BI236">
        <v>0</v>
      </c>
      <c r="BJ236">
        <v>3125</v>
      </c>
      <c r="BK236">
        <v>-175</v>
      </c>
      <c r="BL236" t="s">
        <v>132</v>
      </c>
      <c r="BM236">
        <v>1</v>
      </c>
      <c r="BN236">
        <v>1</v>
      </c>
      <c r="BO236">
        <v>1</v>
      </c>
      <c r="BP236">
        <v>0</v>
      </c>
      <c r="BT236">
        <v>0</v>
      </c>
      <c r="BU236">
        <v>0</v>
      </c>
      <c r="CE236" t="str">
        <f>"15:38:30.622"</f>
        <v>15:38:30.622</v>
      </c>
      <c r="CF236">
        <v>622356762</v>
      </c>
      <c r="CS236">
        <v>0</v>
      </c>
      <c r="CT236">
        <v>2</v>
      </c>
      <c r="CU236">
        <v>0</v>
      </c>
      <c r="CV236">
        <v>2</v>
      </c>
      <c r="CW236">
        <v>0</v>
      </c>
      <c r="CX236">
        <v>7</v>
      </c>
      <c r="CY236">
        <v>7</v>
      </c>
      <c r="CZ236" t="s">
        <v>133</v>
      </c>
      <c r="DA236">
        <v>125</v>
      </c>
      <c r="DB236">
        <v>1</v>
      </c>
      <c r="DC236" t="s">
        <v>134</v>
      </c>
      <c r="DD236" t="s">
        <v>135</v>
      </c>
      <c r="DG236">
        <v>2500717</v>
      </c>
      <c r="DI236">
        <v>0</v>
      </c>
      <c r="DJ236">
        <v>0</v>
      </c>
      <c r="DK236">
        <v>1</v>
      </c>
      <c r="DL236">
        <v>0</v>
      </c>
      <c r="DM236">
        <v>0</v>
      </c>
      <c r="DN236">
        <v>0</v>
      </c>
      <c r="DO236">
        <v>0</v>
      </c>
      <c r="DP236">
        <v>0</v>
      </c>
      <c r="DQ236">
        <v>0</v>
      </c>
      <c r="DR236">
        <v>0</v>
      </c>
      <c r="DS236">
        <v>0</v>
      </c>
    </row>
    <row r="237" spans="1:123" x14ac:dyDescent="0.25">
      <c r="A237" t="str">
        <f>"04/17/2026 15:38:30.902"</f>
        <v>04/17/2026 15:38:30.902</v>
      </c>
      <c r="C237" t="str">
        <f t="shared" si="17"/>
        <v>FFDFD3C0</v>
      </c>
      <c r="D237" t="s">
        <v>124</v>
      </c>
      <c r="E237" t="str">
        <f>"03"</f>
        <v>03</v>
      </c>
      <c r="H237">
        <v>160</v>
      </c>
      <c r="I237" t="s">
        <v>125</v>
      </c>
      <c r="J237" t="s">
        <v>126</v>
      </c>
      <c r="K237">
        <v>0</v>
      </c>
      <c r="L237">
        <v>3</v>
      </c>
      <c r="M237">
        <v>0</v>
      </c>
      <c r="N237">
        <v>2</v>
      </c>
      <c r="O237">
        <v>1</v>
      </c>
      <c r="P237">
        <v>0</v>
      </c>
      <c r="Q237">
        <v>0</v>
      </c>
      <c r="R237" t="s">
        <v>127</v>
      </c>
      <c r="S237" t="str">
        <f>"15:38:30.617"</f>
        <v>15:38:30.617</v>
      </c>
      <c r="T237" t="str">
        <f>"15:38:30.417"</f>
        <v>15:38:30.417</v>
      </c>
      <c r="U237" t="str">
        <f t="shared" si="18"/>
        <v>A55E09</v>
      </c>
      <c r="V237">
        <v>0</v>
      </c>
      <c r="W237">
        <v>0</v>
      </c>
      <c r="X237">
        <v>2</v>
      </c>
      <c r="Y237">
        <v>0</v>
      </c>
      <c r="AA237">
        <v>0</v>
      </c>
      <c r="AB237">
        <v>9</v>
      </c>
      <c r="AC237">
        <v>3</v>
      </c>
      <c r="AD237">
        <v>0</v>
      </c>
      <c r="AE237">
        <v>9</v>
      </c>
      <c r="AF237" t="s">
        <v>128</v>
      </c>
      <c r="AG237">
        <v>0</v>
      </c>
      <c r="AH237">
        <v>0</v>
      </c>
      <c r="AI237">
        <v>1</v>
      </c>
      <c r="AJ237">
        <v>0</v>
      </c>
      <c r="AK237" t="s">
        <v>250</v>
      </c>
      <c r="AL237">
        <v>33.676850999999999</v>
      </c>
      <c r="AM237" t="s">
        <v>251</v>
      </c>
      <c r="AN237">
        <v>-101.20526099999999</v>
      </c>
      <c r="AO237">
        <v>100</v>
      </c>
      <c r="AP237">
        <v>3300</v>
      </c>
      <c r="AQ237" t="s">
        <v>131</v>
      </c>
      <c r="AR237">
        <v>-24</v>
      </c>
      <c r="AS237">
        <v>73</v>
      </c>
      <c r="AT237">
        <v>-192</v>
      </c>
      <c r="BB237" t="str">
        <f t="shared" si="19"/>
        <v>1200</v>
      </c>
      <c r="BC237">
        <v>1</v>
      </c>
      <c r="BD237" t="str">
        <f t="shared" si="20"/>
        <v xml:space="preserve">N445JS  </v>
      </c>
      <c r="BE237">
        <v>7</v>
      </c>
      <c r="BG237">
        <v>0</v>
      </c>
      <c r="BH237">
        <v>0</v>
      </c>
      <c r="BI237">
        <v>0</v>
      </c>
      <c r="BJ237">
        <v>3125</v>
      </c>
      <c r="BK237">
        <v>-175</v>
      </c>
      <c r="BL237" t="s">
        <v>132</v>
      </c>
      <c r="BM237">
        <v>1</v>
      </c>
      <c r="BN237">
        <v>1</v>
      </c>
      <c r="BO237">
        <v>1</v>
      </c>
      <c r="BP237">
        <v>0</v>
      </c>
      <c r="BT237">
        <v>0</v>
      </c>
      <c r="BU237">
        <v>0</v>
      </c>
      <c r="CE237" t="str">
        <f>"15:38:30.622"</f>
        <v>15:38:30.622</v>
      </c>
      <c r="CF237">
        <v>622356762</v>
      </c>
      <c r="CS237">
        <v>0</v>
      </c>
      <c r="CT237">
        <v>2</v>
      </c>
      <c r="CU237">
        <v>0</v>
      </c>
      <c r="CV237">
        <v>2</v>
      </c>
      <c r="CW237">
        <v>0</v>
      </c>
      <c r="CX237">
        <v>7</v>
      </c>
      <c r="CY237">
        <v>7</v>
      </c>
      <c r="CZ237" t="s">
        <v>133</v>
      </c>
      <c r="DA237">
        <v>125</v>
      </c>
      <c r="DB237">
        <v>1</v>
      </c>
      <c r="DC237" t="s">
        <v>134</v>
      </c>
      <c r="DD237" t="s">
        <v>135</v>
      </c>
      <c r="DG237">
        <v>2500717</v>
      </c>
      <c r="DI237">
        <v>0</v>
      </c>
      <c r="DJ237">
        <v>0</v>
      </c>
      <c r="DK237">
        <v>1</v>
      </c>
      <c r="DL237">
        <v>0</v>
      </c>
      <c r="DM237">
        <v>0</v>
      </c>
      <c r="DN237">
        <v>0</v>
      </c>
      <c r="DO237">
        <v>0</v>
      </c>
      <c r="DP237">
        <v>0</v>
      </c>
      <c r="DQ237">
        <v>0</v>
      </c>
      <c r="DR237">
        <v>0</v>
      </c>
      <c r="DS237">
        <v>0</v>
      </c>
    </row>
    <row r="238" spans="1:123" x14ac:dyDescent="0.25">
      <c r="A238" t="str">
        <f>"04/17/2026 15:38:31.898"</f>
        <v>04/17/2026 15:38:31.898</v>
      </c>
      <c r="C238" t="str">
        <f t="shared" si="17"/>
        <v>FFDFD3C0</v>
      </c>
      <c r="D238" t="s">
        <v>136</v>
      </c>
      <c r="E238" t="str">
        <f>"0E"</f>
        <v>0E</v>
      </c>
      <c r="F238">
        <v>1014</v>
      </c>
      <c r="G238" t="s">
        <v>125</v>
      </c>
      <c r="J238" t="s">
        <v>137</v>
      </c>
      <c r="K238">
        <v>0</v>
      </c>
      <c r="L238">
        <v>3</v>
      </c>
      <c r="M238">
        <v>0</v>
      </c>
      <c r="N238">
        <v>2</v>
      </c>
      <c r="O238">
        <v>1</v>
      </c>
      <c r="P238">
        <v>0</v>
      </c>
      <c r="Q238">
        <v>0</v>
      </c>
      <c r="R238" t="s">
        <v>127</v>
      </c>
      <c r="S238" t="str">
        <f>"15:38:31.625"</f>
        <v>15:38:31.625</v>
      </c>
      <c r="T238" t="str">
        <f>"15:38:31.325"</f>
        <v>15:38:31.325</v>
      </c>
      <c r="U238" t="str">
        <f t="shared" si="18"/>
        <v>A55E09</v>
      </c>
      <c r="V238">
        <v>0</v>
      </c>
      <c r="W238">
        <v>0</v>
      </c>
      <c r="X238">
        <v>2</v>
      </c>
      <c r="Y238">
        <v>0</v>
      </c>
      <c r="AA238">
        <v>0</v>
      </c>
      <c r="AB238">
        <v>9</v>
      </c>
      <c r="AC238">
        <v>3</v>
      </c>
      <c r="AD238">
        <v>0</v>
      </c>
      <c r="AE238">
        <v>9</v>
      </c>
      <c r="AF238" t="s">
        <v>128</v>
      </c>
      <c r="AG238">
        <v>0</v>
      </c>
      <c r="AH238">
        <v>0</v>
      </c>
      <c r="AI238">
        <v>1</v>
      </c>
      <c r="AJ238">
        <v>0</v>
      </c>
      <c r="AK238" t="s">
        <v>252</v>
      </c>
      <c r="AL238">
        <v>33.677194</v>
      </c>
      <c r="AM238" t="s">
        <v>253</v>
      </c>
      <c r="AN238">
        <v>-101.20536800000001</v>
      </c>
      <c r="AO238">
        <v>100</v>
      </c>
      <c r="AP238">
        <v>3300</v>
      </c>
      <c r="AQ238" t="s">
        <v>131</v>
      </c>
      <c r="AR238">
        <v>-24</v>
      </c>
      <c r="AS238">
        <v>74</v>
      </c>
      <c r="AT238">
        <v>-192</v>
      </c>
      <c r="BB238" t="str">
        <f t="shared" si="19"/>
        <v>1200</v>
      </c>
      <c r="BC238">
        <v>1</v>
      </c>
      <c r="BD238" t="str">
        <f t="shared" si="20"/>
        <v xml:space="preserve">N445JS  </v>
      </c>
      <c r="BE238">
        <v>7</v>
      </c>
      <c r="BG238">
        <v>0</v>
      </c>
      <c r="BH238">
        <v>0</v>
      </c>
      <c r="BI238">
        <v>0</v>
      </c>
      <c r="BJ238">
        <v>3125</v>
      </c>
      <c r="BK238">
        <v>-175</v>
      </c>
      <c r="BL238" t="s">
        <v>132</v>
      </c>
      <c r="BM238">
        <v>1</v>
      </c>
      <c r="BN238">
        <v>1</v>
      </c>
      <c r="BO238">
        <v>1</v>
      </c>
      <c r="BP238">
        <v>0</v>
      </c>
      <c r="BT238">
        <v>0</v>
      </c>
      <c r="BU238">
        <v>0</v>
      </c>
      <c r="CE238" t="str">
        <f>"15:38:31.627"</f>
        <v>15:38:31.627</v>
      </c>
      <c r="CF238">
        <v>627258243</v>
      </c>
      <c r="CS238">
        <v>0</v>
      </c>
      <c r="CT238">
        <v>2</v>
      </c>
      <c r="CU238">
        <v>0</v>
      </c>
      <c r="CV238">
        <v>2</v>
      </c>
      <c r="CW238">
        <v>0</v>
      </c>
      <c r="CX238">
        <v>7</v>
      </c>
      <c r="CY238">
        <v>7</v>
      </c>
      <c r="CZ238" t="s">
        <v>133</v>
      </c>
      <c r="DA238">
        <v>125</v>
      </c>
      <c r="DB238">
        <v>1</v>
      </c>
      <c r="DC238" t="s">
        <v>134</v>
      </c>
      <c r="DD238" t="s">
        <v>135</v>
      </c>
      <c r="DG238">
        <v>2501715</v>
      </c>
      <c r="DI238">
        <v>0</v>
      </c>
      <c r="DJ238">
        <v>0</v>
      </c>
      <c r="DK238">
        <v>0</v>
      </c>
      <c r="DL238">
        <v>0</v>
      </c>
      <c r="DM238">
        <v>0</v>
      </c>
      <c r="DN238">
        <v>0</v>
      </c>
      <c r="DO238">
        <v>0</v>
      </c>
      <c r="DP238">
        <v>0</v>
      </c>
      <c r="DQ238">
        <v>0</v>
      </c>
      <c r="DR238">
        <v>0</v>
      </c>
      <c r="DS238">
        <v>0</v>
      </c>
    </row>
    <row r="239" spans="1:123" x14ac:dyDescent="0.25">
      <c r="A239" t="str">
        <f>"04/17/2026 15:38:31.899"</f>
        <v>04/17/2026 15:38:31.899</v>
      </c>
      <c r="C239" t="str">
        <f t="shared" si="17"/>
        <v>FFDFD3C0</v>
      </c>
      <c r="D239" t="s">
        <v>136</v>
      </c>
      <c r="E239" t="str">
        <f>"0F"</f>
        <v>0F</v>
      </c>
      <c r="F239">
        <v>1015</v>
      </c>
      <c r="G239" t="s">
        <v>138</v>
      </c>
      <c r="J239" t="s">
        <v>137</v>
      </c>
      <c r="K239">
        <v>0</v>
      </c>
      <c r="L239">
        <v>3</v>
      </c>
      <c r="M239">
        <v>0</v>
      </c>
      <c r="N239">
        <v>2</v>
      </c>
      <c r="O239">
        <v>1</v>
      </c>
      <c r="P239">
        <v>0</v>
      </c>
      <c r="Q239">
        <v>0</v>
      </c>
      <c r="R239" t="s">
        <v>127</v>
      </c>
      <c r="S239" t="str">
        <f>"15:38:31.625"</f>
        <v>15:38:31.625</v>
      </c>
      <c r="T239" t="str">
        <f>"15:38:31.325"</f>
        <v>15:38:31.325</v>
      </c>
      <c r="U239" t="str">
        <f t="shared" si="18"/>
        <v>A55E09</v>
      </c>
      <c r="V239">
        <v>0</v>
      </c>
      <c r="W239">
        <v>0</v>
      </c>
      <c r="X239">
        <v>2</v>
      </c>
      <c r="Y239">
        <v>0</v>
      </c>
      <c r="AA239">
        <v>0</v>
      </c>
      <c r="AB239">
        <v>9</v>
      </c>
      <c r="AC239">
        <v>3</v>
      </c>
      <c r="AD239">
        <v>0</v>
      </c>
      <c r="AE239">
        <v>9</v>
      </c>
      <c r="AF239" t="s">
        <v>128</v>
      </c>
      <c r="AG239">
        <v>0</v>
      </c>
      <c r="AH239">
        <v>0</v>
      </c>
      <c r="AI239">
        <v>1</v>
      </c>
      <c r="AJ239">
        <v>0</v>
      </c>
      <c r="AK239" t="s">
        <v>252</v>
      </c>
      <c r="AL239">
        <v>33.677194</v>
      </c>
      <c r="AM239" t="s">
        <v>253</v>
      </c>
      <c r="AN239">
        <v>-101.20536800000001</v>
      </c>
      <c r="AO239">
        <v>100</v>
      </c>
      <c r="AP239">
        <v>3300</v>
      </c>
      <c r="AQ239" t="s">
        <v>131</v>
      </c>
      <c r="AR239">
        <v>-24</v>
      </c>
      <c r="AS239">
        <v>74</v>
      </c>
      <c r="AT239">
        <v>-192</v>
      </c>
      <c r="BB239" t="str">
        <f t="shared" si="19"/>
        <v>1200</v>
      </c>
      <c r="BC239">
        <v>1</v>
      </c>
      <c r="BD239" t="str">
        <f t="shared" si="20"/>
        <v xml:space="preserve">N445JS  </v>
      </c>
      <c r="BE239">
        <v>7</v>
      </c>
      <c r="BG239">
        <v>0</v>
      </c>
      <c r="BH239">
        <v>0</v>
      </c>
      <c r="BI239">
        <v>0</v>
      </c>
      <c r="BJ239">
        <v>3125</v>
      </c>
      <c r="BK239">
        <v>-175</v>
      </c>
      <c r="BL239" t="s">
        <v>132</v>
      </c>
      <c r="BM239">
        <v>1</v>
      </c>
      <c r="BN239">
        <v>1</v>
      </c>
      <c r="BO239">
        <v>1</v>
      </c>
      <c r="BP239">
        <v>0</v>
      </c>
      <c r="BT239">
        <v>0</v>
      </c>
      <c r="BU239">
        <v>0</v>
      </c>
      <c r="CE239" t="str">
        <f>"15:38:31.627"</f>
        <v>15:38:31.627</v>
      </c>
      <c r="CF239">
        <v>627258243</v>
      </c>
      <c r="CS239">
        <v>0</v>
      </c>
      <c r="CT239">
        <v>2</v>
      </c>
      <c r="CU239">
        <v>0</v>
      </c>
      <c r="CV239">
        <v>2</v>
      </c>
      <c r="CW239">
        <v>0</v>
      </c>
      <c r="CX239">
        <v>7</v>
      </c>
      <c r="CY239">
        <v>7</v>
      </c>
      <c r="CZ239" t="s">
        <v>133</v>
      </c>
      <c r="DA239">
        <v>125</v>
      </c>
      <c r="DB239">
        <v>1</v>
      </c>
      <c r="DC239" t="s">
        <v>134</v>
      </c>
      <c r="DD239" t="s">
        <v>135</v>
      </c>
      <c r="DG239">
        <v>2501715</v>
      </c>
      <c r="DI239">
        <v>0</v>
      </c>
      <c r="DJ239">
        <v>0</v>
      </c>
      <c r="DK239">
        <v>1</v>
      </c>
      <c r="DL239">
        <v>0</v>
      </c>
      <c r="DM239">
        <v>0</v>
      </c>
      <c r="DN239">
        <v>0</v>
      </c>
      <c r="DO239">
        <v>0</v>
      </c>
      <c r="DP239">
        <v>0</v>
      </c>
      <c r="DQ239">
        <v>0</v>
      </c>
      <c r="DR239">
        <v>0</v>
      </c>
      <c r="DS239">
        <v>0</v>
      </c>
    </row>
    <row r="240" spans="1:123" x14ac:dyDescent="0.25">
      <c r="A240" t="str">
        <f>"04/17/2026 15:38:31.904"</f>
        <v>04/17/2026 15:38:31.904</v>
      </c>
      <c r="C240" t="str">
        <f t="shared" si="17"/>
        <v>FFDFD3C0</v>
      </c>
      <c r="D240" t="s">
        <v>124</v>
      </c>
      <c r="E240" t="str">
        <f>"03"</f>
        <v>03</v>
      </c>
      <c r="H240">
        <v>160</v>
      </c>
      <c r="I240" t="s">
        <v>125</v>
      </c>
      <c r="J240" t="s">
        <v>126</v>
      </c>
      <c r="K240">
        <v>0</v>
      </c>
      <c r="L240">
        <v>3</v>
      </c>
      <c r="M240">
        <v>0</v>
      </c>
      <c r="N240">
        <v>2</v>
      </c>
      <c r="O240">
        <v>1</v>
      </c>
      <c r="P240">
        <v>0</v>
      </c>
      <c r="Q240">
        <v>0</v>
      </c>
      <c r="R240" t="s">
        <v>127</v>
      </c>
      <c r="S240" t="str">
        <f>"15:38:31.625"</f>
        <v>15:38:31.625</v>
      </c>
      <c r="T240" t="str">
        <f>"15:38:31.325"</f>
        <v>15:38:31.325</v>
      </c>
      <c r="U240" t="str">
        <f t="shared" si="18"/>
        <v>A55E09</v>
      </c>
      <c r="V240">
        <v>0</v>
      </c>
      <c r="W240">
        <v>0</v>
      </c>
      <c r="X240">
        <v>2</v>
      </c>
      <c r="Y240">
        <v>0</v>
      </c>
      <c r="AA240">
        <v>0</v>
      </c>
      <c r="AB240">
        <v>9</v>
      </c>
      <c r="AC240">
        <v>3</v>
      </c>
      <c r="AD240">
        <v>0</v>
      </c>
      <c r="AE240">
        <v>9</v>
      </c>
      <c r="AF240" t="s">
        <v>128</v>
      </c>
      <c r="AG240">
        <v>0</v>
      </c>
      <c r="AH240">
        <v>0</v>
      </c>
      <c r="AI240">
        <v>1</v>
      </c>
      <c r="AJ240">
        <v>0</v>
      </c>
      <c r="AK240" t="s">
        <v>252</v>
      </c>
      <c r="AL240">
        <v>33.677194</v>
      </c>
      <c r="AM240" t="s">
        <v>253</v>
      </c>
      <c r="AN240">
        <v>-101.20536800000001</v>
      </c>
      <c r="AO240">
        <v>100</v>
      </c>
      <c r="AP240">
        <v>3300</v>
      </c>
      <c r="AQ240" t="s">
        <v>131</v>
      </c>
      <c r="AR240">
        <v>-24</v>
      </c>
      <c r="AS240">
        <v>74</v>
      </c>
      <c r="AT240">
        <v>-192</v>
      </c>
      <c r="BB240" t="str">
        <f t="shared" si="19"/>
        <v>1200</v>
      </c>
      <c r="BC240">
        <v>1</v>
      </c>
      <c r="BD240" t="str">
        <f t="shared" si="20"/>
        <v xml:space="preserve">N445JS  </v>
      </c>
      <c r="BE240">
        <v>7</v>
      </c>
      <c r="BG240">
        <v>0</v>
      </c>
      <c r="BH240">
        <v>0</v>
      </c>
      <c r="BI240">
        <v>0</v>
      </c>
      <c r="BJ240">
        <v>3125</v>
      </c>
      <c r="BK240">
        <v>-175</v>
      </c>
      <c r="BL240" t="s">
        <v>132</v>
      </c>
      <c r="BM240">
        <v>1</v>
      </c>
      <c r="BN240">
        <v>1</v>
      </c>
      <c r="BO240">
        <v>1</v>
      </c>
      <c r="BP240">
        <v>0</v>
      </c>
      <c r="BT240">
        <v>0</v>
      </c>
      <c r="BU240">
        <v>0</v>
      </c>
      <c r="CE240" t="str">
        <f>"15:38:31.627"</f>
        <v>15:38:31.627</v>
      </c>
      <c r="CF240">
        <v>627258243</v>
      </c>
      <c r="CS240">
        <v>0</v>
      </c>
      <c r="CT240">
        <v>2</v>
      </c>
      <c r="CU240">
        <v>0</v>
      </c>
      <c r="CV240">
        <v>2</v>
      </c>
      <c r="CW240">
        <v>0</v>
      </c>
      <c r="CX240">
        <v>7</v>
      </c>
      <c r="CY240">
        <v>7</v>
      </c>
      <c r="CZ240" t="s">
        <v>133</v>
      </c>
      <c r="DA240">
        <v>125</v>
      </c>
      <c r="DB240">
        <v>1</v>
      </c>
      <c r="DC240" t="s">
        <v>134</v>
      </c>
      <c r="DD240" t="s">
        <v>135</v>
      </c>
      <c r="DG240">
        <v>2501715</v>
      </c>
      <c r="DI240">
        <v>0</v>
      </c>
      <c r="DJ240">
        <v>0</v>
      </c>
      <c r="DK240">
        <v>1</v>
      </c>
      <c r="DL240">
        <v>0</v>
      </c>
      <c r="DM240">
        <v>0</v>
      </c>
      <c r="DN240">
        <v>0</v>
      </c>
      <c r="DO240">
        <v>0</v>
      </c>
      <c r="DP240">
        <v>0</v>
      </c>
      <c r="DQ240">
        <v>0</v>
      </c>
      <c r="DR240">
        <v>0</v>
      </c>
      <c r="DS240">
        <v>0</v>
      </c>
    </row>
    <row r="241" spans="1:123" x14ac:dyDescent="0.25">
      <c r="A241" t="str">
        <f>"04/17/2026 15:38:31.928"</f>
        <v>04/17/2026 15:38:31.928</v>
      </c>
      <c r="C241" t="str">
        <f t="shared" si="17"/>
        <v>FFDFD3C0</v>
      </c>
      <c r="D241" t="s">
        <v>139</v>
      </c>
      <c r="E241" t="str">
        <f>"28"</f>
        <v>28</v>
      </c>
      <c r="H241">
        <v>140</v>
      </c>
      <c r="I241" t="s">
        <v>140</v>
      </c>
      <c r="J241" t="s">
        <v>141</v>
      </c>
      <c r="K241">
        <v>0</v>
      </c>
      <c r="L241">
        <v>3</v>
      </c>
      <c r="M241">
        <v>0</v>
      </c>
      <c r="N241">
        <v>2</v>
      </c>
      <c r="O241">
        <v>1</v>
      </c>
      <c r="P241">
        <v>0</v>
      </c>
      <c r="Q241">
        <v>0</v>
      </c>
      <c r="R241" t="s">
        <v>127</v>
      </c>
      <c r="S241" t="str">
        <f>"15:38:31.625"</f>
        <v>15:38:31.625</v>
      </c>
      <c r="T241" t="str">
        <f>"15:38:31.325"</f>
        <v>15:38:31.325</v>
      </c>
      <c r="U241" t="str">
        <f t="shared" si="18"/>
        <v>A55E09</v>
      </c>
      <c r="V241">
        <v>0</v>
      </c>
      <c r="W241">
        <v>0</v>
      </c>
      <c r="X241">
        <v>2</v>
      </c>
      <c r="Y241">
        <v>0</v>
      </c>
      <c r="AA241">
        <v>0</v>
      </c>
      <c r="AB241">
        <v>9</v>
      </c>
      <c r="AC241">
        <v>3</v>
      </c>
      <c r="AD241">
        <v>0</v>
      </c>
      <c r="AE241">
        <v>9</v>
      </c>
      <c r="AF241" t="s">
        <v>128</v>
      </c>
      <c r="AG241">
        <v>0</v>
      </c>
      <c r="AH241">
        <v>0</v>
      </c>
      <c r="AI241">
        <v>1</v>
      </c>
      <c r="AJ241">
        <v>0</v>
      </c>
      <c r="AK241" t="s">
        <v>252</v>
      </c>
      <c r="AL241">
        <v>33.677194</v>
      </c>
      <c r="AM241" t="s">
        <v>253</v>
      </c>
      <c r="AN241">
        <v>-101.20536800000001</v>
      </c>
      <c r="AO241">
        <v>100</v>
      </c>
      <c r="AP241">
        <v>3300</v>
      </c>
      <c r="AQ241" t="s">
        <v>131</v>
      </c>
      <c r="AR241">
        <v>-24</v>
      </c>
      <c r="AS241">
        <v>74</v>
      </c>
      <c r="AT241">
        <v>-192</v>
      </c>
      <c r="BB241" t="str">
        <f t="shared" si="19"/>
        <v>1200</v>
      </c>
      <c r="BC241">
        <v>1</v>
      </c>
      <c r="BD241" t="str">
        <f t="shared" si="20"/>
        <v xml:space="preserve">N445JS  </v>
      </c>
      <c r="BE241">
        <v>7</v>
      </c>
      <c r="BG241">
        <v>0</v>
      </c>
      <c r="BH241">
        <v>0</v>
      </c>
      <c r="BI241">
        <v>0</v>
      </c>
      <c r="BJ241">
        <v>3125</v>
      </c>
      <c r="BK241">
        <v>-175</v>
      </c>
      <c r="BL241" t="s">
        <v>132</v>
      </c>
      <c r="BM241">
        <v>1</v>
      </c>
      <c r="BN241">
        <v>1</v>
      </c>
      <c r="BO241">
        <v>1</v>
      </c>
      <c r="BP241">
        <v>0</v>
      </c>
      <c r="BT241">
        <v>0</v>
      </c>
      <c r="BU241">
        <v>0</v>
      </c>
      <c r="CE241" t="str">
        <f>"15:38:31.627"</f>
        <v>15:38:31.627</v>
      </c>
      <c r="CF241">
        <v>627258243</v>
      </c>
      <c r="CS241">
        <v>0</v>
      </c>
      <c r="CT241">
        <v>2</v>
      </c>
      <c r="CU241">
        <v>0</v>
      </c>
      <c r="CV241">
        <v>2</v>
      </c>
      <c r="CW241">
        <v>0</v>
      </c>
      <c r="CX241">
        <v>7</v>
      </c>
      <c r="CY241">
        <v>7</v>
      </c>
      <c r="CZ241" t="s">
        <v>133</v>
      </c>
      <c r="DA241">
        <v>125</v>
      </c>
      <c r="DB241">
        <v>1</v>
      </c>
      <c r="DC241" t="s">
        <v>134</v>
      </c>
      <c r="DD241" t="s">
        <v>135</v>
      </c>
      <c r="DG241">
        <v>2501715</v>
      </c>
      <c r="DI241">
        <v>0</v>
      </c>
      <c r="DJ241">
        <v>0</v>
      </c>
      <c r="DK241">
        <v>1</v>
      </c>
      <c r="DL241">
        <v>0</v>
      </c>
      <c r="DM241">
        <v>0</v>
      </c>
      <c r="DN241">
        <v>0</v>
      </c>
      <c r="DO241">
        <v>0</v>
      </c>
      <c r="DP241">
        <v>0</v>
      </c>
      <c r="DQ241">
        <v>0</v>
      </c>
      <c r="DR241">
        <v>0</v>
      </c>
      <c r="DS241">
        <v>0</v>
      </c>
    </row>
    <row r="242" spans="1:123" x14ac:dyDescent="0.25">
      <c r="A242" t="str">
        <f>"04/17/2026 15:38:32.830"</f>
        <v>04/17/2026 15:38:32.830</v>
      </c>
      <c r="C242" t="str">
        <f t="shared" si="17"/>
        <v>FFDFD3C0</v>
      </c>
      <c r="D242" t="s">
        <v>139</v>
      </c>
      <c r="E242" t="str">
        <f>"28"</f>
        <v>28</v>
      </c>
      <c r="H242">
        <v>140</v>
      </c>
      <c r="I242" t="s">
        <v>140</v>
      </c>
      <c r="J242" t="s">
        <v>141</v>
      </c>
      <c r="K242">
        <v>0</v>
      </c>
      <c r="L242">
        <v>3</v>
      </c>
      <c r="M242">
        <v>0</v>
      </c>
      <c r="N242">
        <v>2</v>
      </c>
      <c r="O242">
        <v>1</v>
      </c>
      <c r="P242">
        <v>0</v>
      </c>
      <c r="Q242">
        <v>0</v>
      </c>
      <c r="R242" t="s">
        <v>127</v>
      </c>
      <c r="S242" t="str">
        <f>"15:38:32.570"</f>
        <v>15:38:32.570</v>
      </c>
      <c r="T242" t="str">
        <f>"15:38:32.270"</f>
        <v>15:38:32.270</v>
      </c>
      <c r="U242" t="str">
        <f t="shared" si="18"/>
        <v>A55E09</v>
      </c>
      <c r="V242">
        <v>0</v>
      </c>
      <c r="W242">
        <v>0</v>
      </c>
      <c r="X242">
        <v>2</v>
      </c>
      <c r="Y242">
        <v>0</v>
      </c>
      <c r="AA242">
        <v>0</v>
      </c>
      <c r="AB242">
        <v>9</v>
      </c>
      <c r="AC242">
        <v>3</v>
      </c>
      <c r="AD242">
        <v>0</v>
      </c>
      <c r="AE242">
        <v>9</v>
      </c>
      <c r="AF242" t="s">
        <v>128</v>
      </c>
      <c r="AG242">
        <v>0</v>
      </c>
      <c r="AH242">
        <v>0</v>
      </c>
      <c r="AI242">
        <v>1</v>
      </c>
      <c r="AJ242">
        <v>0</v>
      </c>
      <c r="AK242" t="s">
        <v>254</v>
      </c>
      <c r="AL242">
        <v>33.677537000000001</v>
      </c>
      <c r="AM242" t="s">
        <v>255</v>
      </c>
      <c r="AN242">
        <v>-101.20549699999999</v>
      </c>
      <c r="AO242">
        <v>100</v>
      </c>
      <c r="AP242">
        <v>3300</v>
      </c>
      <c r="AQ242" t="s">
        <v>131</v>
      </c>
      <c r="AR242">
        <v>-23</v>
      </c>
      <c r="AS242">
        <v>75</v>
      </c>
      <c r="AT242">
        <v>-192</v>
      </c>
      <c r="BB242" t="str">
        <f t="shared" si="19"/>
        <v>1200</v>
      </c>
      <c r="BC242">
        <v>1</v>
      </c>
      <c r="BD242" t="str">
        <f t="shared" si="20"/>
        <v xml:space="preserve">N445JS  </v>
      </c>
      <c r="BE242">
        <v>7</v>
      </c>
      <c r="BG242">
        <v>0</v>
      </c>
      <c r="BH242">
        <v>0</v>
      </c>
      <c r="BI242">
        <v>0</v>
      </c>
      <c r="BJ242">
        <v>3125</v>
      </c>
      <c r="BK242">
        <v>-175</v>
      </c>
      <c r="BL242" t="s">
        <v>132</v>
      </c>
      <c r="BM242">
        <v>1</v>
      </c>
      <c r="BN242">
        <v>1</v>
      </c>
      <c r="BO242">
        <v>1</v>
      </c>
      <c r="BP242">
        <v>0</v>
      </c>
      <c r="BT242">
        <v>0</v>
      </c>
      <c r="BU242">
        <v>0</v>
      </c>
      <c r="CE242" t="str">
        <f>"15:38:32.572"</f>
        <v>15:38:32.572</v>
      </c>
      <c r="CF242">
        <v>572165588</v>
      </c>
      <c r="CS242">
        <v>0</v>
      </c>
      <c r="CT242">
        <v>2</v>
      </c>
      <c r="CU242">
        <v>0</v>
      </c>
      <c r="CV242">
        <v>2</v>
      </c>
      <c r="CW242">
        <v>0</v>
      </c>
      <c r="CX242">
        <v>7</v>
      </c>
      <c r="CY242">
        <v>7</v>
      </c>
      <c r="CZ242" t="s">
        <v>133</v>
      </c>
      <c r="DA242">
        <v>125</v>
      </c>
      <c r="DB242">
        <v>1</v>
      </c>
      <c r="DC242" t="s">
        <v>134</v>
      </c>
      <c r="DD242" t="s">
        <v>135</v>
      </c>
      <c r="DG242">
        <v>2502637</v>
      </c>
      <c r="DI242">
        <v>0</v>
      </c>
      <c r="DJ242">
        <v>0</v>
      </c>
      <c r="DK242">
        <v>0</v>
      </c>
      <c r="DL242">
        <v>0</v>
      </c>
      <c r="DM242">
        <v>0</v>
      </c>
      <c r="DN242">
        <v>0</v>
      </c>
      <c r="DO242">
        <v>0</v>
      </c>
      <c r="DP242">
        <v>0</v>
      </c>
      <c r="DQ242">
        <v>0</v>
      </c>
      <c r="DR242">
        <v>0</v>
      </c>
      <c r="DS242">
        <v>0</v>
      </c>
    </row>
    <row r="243" spans="1:123" x14ac:dyDescent="0.25">
      <c r="A243" t="str">
        <f>"04/17/2026 15:38:32.850"</f>
        <v>04/17/2026 15:38:32.850</v>
      </c>
      <c r="C243" t="str">
        <f t="shared" si="17"/>
        <v>FFDFD3C0</v>
      </c>
      <c r="D243" t="s">
        <v>136</v>
      </c>
      <c r="E243" t="str">
        <f>"0E"</f>
        <v>0E</v>
      </c>
      <c r="F243">
        <v>1014</v>
      </c>
      <c r="G243" t="s">
        <v>125</v>
      </c>
      <c r="J243" t="s">
        <v>137</v>
      </c>
      <c r="K243">
        <v>0</v>
      </c>
      <c r="L243">
        <v>3</v>
      </c>
      <c r="M243">
        <v>0</v>
      </c>
      <c r="N243">
        <v>2</v>
      </c>
      <c r="O243">
        <v>1</v>
      </c>
      <c r="P243">
        <v>0</v>
      </c>
      <c r="Q243">
        <v>0</v>
      </c>
      <c r="R243" t="s">
        <v>127</v>
      </c>
      <c r="S243" t="str">
        <f>"15:38:32.570"</f>
        <v>15:38:32.570</v>
      </c>
      <c r="T243" t="str">
        <f>"15:38:32.270"</f>
        <v>15:38:32.270</v>
      </c>
      <c r="U243" t="str">
        <f t="shared" si="18"/>
        <v>A55E09</v>
      </c>
      <c r="V243">
        <v>0</v>
      </c>
      <c r="W243">
        <v>0</v>
      </c>
      <c r="X243">
        <v>2</v>
      </c>
      <c r="Y243">
        <v>0</v>
      </c>
      <c r="AA243">
        <v>0</v>
      </c>
      <c r="AB243">
        <v>9</v>
      </c>
      <c r="AC243">
        <v>3</v>
      </c>
      <c r="AD243">
        <v>0</v>
      </c>
      <c r="AE243">
        <v>9</v>
      </c>
      <c r="AF243" t="s">
        <v>128</v>
      </c>
      <c r="AG243">
        <v>0</v>
      </c>
      <c r="AH243">
        <v>0</v>
      </c>
      <c r="AI243">
        <v>1</v>
      </c>
      <c r="AJ243">
        <v>0</v>
      </c>
      <c r="AK243" t="s">
        <v>254</v>
      </c>
      <c r="AL243">
        <v>33.677537000000001</v>
      </c>
      <c r="AM243" t="s">
        <v>255</v>
      </c>
      <c r="AN243">
        <v>-101.20549699999999</v>
      </c>
      <c r="AO243">
        <v>100</v>
      </c>
      <c r="AP243">
        <v>3300</v>
      </c>
      <c r="AQ243" t="s">
        <v>131</v>
      </c>
      <c r="AR243">
        <v>-23</v>
      </c>
      <c r="AS243">
        <v>75</v>
      </c>
      <c r="AT243">
        <v>-192</v>
      </c>
      <c r="BB243" t="str">
        <f t="shared" si="19"/>
        <v>1200</v>
      </c>
      <c r="BC243">
        <v>1</v>
      </c>
      <c r="BD243" t="str">
        <f t="shared" si="20"/>
        <v xml:space="preserve">N445JS  </v>
      </c>
      <c r="BE243">
        <v>7</v>
      </c>
      <c r="BG243">
        <v>0</v>
      </c>
      <c r="BH243">
        <v>0</v>
      </c>
      <c r="BI243">
        <v>0</v>
      </c>
      <c r="BJ243">
        <v>3125</v>
      </c>
      <c r="BK243">
        <v>-175</v>
      </c>
      <c r="BL243" t="s">
        <v>132</v>
      </c>
      <c r="BM243">
        <v>1</v>
      </c>
      <c r="BN243">
        <v>1</v>
      </c>
      <c r="BO243">
        <v>1</v>
      </c>
      <c r="BP243">
        <v>0</v>
      </c>
      <c r="BT243">
        <v>0</v>
      </c>
      <c r="BU243">
        <v>0</v>
      </c>
      <c r="CE243" t="str">
        <f>"15:38:32.572"</f>
        <v>15:38:32.572</v>
      </c>
      <c r="CF243">
        <v>572165588</v>
      </c>
      <c r="CS243">
        <v>0</v>
      </c>
      <c r="CT243">
        <v>2</v>
      </c>
      <c r="CU243">
        <v>0</v>
      </c>
      <c r="CV243">
        <v>2</v>
      </c>
      <c r="CW243">
        <v>0</v>
      </c>
      <c r="CX243">
        <v>7</v>
      </c>
      <c r="CY243">
        <v>7</v>
      </c>
      <c r="CZ243" t="s">
        <v>133</v>
      </c>
      <c r="DA243">
        <v>125</v>
      </c>
      <c r="DB243">
        <v>1</v>
      </c>
      <c r="DC243" t="s">
        <v>134</v>
      </c>
      <c r="DD243" t="s">
        <v>135</v>
      </c>
      <c r="DG243">
        <v>2502637</v>
      </c>
      <c r="DI243">
        <v>0</v>
      </c>
      <c r="DJ243">
        <v>0</v>
      </c>
      <c r="DK243">
        <v>1</v>
      </c>
      <c r="DL243">
        <v>0</v>
      </c>
      <c r="DM243">
        <v>0</v>
      </c>
      <c r="DN243">
        <v>0</v>
      </c>
      <c r="DO243">
        <v>0</v>
      </c>
      <c r="DP243">
        <v>0</v>
      </c>
      <c r="DQ243">
        <v>0</v>
      </c>
      <c r="DR243">
        <v>0</v>
      </c>
      <c r="DS243">
        <v>0</v>
      </c>
    </row>
    <row r="244" spans="1:123" x14ac:dyDescent="0.25">
      <c r="A244" t="str">
        <f>"04/17/2026 15:38:32.851"</f>
        <v>04/17/2026 15:38:32.851</v>
      </c>
      <c r="C244" t="str">
        <f t="shared" si="17"/>
        <v>FFDFD3C0</v>
      </c>
      <c r="D244" t="s">
        <v>136</v>
      </c>
      <c r="E244" t="str">
        <f>"0F"</f>
        <v>0F</v>
      </c>
      <c r="F244">
        <v>1015</v>
      </c>
      <c r="G244" t="s">
        <v>138</v>
      </c>
      <c r="J244" t="s">
        <v>137</v>
      </c>
      <c r="K244">
        <v>0</v>
      </c>
      <c r="L244">
        <v>3</v>
      </c>
      <c r="M244">
        <v>0</v>
      </c>
      <c r="N244">
        <v>2</v>
      </c>
      <c r="O244">
        <v>1</v>
      </c>
      <c r="P244">
        <v>0</v>
      </c>
      <c r="Q244">
        <v>0</v>
      </c>
      <c r="R244" t="s">
        <v>127</v>
      </c>
      <c r="S244" t="str">
        <f>"15:38:32.570"</f>
        <v>15:38:32.570</v>
      </c>
      <c r="T244" t="str">
        <f>"15:38:32.270"</f>
        <v>15:38:32.270</v>
      </c>
      <c r="U244" t="str">
        <f t="shared" si="18"/>
        <v>A55E09</v>
      </c>
      <c r="V244">
        <v>0</v>
      </c>
      <c r="W244">
        <v>0</v>
      </c>
      <c r="X244">
        <v>2</v>
      </c>
      <c r="Y244">
        <v>0</v>
      </c>
      <c r="AA244">
        <v>0</v>
      </c>
      <c r="AB244">
        <v>9</v>
      </c>
      <c r="AC244">
        <v>3</v>
      </c>
      <c r="AD244">
        <v>0</v>
      </c>
      <c r="AE244">
        <v>9</v>
      </c>
      <c r="AF244" t="s">
        <v>128</v>
      </c>
      <c r="AG244">
        <v>0</v>
      </c>
      <c r="AH244">
        <v>0</v>
      </c>
      <c r="AI244">
        <v>1</v>
      </c>
      <c r="AJ244">
        <v>0</v>
      </c>
      <c r="AK244" t="s">
        <v>254</v>
      </c>
      <c r="AL244">
        <v>33.677537000000001</v>
      </c>
      <c r="AM244" t="s">
        <v>255</v>
      </c>
      <c r="AN244">
        <v>-101.20549699999999</v>
      </c>
      <c r="AO244">
        <v>100</v>
      </c>
      <c r="AP244">
        <v>3300</v>
      </c>
      <c r="AQ244" t="s">
        <v>131</v>
      </c>
      <c r="AR244">
        <v>-23</v>
      </c>
      <c r="AS244">
        <v>75</v>
      </c>
      <c r="AT244">
        <v>-192</v>
      </c>
      <c r="BB244" t="str">
        <f t="shared" si="19"/>
        <v>1200</v>
      </c>
      <c r="BC244">
        <v>1</v>
      </c>
      <c r="BD244" t="str">
        <f t="shared" si="20"/>
        <v xml:space="preserve">N445JS  </v>
      </c>
      <c r="BE244">
        <v>7</v>
      </c>
      <c r="BG244">
        <v>0</v>
      </c>
      <c r="BH244">
        <v>0</v>
      </c>
      <c r="BI244">
        <v>0</v>
      </c>
      <c r="BJ244">
        <v>3125</v>
      </c>
      <c r="BK244">
        <v>-175</v>
      </c>
      <c r="BL244" t="s">
        <v>132</v>
      </c>
      <c r="BM244">
        <v>1</v>
      </c>
      <c r="BN244">
        <v>1</v>
      </c>
      <c r="BO244">
        <v>1</v>
      </c>
      <c r="BP244">
        <v>0</v>
      </c>
      <c r="BT244">
        <v>0</v>
      </c>
      <c r="BU244">
        <v>0</v>
      </c>
      <c r="CE244" t="str">
        <f>"15:38:32.572"</f>
        <v>15:38:32.572</v>
      </c>
      <c r="CF244">
        <v>572165588</v>
      </c>
      <c r="CS244">
        <v>0</v>
      </c>
      <c r="CT244">
        <v>2</v>
      </c>
      <c r="CU244">
        <v>0</v>
      </c>
      <c r="CV244">
        <v>2</v>
      </c>
      <c r="CW244">
        <v>0</v>
      </c>
      <c r="CX244">
        <v>7</v>
      </c>
      <c r="CY244">
        <v>7</v>
      </c>
      <c r="CZ244" t="s">
        <v>133</v>
      </c>
      <c r="DA244">
        <v>125</v>
      </c>
      <c r="DB244">
        <v>1</v>
      </c>
      <c r="DC244" t="s">
        <v>134</v>
      </c>
      <c r="DD244" t="s">
        <v>135</v>
      </c>
      <c r="DG244">
        <v>2502637</v>
      </c>
      <c r="DI244">
        <v>0</v>
      </c>
      <c r="DJ244">
        <v>0</v>
      </c>
      <c r="DK244">
        <v>1</v>
      </c>
      <c r="DL244">
        <v>0</v>
      </c>
      <c r="DM244">
        <v>0</v>
      </c>
      <c r="DN244">
        <v>0</v>
      </c>
      <c r="DO244">
        <v>0</v>
      </c>
      <c r="DP244">
        <v>0</v>
      </c>
      <c r="DQ244">
        <v>0</v>
      </c>
      <c r="DR244">
        <v>0</v>
      </c>
      <c r="DS244">
        <v>0</v>
      </c>
    </row>
    <row r="245" spans="1:123" x14ac:dyDescent="0.25">
      <c r="A245" t="str">
        <f>"04/17/2026 15:38:32.856"</f>
        <v>04/17/2026 15:38:32.856</v>
      </c>
      <c r="C245" t="str">
        <f t="shared" si="17"/>
        <v>FFDFD3C0</v>
      </c>
      <c r="D245" t="s">
        <v>124</v>
      </c>
      <c r="E245" t="str">
        <f>"03"</f>
        <v>03</v>
      </c>
      <c r="H245">
        <v>160</v>
      </c>
      <c r="I245" t="s">
        <v>125</v>
      </c>
      <c r="J245" t="s">
        <v>126</v>
      </c>
      <c r="K245">
        <v>0</v>
      </c>
      <c r="L245">
        <v>3</v>
      </c>
      <c r="M245">
        <v>0</v>
      </c>
      <c r="N245">
        <v>2</v>
      </c>
      <c r="O245">
        <v>1</v>
      </c>
      <c r="P245">
        <v>0</v>
      </c>
      <c r="Q245">
        <v>0</v>
      </c>
      <c r="R245" t="s">
        <v>127</v>
      </c>
      <c r="S245" t="str">
        <f>"15:38:32.570"</f>
        <v>15:38:32.570</v>
      </c>
      <c r="T245" t="str">
        <f>"15:38:32.270"</f>
        <v>15:38:32.270</v>
      </c>
      <c r="U245" t="str">
        <f t="shared" si="18"/>
        <v>A55E09</v>
      </c>
      <c r="V245">
        <v>0</v>
      </c>
      <c r="W245">
        <v>0</v>
      </c>
      <c r="X245">
        <v>2</v>
      </c>
      <c r="Y245">
        <v>0</v>
      </c>
      <c r="AA245">
        <v>0</v>
      </c>
      <c r="AB245">
        <v>9</v>
      </c>
      <c r="AC245">
        <v>3</v>
      </c>
      <c r="AD245">
        <v>0</v>
      </c>
      <c r="AE245">
        <v>9</v>
      </c>
      <c r="AF245" t="s">
        <v>128</v>
      </c>
      <c r="AG245">
        <v>0</v>
      </c>
      <c r="AH245">
        <v>0</v>
      </c>
      <c r="AI245">
        <v>1</v>
      </c>
      <c r="AJ245">
        <v>0</v>
      </c>
      <c r="AK245" t="s">
        <v>254</v>
      </c>
      <c r="AL245">
        <v>33.677537000000001</v>
      </c>
      <c r="AM245" t="s">
        <v>255</v>
      </c>
      <c r="AN245">
        <v>-101.20549699999999</v>
      </c>
      <c r="AO245">
        <v>100</v>
      </c>
      <c r="AP245">
        <v>3300</v>
      </c>
      <c r="AQ245" t="s">
        <v>131</v>
      </c>
      <c r="AR245">
        <v>-23</v>
      </c>
      <c r="AS245">
        <v>75</v>
      </c>
      <c r="AT245">
        <v>-192</v>
      </c>
      <c r="BB245" t="str">
        <f t="shared" si="19"/>
        <v>1200</v>
      </c>
      <c r="BC245">
        <v>1</v>
      </c>
      <c r="BD245" t="str">
        <f t="shared" si="20"/>
        <v xml:space="preserve">N445JS  </v>
      </c>
      <c r="BE245">
        <v>7</v>
      </c>
      <c r="BG245">
        <v>0</v>
      </c>
      <c r="BH245">
        <v>0</v>
      </c>
      <c r="BI245">
        <v>0</v>
      </c>
      <c r="BJ245">
        <v>3125</v>
      </c>
      <c r="BK245">
        <v>-175</v>
      </c>
      <c r="BL245" t="s">
        <v>132</v>
      </c>
      <c r="BM245">
        <v>1</v>
      </c>
      <c r="BN245">
        <v>1</v>
      </c>
      <c r="BO245">
        <v>1</v>
      </c>
      <c r="BP245">
        <v>0</v>
      </c>
      <c r="BT245">
        <v>0</v>
      </c>
      <c r="BU245">
        <v>0</v>
      </c>
      <c r="CE245" t="str">
        <f>"15:38:32.572"</f>
        <v>15:38:32.572</v>
      </c>
      <c r="CF245">
        <v>572165588</v>
      </c>
      <c r="CS245">
        <v>0</v>
      </c>
      <c r="CT245">
        <v>2</v>
      </c>
      <c r="CU245">
        <v>0</v>
      </c>
      <c r="CV245">
        <v>2</v>
      </c>
      <c r="CW245">
        <v>0</v>
      </c>
      <c r="CX245">
        <v>7</v>
      </c>
      <c r="CY245">
        <v>7</v>
      </c>
      <c r="CZ245" t="s">
        <v>133</v>
      </c>
      <c r="DA245">
        <v>125</v>
      </c>
      <c r="DB245">
        <v>1</v>
      </c>
      <c r="DC245" t="s">
        <v>134</v>
      </c>
      <c r="DD245" t="s">
        <v>135</v>
      </c>
      <c r="DG245">
        <v>2502637</v>
      </c>
      <c r="DI245">
        <v>0</v>
      </c>
      <c r="DJ245">
        <v>0</v>
      </c>
      <c r="DK245">
        <v>1</v>
      </c>
      <c r="DL245">
        <v>0</v>
      </c>
      <c r="DM245">
        <v>0</v>
      </c>
      <c r="DN245">
        <v>0</v>
      </c>
      <c r="DO245">
        <v>0</v>
      </c>
      <c r="DP245">
        <v>0</v>
      </c>
      <c r="DQ245">
        <v>0</v>
      </c>
      <c r="DR245">
        <v>0</v>
      </c>
      <c r="DS245">
        <v>0</v>
      </c>
    </row>
    <row r="246" spans="1:123" x14ac:dyDescent="0.25">
      <c r="A246" t="str">
        <f>"04/17/2026 15:38:34.433"</f>
        <v>04/17/2026 15:38:34.433</v>
      </c>
      <c r="C246" t="str">
        <f t="shared" si="17"/>
        <v>FFDFD3C0</v>
      </c>
      <c r="D246" t="s">
        <v>139</v>
      </c>
      <c r="E246" t="str">
        <f>"28"</f>
        <v>28</v>
      </c>
      <c r="H246">
        <v>140</v>
      </c>
      <c r="I246" t="s">
        <v>140</v>
      </c>
      <c r="J246" t="s">
        <v>141</v>
      </c>
      <c r="K246">
        <v>0</v>
      </c>
      <c r="L246">
        <v>3</v>
      </c>
      <c r="M246">
        <v>0</v>
      </c>
      <c r="N246">
        <v>2</v>
      </c>
      <c r="O246">
        <v>1</v>
      </c>
      <c r="P246">
        <v>0</v>
      </c>
      <c r="Q246">
        <v>0</v>
      </c>
      <c r="R246" t="s">
        <v>127</v>
      </c>
      <c r="S246" t="str">
        <f>"15:38:34.141"</f>
        <v>15:38:34.141</v>
      </c>
      <c r="T246" t="str">
        <f>"15:38:33.741"</f>
        <v>15:38:33.741</v>
      </c>
      <c r="U246" t="str">
        <f t="shared" si="18"/>
        <v>A55E09</v>
      </c>
      <c r="V246">
        <v>0</v>
      </c>
      <c r="W246">
        <v>0</v>
      </c>
      <c r="X246">
        <v>2</v>
      </c>
      <c r="Y246">
        <v>0</v>
      </c>
      <c r="AA246">
        <v>0</v>
      </c>
      <c r="AB246">
        <v>9</v>
      </c>
      <c r="AC246">
        <v>3</v>
      </c>
      <c r="AD246">
        <v>0</v>
      </c>
      <c r="AE246">
        <v>9</v>
      </c>
      <c r="AF246" t="s">
        <v>128</v>
      </c>
      <c r="AG246">
        <v>0</v>
      </c>
      <c r="AH246">
        <v>0</v>
      </c>
      <c r="AI246">
        <v>1</v>
      </c>
      <c r="AJ246">
        <v>0</v>
      </c>
      <c r="AK246" t="s">
        <v>256</v>
      </c>
      <c r="AL246">
        <v>33.678074000000002</v>
      </c>
      <c r="AM246" t="s">
        <v>257</v>
      </c>
      <c r="AN246">
        <v>-101.20571099999999</v>
      </c>
      <c r="AO246">
        <v>100</v>
      </c>
      <c r="AP246">
        <v>3300</v>
      </c>
      <c r="AQ246" t="s">
        <v>131</v>
      </c>
      <c r="AR246">
        <v>-22</v>
      </c>
      <c r="AS246">
        <v>76</v>
      </c>
      <c r="AT246">
        <v>-64</v>
      </c>
      <c r="BB246" t="str">
        <f t="shared" si="19"/>
        <v>1200</v>
      </c>
      <c r="BC246">
        <v>1</v>
      </c>
      <c r="BD246" t="str">
        <f t="shared" si="20"/>
        <v xml:space="preserve">N445JS  </v>
      </c>
      <c r="BE246">
        <v>7</v>
      </c>
      <c r="BG246">
        <v>0</v>
      </c>
      <c r="BH246">
        <v>0</v>
      </c>
      <c r="BI246">
        <v>0</v>
      </c>
      <c r="BJ246">
        <v>3125</v>
      </c>
      <c r="BK246">
        <v>-175</v>
      </c>
      <c r="BL246" t="s">
        <v>132</v>
      </c>
      <c r="BM246">
        <v>1</v>
      </c>
      <c r="BN246">
        <v>1</v>
      </c>
      <c r="BO246">
        <v>1</v>
      </c>
      <c r="BP246">
        <v>0</v>
      </c>
      <c r="BT246">
        <v>0</v>
      </c>
      <c r="BU246">
        <v>0</v>
      </c>
      <c r="CE246" t="str">
        <f>"15:38:34.147"</f>
        <v>15:38:34.147</v>
      </c>
      <c r="CF246">
        <v>147011191</v>
      </c>
      <c r="CS246">
        <v>0</v>
      </c>
      <c r="CT246">
        <v>2</v>
      </c>
      <c r="CU246">
        <v>0</v>
      </c>
      <c r="CV246">
        <v>2</v>
      </c>
      <c r="CW246">
        <v>0</v>
      </c>
      <c r="CX246">
        <v>7</v>
      </c>
      <c r="CY246">
        <v>7</v>
      </c>
      <c r="CZ246" t="s">
        <v>133</v>
      </c>
      <c r="DA246">
        <v>125</v>
      </c>
      <c r="DB246">
        <v>1</v>
      </c>
      <c r="DC246" t="s">
        <v>134</v>
      </c>
      <c r="DD246" t="s">
        <v>135</v>
      </c>
      <c r="DG246">
        <v>2504156</v>
      </c>
      <c r="DI246">
        <v>0</v>
      </c>
      <c r="DJ246">
        <v>0</v>
      </c>
      <c r="DK246">
        <v>0</v>
      </c>
      <c r="DL246">
        <v>0</v>
      </c>
      <c r="DM246">
        <v>0</v>
      </c>
      <c r="DN246">
        <v>0</v>
      </c>
      <c r="DO246">
        <v>0</v>
      </c>
      <c r="DP246">
        <v>0</v>
      </c>
      <c r="DQ246">
        <v>0</v>
      </c>
      <c r="DR246">
        <v>0</v>
      </c>
      <c r="DS246">
        <v>0</v>
      </c>
    </row>
    <row r="247" spans="1:123" x14ac:dyDescent="0.25">
      <c r="A247" t="str">
        <f>"04/17/2026 15:38:34.453"</f>
        <v>04/17/2026 15:38:34.453</v>
      </c>
      <c r="C247" t="str">
        <f t="shared" si="17"/>
        <v>FFDFD3C0</v>
      </c>
      <c r="D247" t="s">
        <v>136</v>
      </c>
      <c r="E247" t="str">
        <f>"0E"</f>
        <v>0E</v>
      </c>
      <c r="F247">
        <v>1014</v>
      </c>
      <c r="G247" t="s">
        <v>125</v>
      </c>
      <c r="J247" t="s">
        <v>137</v>
      </c>
      <c r="K247">
        <v>0</v>
      </c>
      <c r="L247">
        <v>3</v>
      </c>
      <c r="M247">
        <v>0</v>
      </c>
      <c r="N247">
        <v>2</v>
      </c>
      <c r="O247">
        <v>1</v>
      </c>
      <c r="P247">
        <v>0</v>
      </c>
      <c r="Q247">
        <v>0</v>
      </c>
      <c r="R247" t="s">
        <v>127</v>
      </c>
      <c r="S247" t="str">
        <f>"15:38:34.141"</f>
        <v>15:38:34.141</v>
      </c>
      <c r="T247" t="str">
        <f>"15:38:33.741"</f>
        <v>15:38:33.741</v>
      </c>
      <c r="U247" t="str">
        <f t="shared" si="18"/>
        <v>A55E09</v>
      </c>
      <c r="V247">
        <v>0</v>
      </c>
      <c r="W247">
        <v>0</v>
      </c>
      <c r="X247">
        <v>2</v>
      </c>
      <c r="Y247">
        <v>0</v>
      </c>
      <c r="AA247">
        <v>0</v>
      </c>
      <c r="AB247">
        <v>9</v>
      </c>
      <c r="AC247">
        <v>3</v>
      </c>
      <c r="AD247">
        <v>0</v>
      </c>
      <c r="AE247">
        <v>9</v>
      </c>
      <c r="AF247" t="s">
        <v>128</v>
      </c>
      <c r="AG247">
        <v>0</v>
      </c>
      <c r="AH247">
        <v>0</v>
      </c>
      <c r="AI247">
        <v>1</v>
      </c>
      <c r="AJ247">
        <v>0</v>
      </c>
      <c r="AK247" t="s">
        <v>256</v>
      </c>
      <c r="AL247">
        <v>33.678074000000002</v>
      </c>
      <c r="AM247" t="s">
        <v>257</v>
      </c>
      <c r="AN247">
        <v>-101.20571099999999</v>
      </c>
      <c r="AO247">
        <v>100</v>
      </c>
      <c r="AP247">
        <v>3300</v>
      </c>
      <c r="AQ247" t="s">
        <v>131</v>
      </c>
      <c r="AR247">
        <v>-22</v>
      </c>
      <c r="AS247">
        <v>76</v>
      </c>
      <c r="AT247">
        <v>-64</v>
      </c>
      <c r="BB247" t="str">
        <f t="shared" si="19"/>
        <v>1200</v>
      </c>
      <c r="BC247">
        <v>1</v>
      </c>
      <c r="BD247" t="str">
        <f t="shared" si="20"/>
        <v xml:space="preserve">N445JS  </v>
      </c>
      <c r="BE247">
        <v>7</v>
      </c>
      <c r="BG247">
        <v>0</v>
      </c>
      <c r="BH247">
        <v>0</v>
      </c>
      <c r="BI247">
        <v>0</v>
      </c>
      <c r="BJ247">
        <v>3125</v>
      </c>
      <c r="BK247">
        <v>-175</v>
      </c>
      <c r="BL247" t="s">
        <v>132</v>
      </c>
      <c r="BM247">
        <v>1</v>
      </c>
      <c r="BN247">
        <v>1</v>
      </c>
      <c r="BO247">
        <v>1</v>
      </c>
      <c r="BP247">
        <v>0</v>
      </c>
      <c r="BT247">
        <v>0</v>
      </c>
      <c r="BU247">
        <v>0</v>
      </c>
      <c r="CE247" t="str">
        <f>"15:38:34.147"</f>
        <v>15:38:34.147</v>
      </c>
      <c r="CF247">
        <v>147011191</v>
      </c>
      <c r="CS247">
        <v>0</v>
      </c>
      <c r="CT247">
        <v>2</v>
      </c>
      <c r="CU247">
        <v>0</v>
      </c>
      <c r="CV247">
        <v>2</v>
      </c>
      <c r="CW247">
        <v>0</v>
      </c>
      <c r="CX247">
        <v>7</v>
      </c>
      <c r="CY247">
        <v>7</v>
      </c>
      <c r="CZ247" t="s">
        <v>133</v>
      </c>
      <c r="DA247">
        <v>125</v>
      </c>
      <c r="DB247">
        <v>1</v>
      </c>
      <c r="DC247" t="s">
        <v>134</v>
      </c>
      <c r="DD247" t="s">
        <v>135</v>
      </c>
      <c r="DG247">
        <v>2504156</v>
      </c>
      <c r="DI247">
        <v>0</v>
      </c>
      <c r="DJ247">
        <v>0</v>
      </c>
      <c r="DK247">
        <v>1</v>
      </c>
      <c r="DL247">
        <v>0</v>
      </c>
      <c r="DM247">
        <v>0</v>
      </c>
      <c r="DN247">
        <v>0</v>
      </c>
      <c r="DO247">
        <v>0</v>
      </c>
      <c r="DP247">
        <v>0</v>
      </c>
      <c r="DQ247">
        <v>0</v>
      </c>
      <c r="DR247">
        <v>0</v>
      </c>
      <c r="DS247">
        <v>0</v>
      </c>
    </row>
    <row r="248" spans="1:123" x14ac:dyDescent="0.25">
      <c r="A248" t="str">
        <f>"04/17/2026 15:38:34.454"</f>
        <v>04/17/2026 15:38:34.454</v>
      </c>
      <c r="C248" t="str">
        <f t="shared" si="17"/>
        <v>FFDFD3C0</v>
      </c>
      <c r="D248" t="s">
        <v>136</v>
      </c>
      <c r="E248" t="str">
        <f>"0F"</f>
        <v>0F</v>
      </c>
      <c r="F248">
        <v>1015</v>
      </c>
      <c r="G248" t="s">
        <v>138</v>
      </c>
      <c r="J248" t="s">
        <v>137</v>
      </c>
      <c r="K248">
        <v>0</v>
      </c>
      <c r="L248">
        <v>3</v>
      </c>
      <c r="M248">
        <v>0</v>
      </c>
      <c r="N248">
        <v>2</v>
      </c>
      <c r="O248">
        <v>1</v>
      </c>
      <c r="P248">
        <v>0</v>
      </c>
      <c r="Q248">
        <v>0</v>
      </c>
      <c r="R248" t="s">
        <v>127</v>
      </c>
      <c r="S248" t="str">
        <f>"15:38:34.141"</f>
        <v>15:38:34.141</v>
      </c>
      <c r="T248" t="str">
        <f>"15:38:33.741"</f>
        <v>15:38:33.741</v>
      </c>
      <c r="U248" t="str">
        <f t="shared" si="18"/>
        <v>A55E09</v>
      </c>
      <c r="V248">
        <v>0</v>
      </c>
      <c r="W248">
        <v>0</v>
      </c>
      <c r="X248">
        <v>2</v>
      </c>
      <c r="Y248">
        <v>0</v>
      </c>
      <c r="AA248">
        <v>0</v>
      </c>
      <c r="AB248">
        <v>9</v>
      </c>
      <c r="AC248">
        <v>3</v>
      </c>
      <c r="AD248">
        <v>0</v>
      </c>
      <c r="AE248">
        <v>9</v>
      </c>
      <c r="AF248" t="s">
        <v>128</v>
      </c>
      <c r="AG248">
        <v>0</v>
      </c>
      <c r="AH248">
        <v>0</v>
      </c>
      <c r="AI248">
        <v>1</v>
      </c>
      <c r="AJ248">
        <v>0</v>
      </c>
      <c r="AK248" t="s">
        <v>256</v>
      </c>
      <c r="AL248">
        <v>33.678074000000002</v>
      </c>
      <c r="AM248" t="s">
        <v>257</v>
      </c>
      <c r="AN248">
        <v>-101.20571099999999</v>
      </c>
      <c r="AO248">
        <v>100</v>
      </c>
      <c r="AP248">
        <v>3300</v>
      </c>
      <c r="AQ248" t="s">
        <v>131</v>
      </c>
      <c r="AR248">
        <v>-22</v>
      </c>
      <c r="AS248">
        <v>76</v>
      </c>
      <c r="AT248">
        <v>-64</v>
      </c>
      <c r="BB248" t="str">
        <f t="shared" si="19"/>
        <v>1200</v>
      </c>
      <c r="BC248">
        <v>1</v>
      </c>
      <c r="BD248" t="str">
        <f t="shared" si="20"/>
        <v xml:space="preserve">N445JS  </v>
      </c>
      <c r="BE248">
        <v>7</v>
      </c>
      <c r="BG248">
        <v>0</v>
      </c>
      <c r="BH248">
        <v>0</v>
      </c>
      <c r="BI248">
        <v>0</v>
      </c>
      <c r="BJ248">
        <v>3125</v>
      </c>
      <c r="BK248">
        <v>-175</v>
      </c>
      <c r="BL248" t="s">
        <v>132</v>
      </c>
      <c r="BM248">
        <v>1</v>
      </c>
      <c r="BN248">
        <v>1</v>
      </c>
      <c r="BO248">
        <v>1</v>
      </c>
      <c r="BP248">
        <v>0</v>
      </c>
      <c r="BT248">
        <v>0</v>
      </c>
      <c r="BU248">
        <v>0</v>
      </c>
      <c r="CE248" t="str">
        <f>"15:38:34.147"</f>
        <v>15:38:34.147</v>
      </c>
      <c r="CF248">
        <v>147011191</v>
      </c>
      <c r="CS248">
        <v>0</v>
      </c>
      <c r="CT248">
        <v>2</v>
      </c>
      <c r="CU248">
        <v>0</v>
      </c>
      <c r="CV248">
        <v>2</v>
      </c>
      <c r="CW248">
        <v>0</v>
      </c>
      <c r="CX248">
        <v>7</v>
      </c>
      <c r="CY248">
        <v>7</v>
      </c>
      <c r="CZ248" t="s">
        <v>133</v>
      </c>
      <c r="DA248">
        <v>125</v>
      </c>
      <c r="DB248">
        <v>1</v>
      </c>
      <c r="DC248" t="s">
        <v>134</v>
      </c>
      <c r="DD248" t="s">
        <v>135</v>
      </c>
      <c r="DG248">
        <v>2504156</v>
      </c>
      <c r="DI248">
        <v>0</v>
      </c>
      <c r="DJ248">
        <v>0</v>
      </c>
      <c r="DK248">
        <v>1</v>
      </c>
      <c r="DL248">
        <v>0</v>
      </c>
      <c r="DM248">
        <v>0</v>
      </c>
      <c r="DN248">
        <v>0</v>
      </c>
      <c r="DO248">
        <v>0</v>
      </c>
      <c r="DP248">
        <v>0</v>
      </c>
      <c r="DQ248">
        <v>0</v>
      </c>
      <c r="DR248">
        <v>0</v>
      </c>
      <c r="DS248">
        <v>0</v>
      </c>
    </row>
    <row r="249" spans="1:123" x14ac:dyDescent="0.25">
      <c r="A249" t="str">
        <f>"04/17/2026 15:38:34.458"</f>
        <v>04/17/2026 15:38:34.458</v>
      </c>
      <c r="C249" t="str">
        <f t="shared" si="17"/>
        <v>FFDFD3C0</v>
      </c>
      <c r="D249" t="s">
        <v>124</v>
      </c>
      <c r="E249" t="str">
        <f>"03"</f>
        <v>03</v>
      </c>
      <c r="H249">
        <v>160</v>
      </c>
      <c r="I249" t="s">
        <v>125</v>
      </c>
      <c r="J249" t="s">
        <v>126</v>
      </c>
      <c r="K249">
        <v>0</v>
      </c>
      <c r="L249">
        <v>3</v>
      </c>
      <c r="M249">
        <v>0</v>
      </c>
      <c r="N249">
        <v>2</v>
      </c>
      <c r="O249">
        <v>1</v>
      </c>
      <c r="P249">
        <v>0</v>
      </c>
      <c r="Q249">
        <v>0</v>
      </c>
      <c r="R249" t="s">
        <v>127</v>
      </c>
      <c r="S249" t="str">
        <f>"15:38:34.141"</f>
        <v>15:38:34.141</v>
      </c>
      <c r="T249" t="str">
        <f>"15:38:33.741"</f>
        <v>15:38:33.741</v>
      </c>
      <c r="U249" t="str">
        <f t="shared" si="18"/>
        <v>A55E09</v>
      </c>
      <c r="V249">
        <v>0</v>
      </c>
      <c r="W249">
        <v>0</v>
      </c>
      <c r="X249">
        <v>2</v>
      </c>
      <c r="Y249">
        <v>0</v>
      </c>
      <c r="AA249">
        <v>0</v>
      </c>
      <c r="AB249">
        <v>9</v>
      </c>
      <c r="AC249">
        <v>3</v>
      </c>
      <c r="AD249">
        <v>0</v>
      </c>
      <c r="AE249">
        <v>9</v>
      </c>
      <c r="AF249" t="s">
        <v>128</v>
      </c>
      <c r="AG249">
        <v>0</v>
      </c>
      <c r="AH249">
        <v>0</v>
      </c>
      <c r="AI249">
        <v>1</v>
      </c>
      <c r="AJ249">
        <v>0</v>
      </c>
      <c r="AK249" t="s">
        <v>256</v>
      </c>
      <c r="AL249">
        <v>33.678074000000002</v>
      </c>
      <c r="AM249" t="s">
        <v>257</v>
      </c>
      <c r="AN249">
        <v>-101.20571099999999</v>
      </c>
      <c r="AO249">
        <v>100</v>
      </c>
      <c r="AP249">
        <v>3300</v>
      </c>
      <c r="AQ249" t="s">
        <v>131</v>
      </c>
      <c r="AR249">
        <v>-22</v>
      </c>
      <c r="AS249">
        <v>76</v>
      </c>
      <c r="AT249">
        <v>-64</v>
      </c>
      <c r="BB249" t="str">
        <f t="shared" si="19"/>
        <v>1200</v>
      </c>
      <c r="BC249">
        <v>1</v>
      </c>
      <c r="BD249" t="str">
        <f t="shared" si="20"/>
        <v xml:space="preserve">N445JS  </v>
      </c>
      <c r="BE249">
        <v>7</v>
      </c>
      <c r="BG249">
        <v>0</v>
      </c>
      <c r="BH249">
        <v>0</v>
      </c>
      <c r="BI249">
        <v>0</v>
      </c>
      <c r="BJ249">
        <v>3125</v>
      </c>
      <c r="BK249">
        <v>-175</v>
      </c>
      <c r="BL249" t="s">
        <v>132</v>
      </c>
      <c r="BM249">
        <v>1</v>
      </c>
      <c r="BN249">
        <v>1</v>
      </c>
      <c r="BO249">
        <v>1</v>
      </c>
      <c r="BP249">
        <v>0</v>
      </c>
      <c r="BT249">
        <v>0</v>
      </c>
      <c r="BU249">
        <v>0</v>
      </c>
      <c r="CE249" t="str">
        <f>"15:38:34.147"</f>
        <v>15:38:34.147</v>
      </c>
      <c r="CF249">
        <v>147011191</v>
      </c>
      <c r="CS249">
        <v>0</v>
      </c>
      <c r="CT249">
        <v>2</v>
      </c>
      <c r="CU249">
        <v>0</v>
      </c>
      <c r="CV249">
        <v>2</v>
      </c>
      <c r="CW249">
        <v>0</v>
      </c>
      <c r="CX249">
        <v>7</v>
      </c>
      <c r="CY249">
        <v>7</v>
      </c>
      <c r="CZ249" t="s">
        <v>133</v>
      </c>
      <c r="DA249">
        <v>125</v>
      </c>
      <c r="DB249">
        <v>1</v>
      </c>
      <c r="DC249" t="s">
        <v>134</v>
      </c>
      <c r="DD249" t="s">
        <v>135</v>
      </c>
      <c r="DG249">
        <v>2504156</v>
      </c>
      <c r="DI249">
        <v>0</v>
      </c>
      <c r="DJ249">
        <v>0</v>
      </c>
      <c r="DK249">
        <v>1</v>
      </c>
      <c r="DL249">
        <v>0</v>
      </c>
      <c r="DM249">
        <v>0</v>
      </c>
      <c r="DN249">
        <v>0</v>
      </c>
      <c r="DO249">
        <v>0</v>
      </c>
      <c r="DP249">
        <v>0</v>
      </c>
      <c r="DQ249">
        <v>0</v>
      </c>
      <c r="DR249">
        <v>0</v>
      </c>
      <c r="DS249">
        <v>0</v>
      </c>
    </row>
    <row r="250" spans="1:123" x14ac:dyDescent="0.25">
      <c r="A250" t="str">
        <f>"04/17/2026 15:38:35.505"</f>
        <v>04/17/2026 15:38:35.505</v>
      </c>
      <c r="C250" t="str">
        <f t="shared" si="17"/>
        <v>FFDFD3C0</v>
      </c>
      <c r="D250" t="s">
        <v>136</v>
      </c>
      <c r="E250" t="str">
        <f>"0E"</f>
        <v>0E</v>
      </c>
      <c r="F250">
        <v>1014</v>
      </c>
      <c r="G250" t="s">
        <v>125</v>
      </c>
      <c r="J250" t="s">
        <v>137</v>
      </c>
      <c r="K250">
        <v>0</v>
      </c>
      <c r="L250">
        <v>3</v>
      </c>
      <c r="M250">
        <v>0</v>
      </c>
      <c r="N250">
        <v>2</v>
      </c>
      <c r="O250">
        <v>1</v>
      </c>
      <c r="P250">
        <v>0</v>
      </c>
      <c r="Q250">
        <v>0</v>
      </c>
      <c r="R250" t="s">
        <v>127</v>
      </c>
      <c r="S250" t="str">
        <f>"15:38:35.227"</f>
        <v>15:38:35.227</v>
      </c>
      <c r="T250" t="str">
        <f>"15:38:34.727"</f>
        <v>15:38:34.727</v>
      </c>
      <c r="U250" t="str">
        <f t="shared" si="18"/>
        <v>A55E09</v>
      </c>
      <c r="V250">
        <v>0</v>
      </c>
      <c r="W250">
        <v>0</v>
      </c>
      <c r="X250">
        <v>2</v>
      </c>
      <c r="Y250">
        <v>0</v>
      </c>
      <c r="AA250">
        <v>0</v>
      </c>
      <c r="AB250">
        <v>9</v>
      </c>
      <c r="AC250">
        <v>3</v>
      </c>
      <c r="AD250">
        <v>0</v>
      </c>
      <c r="AE250">
        <v>9</v>
      </c>
      <c r="AF250" t="s">
        <v>128</v>
      </c>
      <c r="AG250">
        <v>0</v>
      </c>
      <c r="AH250">
        <v>0</v>
      </c>
      <c r="AI250">
        <v>1</v>
      </c>
      <c r="AJ250">
        <v>0</v>
      </c>
      <c r="AK250" t="s">
        <v>258</v>
      </c>
      <c r="AL250">
        <v>33.678438999999997</v>
      </c>
      <c r="AM250" t="s">
        <v>259</v>
      </c>
      <c r="AN250">
        <v>-101.20581900000001</v>
      </c>
      <c r="AO250">
        <v>100</v>
      </c>
      <c r="AP250">
        <v>3300</v>
      </c>
      <c r="AQ250" t="s">
        <v>131</v>
      </c>
      <c r="AR250">
        <v>-22</v>
      </c>
      <c r="AS250">
        <v>77</v>
      </c>
      <c r="AT250">
        <v>-64</v>
      </c>
      <c r="BB250" t="str">
        <f t="shared" si="19"/>
        <v>1200</v>
      </c>
      <c r="BC250">
        <v>1</v>
      </c>
      <c r="BD250" t="str">
        <f t="shared" si="20"/>
        <v xml:space="preserve">N445JS  </v>
      </c>
      <c r="BE250">
        <v>7</v>
      </c>
      <c r="BG250">
        <v>0</v>
      </c>
      <c r="BH250">
        <v>0</v>
      </c>
      <c r="BI250">
        <v>0</v>
      </c>
      <c r="BJ250">
        <v>3125</v>
      </c>
      <c r="BK250">
        <v>-175</v>
      </c>
      <c r="BL250" t="s">
        <v>132</v>
      </c>
      <c r="BM250">
        <v>1</v>
      </c>
      <c r="BN250">
        <v>1</v>
      </c>
      <c r="BO250">
        <v>1</v>
      </c>
      <c r="BP250">
        <v>0</v>
      </c>
      <c r="BT250">
        <v>0</v>
      </c>
      <c r="BU250">
        <v>0</v>
      </c>
      <c r="CE250" t="str">
        <f>"15:38:35.227"</f>
        <v>15:38:35.227</v>
      </c>
      <c r="CF250">
        <v>226905315</v>
      </c>
      <c r="CS250">
        <v>0</v>
      </c>
      <c r="CT250">
        <v>2</v>
      </c>
      <c r="CU250">
        <v>0</v>
      </c>
      <c r="CV250">
        <v>2</v>
      </c>
      <c r="CW250">
        <v>0</v>
      </c>
      <c r="CX250">
        <v>7</v>
      </c>
      <c r="CY250">
        <v>7</v>
      </c>
      <c r="CZ250" t="s">
        <v>133</v>
      </c>
      <c r="DA250">
        <v>125</v>
      </c>
      <c r="DB250">
        <v>1</v>
      </c>
      <c r="DC250" t="s">
        <v>134</v>
      </c>
      <c r="DD250" t="s">
        <v>135</v>
      </c>
      <c r="DG250">
        <v>2505195</v>
      </c>
      <c r="DI250">
        <v>0</v>
      </c>
      <c r="DJ250">
        <v>0</v>
      </c>
      <c r="DK250">
        <v>0</v>
      </c>
      <c r="DL250">
        <v>0</v>
      </c>
      <c r="DM250">
        <v>0</v>
      </c>
      <c r="DN250">
        <v>0</v>
      </c>
      <c r="DO250">
        <v>0</v>
      </c>
      <c r="DP250">
        <v>0</v>
      </c>
      <c r="DQ250">
        <v>0</v>
      </c>
      <c r="DR250">
        <v>0</v>
      </c>
      <c r="DS250">
        <v>0</v>
      </c>
    </row>
    <row r="251" spans="1:123" x14ac:dyDescent="0.25">
      <c r="A251" t="str">
        <f>"04/17/2026 15:38:35.505"</f>
        <v>04/17/2026 15:38:35.505</v>
      </c>
      <c r="C251" t="str">
        <f t="shared" si="17"/>
        <v>FFDFD3C0</v>
      </c>
      <c r="D251" t="s">
        <v>136</v>
      </c>
      <c r="E251" t="str">
        <f>"0F"</f>
        <v>0F</v>
      </c>
      <c r="F251">
        <v>1015</v>
      </c>
      <c r="G251" t="s">
        <v>138</v>
      </c>
      <c r="J251" t="s">
        <v>137</v>
      </c>
      <c r="K251">
        <v>0</v>
      </c>
      <c r="L251">
        <v>3</v>
      </c>
      <c r="M251">
        <v>0</v>
      </c>
      <c r="N251">
        <v>2</v>
      </c>
      <c r="O251">
        <v>1</v>
      </c>
      <c r="P251">
        <v>0</v>
      </c>
      <c r="Q251">
        <v>0</v>
      </c>
      <c r="R251" t="s">
        <v>127</v>
      </c>
      <c r="S251" t="str">
        <f>"15:38:35.227"</f>
        <v>15:38:35.227</v>
      </c>
      <c r="T251" t="str">
        <f>"15:38:34.727"</f>
        <v>15:38:34.727</v>
      </c>
      <c r="U251" t="str">
        <f t="shared" si="18"/>
        <v>A55E09</v>
      </c>
      <c r="V251">
        <v>0</v>
      </c>
      <c r="W251">
        <v>0</v>
      </c>
      <c r="X251">
        <v>2</v>
      </c>
      <c r="Y251">
        <v>0</v>
      </c>
      <c r="AA251">
        <v>0</v>
      </c>
      <c r="AB251">
        <v>9</v>
      </c>
      <c r="AC251">
        <v>3</v>
      </c>
      <c r="AD251">
        <v>0</v>
      </c>
      <c r="AE251">
        <v>9</v>
      </c>
      <c r="AF251" t="s">
        <v>128</v>
      </c>
      <c r="AG251">
        <v>0</v>
      </c>
      <c r="AH251">
        <v>0</v>
      </c>
      <c r="AI251">
        <v>1</v>
      </c>
      <c r="AJ251">
        <v>0</v>
      </c>
      <c r="AK251" t="s">
        <v>258</v>
      </c>
      <c r="AL251">
        <v>33.678438999999997</v>
      </c>
      <c r="AM251" t="s">
        <v>259</v>
      </c>
      <c r="AN251">
        <v>-101.20581900000001</v>
      </c>
      <c r="AO251">
        <v>100</v>
      </c>
      <c r="AP251">
        <v>3300</v>
      </c>
      <c r="AQ251" t="s">
        <v>131</v>
      </c>
      <c r="AR251">
        <v>-22</v>
      </c>
      <c r="AS251">
        <v>77</v>
      </c>
      <c r="AT251">
        <v>-64</v>
      </c>
      <c r="BB251" t="str">
        <f t="shared" si="19"/>
        <v>1200</v>
      </c>
      <c r="BC251">
        <v>1</v>
      </c>
      <c r="BD251" t="str">
        <f t="shared" si="20"/>
        <v xml:space="preserve">N445JS  </v>
      </c>
      <c r="BE251">
        <v>7</v>
      </c>
      <c r="BG251">
        <v>0</v>
      </c>
      <c r="BH251">
        <v>0</v>
      </c>
      <c r="BI251">
        <v>0</v>
      </c>
      <c r="BJ251">
        <v>3125</v>
      </c>
      <c r="BK251">
        <v>-175</v>
      </c>
      <c r="BL251" t="s">
        <v>132</v>
      </c>
      <c r="BM251">
        <v>1</v>
      </c>
      <c r="BN251">
        <v>1</v>
      </c>
      <c r="BO251">
        <v>1</v>
      </c>
      <c r="BP251">
        <v>0</v>
      </c>
      <c r="BT251">
        <v>0</v>
      </c>
      <c r="BU251">
        <v>0</v>
      </c>
      <c r="CE251" t="str">
        <f>"15:38:35.227"</f>
        <v>15:38:35.227</v>
      </c>
      <c r="CF251">
        <v>226905315</v>
      </c>
      <c r="CS251">
        <v>0</v>
      </c>
      <c r="CT251">
        <v>2</v>
      </c>
      <c r="CU251">
        <v>0</v>
      </c>
      <c r="CV251">
        <v>2</v>
      </c>
      <c r="CW251">
        <v>0</v>
      </c>
      <c r="CX251">
        <v>7</v>
      </c>
      <c r="CY251">
        <v>7</v>
      </c>
      <c r="CZ251" t="s">
        <v>133</v>
      </c>
      <c r="DA251">
        <v>125</v>
      </c>
      <c r="DB251">
        <v>1</v>
      </c>
      <c r="DC251" t="s">
        <v>134</v>
      </c>
      <c r="DD251" t="s">
        <v>135</v>
      </c>
      <c r="DG251">
        <v>2505195</v>
      </c>
      <c r="DI251">
        <v>0</v>
      </c>
      <c r="DJ251">
        <v>0</v>
      </c>
      <c r="DK251">
        <v>1</v>
      </c>
      <c r="DL251">
        <v>0</v>
      </c>
      <c r="DM251">
        <v>0</v>
      </c>
      <c r="DN251">
        <v>0</v>
      </c>
      <c r="DO251">
        <v>0</v>
      </c>
      <c r="DP251">
        <v>0</v>
      </c>
      <c r="DQ251">
        <v>0</v>
      </c>
      <c r="DR251">
        <v>0</v>
      </c>
      <c r="DS251">
        <v>0</v>
      </c>
    </row>
    <row r="252" spans="1:123" x14ac:dyDescent="0.25">
      <c r="A252" t="str">
        <f>"04/17/2026 15:38:35.511"</f>
        <v>04/17/2026 15:38:35.511</v>
      </c>
      <c r="C252" t="str">
        <f t="shared" si="17"/>
        <v>FFDFD3C0</v>
      </c>
      <c r="D252" t="s">
        <v>124</v>
      </c>
      <c r="E252" t="str">
        <f>"03"</f>
        <v>03</v>
      </c>
      <c r="H252">
        <v>160</v>
      </c>
      <c r="I252" t="s">
        <v>125</v>
      </c>
      <c r="J252" t="s">
        <v>126</v>
      </c>
      <c r="K252">
        <v>0</v>
      </c>
      <c r="L252">
        <v>3</v>
      </c>
      <c r="M252">
        <v>0</v>
      </c>
      <c r="N252">
        <v>2</v>
      </c>
      <c r="O252">
        <v>1</v>
      </c>
      <c r="P252">
        <v>0</v>
      </c>
      <c r="Q252">
        <v>0</v>
      </c>
      <c r="R252" t="s">
        <v>127</v>
      </c>
      <c r="S252" t="str">
        <f>"15:38:35.227"</f>
        <v>15:38:35.227</v>
      </c>
      <c r="T252" t="str">
        <f>"15:38:34.727"</f>
        <v>15:38:34.727</v>
      </c>
      <c r="U252" t="str">
        <f t="shared" si="18"/>
        <v>A55E09</v>
      </c>
      <c r="V252">
        <v>0</v>
      </c>
      <c r="W252">
        <v>0</v>
      </c>
      <c r="X252">
        <v>2</v>
      </c>
      <c r="Y252">
        <v>0</v>
      </c>
      <c r="AA252">
        <v>0</v>
      </c>
      <c r="AB252">
        <v>9</v>
      </c>
      <c r="AC252">
        <v>3</v>
      </c>
      <c r="AD252">
        <v>0</v>
      </c>
      <c r="AE252">
        <v>9</v>
      </c>
      <c r="AF252" t="s">
        <v>128</v>
      </c>
      <c r="AG252">
        <v>0</v>
      </c>
      <c r="AH252">
        <v>0</v>
      </c>
      <c r="AI252">
        <v>1</v>
      </c>
      <c r="AJ252">
        <v>0</v>
      </c>
      <c r="AK252" t="s">
        <v>258</v>
      </c>
      <c r="AL252">
        <v>33.678438999999997</v>
      </c>
      <c r="AM252" t="s">
        <v>259</v>
      </c>
      <c r="AN252">
        <v>-101.20581900000001</v>
      </c>
      <c r="AO252">
        <v>100</v>
      </c>
      <c r="AP252">
        <v>3300</v>
      </c>
      <c r="AQ252" t="s">
        <v>131</v>
      </c>
      <c r="AR252">
        <v>-22</v>
      </c>
      <c r="AS252">
        <v>77</v>
      </c>
      <c r="AT252">
        <v>-64</v>
      </c>
      <c r="BB252" t="str">
        <f t="shared" si="19"/>
        <v>1200</v>
      </c>
      <c r="BC252">
        <v>1</v>
      </c>
      <c r="BD252" t="str">
        <f t="shared" si="20"/>
        <v xml:space="preserve">N445JS  </v>
      </c>
      <c r="BE252">
        <v>7</v>
      </c>
      <c r="BG252">
        <v>0</v>
      </c>
      <c r="BH252">
        <v>0</v>
      </c>
      <c r="BI252">
        <v>0</v>
      </c>
      <c r="BJ252">
        <v>3125</v>
      </c>
      <c r="BK252">
        <v>-175</v>
      </c>
      <c r="BL252" t="s">
        <v>132</v>
      </c>
      <c r="BM252">
        <v>1</v>
      </c>
      <c r="BN252">
        <v>1</v>
      </c>
      <c r="BO252">
        <v>1</v>
      </c>
      <c r="BP252">
        <v>0</v>
      </c>
      <c r="BT252">
        <v>0</v>
      </c>
      <c r="BU252">
        <v>0</v>
      </c>
      <c r="CE252" t="str">
        <f>"15:38:35.227"</f>
        <v>15:38:35.227</v>
      </c>
      <c r="CF252">
        <v>226905315</v>
      </c>
      <c r="CS252">
        <v>0</v>
      </c>
      <c r="CT252">
        <v>2</v>
      </c>
      <c r="CU252">
        <v>0</v>
      </c>
      <c r="CV252">
        <v>2</v>
      </c>
      <c r="CW252">
        <v>0</v>
      </c>
      <c r="CX252">
        <v>7</v>
      </c>
      <c r="CY252">
        <v>7</v>
      </c>
      <c r="CZ252" t="s">
        <v>133</v>
      </c>
      <c r="DA252">
        <v>125</v>
      </c>
      <c r="DB252">
        <v>1</v>
      </c>
      <c r="DC252" t="s">
        <v>134</v>
      </c>
      <c r="DD252" t="s">
        <v>135</v>
      </c>
      <c r="DG252">
        <v>2505195</v>
      </c>
      <c r="DI252">
        <v>0</v>
      </c>
      <c r="DJ252">
        <v>0</v>
      </c>
      <c r="DK252">
        <v>1</v>
      </c>
      <c r="DL252">
        <v>0</v>
      </c>
      <c r="DM252">
        <v>0</v>
      </c>
      <c r="DN252">
        <v>0</v>
      </c>
      <c r="DO252">
        <v>0</v>
      </c>
      <c r="DP252">
        <v>0</v>
      </c>
      <c r="DQ252">
        <v>0</v>
      </c>
      <c r="DR252">
        <v>0</v>
      </c>
      <c r="DS252">
        <v>0</v>
      </c>
    </row>
    <row r="253" spans="1:123" x14ac:dyDescent="0.25">
      <c r="A253" t="str">
        <f>"04/17/2026 15:38:35.535"</f>
        <v>04/17/2026 15:38:35.535</v>
      </c>
      <c r="C253" t="str">
        <f t="shared" si="17"/>
        <v>FFDFD3C0</v>
      </c>
      <c r="D253" t="s">
        <v>139</v>
      </c>
      <c r="E253" t="str">
        <f>"28"</f>
        <v>28</v>
      </c>
      <c r="H253">
        <v>140</v>
      </c>
      <c r="I253" t="s">
        <v>140</v>
      </c>
      <c r="J253" t="s">
        <v>141</v>
      </c>
      <c r="K253">
        <v>0</v>
      </c>
      <c r="L253">
        <v>3</v>
      </c>
      <c r="M253">
        <v>0</v>
      </c>
      <c r="N253">
        <v>2</v>
      </c>
      <c r="O253">
        <v>1</v>
      </c>
      <c r="P253">
        <v>0</v>
      </c>
      <c r="Q253">
        <v>0</v>
      </c>
      <c r="R253" t="s">
        <v>127</v>
      </c>
      <c r="S253" t="str">
        <f>"15:38:35.227"</f>
        <v>15:38:35.227</v>
      </c>
      <c r="T253" t="str">
        <f>"15:38:34.727"</f>
        <v>15:38:34.727</v>
      </c>
      <c r="U253" t="str">
        <f t="shared" si="18"/>
        <v>A55E09</v>
      </c>
      <c r="V253">
        <v>0</v>
      </c>
      <c r="W253">
        <v>0</v>
      </c>
      <c r="X253">
        <v>2</v>
      </c>
      <c r="Y253">
        <v>0</v>
      </c>
      <c r="AA253">
        <v>0</v>
      </c>
      <c r="AB253">
        <v>9</v>
      </c>
      <c r="AC253">
        <v>3</v>
      </c>
      <c r="AD253">
        <v>0</v>
      </c>
      <c r="AE253">
        <v>9</v>
      </c>
      <c r="AF253" t="s">
        <v>128</v>
      </c>
      <c r="AG253">
        <v>0</v>
      </c>
      <c r="AH253">
        <v>0</v>
      </c>
      <c r="AI253">
        <v>1</v>
      </c>
      <c r="AJ253">
        <v>0</v>
      </c>
      <c r="AK253" t="s">
        <v>258</v>
      </c>
      <c r="AL253">
        <v>33.678438999999997</v>
      </c>
      <c r="AM253" t="s">
        <v>259</v>
      </c>
      <c r="AN253">
        <v>-101.20581900000001</v>
      </c>
      <c r="AO253">
        <v>100</v>
      </c>
      <c r="AP253">
        <v>3300</v>
      </c>
      <c r="AQ253" t="s">
        <v>131</v>
      </c>
      <c r="AR253">
        <v>-22</v>
      </c>
      <c r="AS253">
        <v>77</v>
      </c>
      <c r="AT253">
        <v>-64</v>
      </c>
      <c r="BB253" t="str">
        <f t="shared" si="19"/>
        <v>1200</v>
      </c>
      <c r="BC253">
        <v>1</v>
      </c>
      <c r="BD253" t="str">
        <f t="shared" si="20"/>
        <v xml:space="preserve">N445JS  </v>
      </c>
      <c r="BE253">
        <v>7</v>
      </c>
      <c r="BG253">
        <v>0</v>
      </c>
      <c r="BH253">
        <v>0</v>
      </c>
      <c r="BI253">
        <v>0</v>
      </c>
      <c r="BJ253">
        <v>3125</v>
      </c>
      <c r="BK253">
        <v>-175</v>
      </c>
      <c r="BL253" t="s">
        <v>132</v>
      </c>
      <c r="BM253">
        <v>1</v>
      </c>
      <c r="BN253">
        <v>1</v>
      </c>
      <c r="BO253">
        <v>1</v>
      </c>
      <c r="BP253">
        <v>0</v>
      </c>
      <c r="BT253">
        <v>0</v>
      </c>
      <c r="BU253">
        <v>0</v>
      </c>
      <c r="CE253" t="str">
        <f>"15:38:35.227"</f>
        <v>15:38:35.227</v>
      </c>
      <c r="CF253">
        <v>226905315</v>
      </c>
      <c r="CS253">
        <v>0</v>
      </c>
      <c r="CT253">
        <v>2</v>
      </c>
      <c r="CU253">
        <v>0</v>
      </c>
      <c r="CV253">
        <v>2</v>
      </c>
      <c r="CW253">
        <v>0</v>
      </c>
      <c r="CX253">
        <v>7</v>
      </c>
      <c r="CY253">
        <v>7</v>
      </c>
      <c r="CZ253" t="s">
        <v>133</v>
      </c>
      <c r="DA253">
        <v>125</v>
      </c>
      <c r="DB253">
        <v>1</v>
      </c>
      <c r="DC253" t="s">
        <v>134</v>
      </c>
      <c r="DD253" t="s">
        <v>135</v>
      </c>
      <c r="DG253">
        <v>2505195</v>
      </c>
      <c r="DI253">
        <v>0</v>
      </c>
      <c r="DJ253">
        <v>0</v>
      </c>
      <c r="DK253">
        <v>1</v>
      </c>
      <c r="DL253">
        <v>0</v>
      </c>
      <c r="DM253">
        <v>0</v>
      </c>
      <c r="DN253">
        <v>0</v>
      </c>
      <c r="DO253">
        <v>0</v>
      </c>
      <c r="DP253">
        <v>0</v>
      </c>
      <c r="DQ253">
        <v>0</v>
      </c>
      <c r="DR253">
        <v>0</v>
      </c>
      <c r="DS253">
        <v>0</v>
      </c>
    </row>
    <row r="254" spans="1:123" x14ac:dyDescent="0.25">
      <c r="A254" t="str">
        <f>"04/17/2026 15:38:36.462"</f>
        <v>04/17/2026 15:38:36.462</v>
      </c>
      <c r="C254" t="str">
        <f t="shared" si="17"/>
        <v>FFDFD3C0</v>
      </c>
      <c r="D254" t="s">
        <v>124</v>
      </c>
      <c r="E254" t="str">
        <f>"03"</f>
        <v>03</v>
      </c>
      <c r="H254">
        <v>160</v>
      </c>
      <c r="I254" t="s">
        <v>125</v>
      </c>
      <c r="J254" t="s">
        <v>126</v>
      </c>
      <c r="K254">
        <v>0</v>
      </c>
      <c r="L254">
        <v>3</v>
      </c>
      <c r="M254">
        <v>0</v>
      </c>
      <c r="N254">
        <v>2</v>
      </c>
      <c r="O254">
        <v>1</v>
      </c>
      <c r="P254">
        <v>0</v>
      </c>
      <c r="Q254">
        <v>0</v>
      </c>
      <c r="R254" t="s">
        <v>127</v>
      </c>
      <c r="S254" t="str">
        <f>"15:38:36.195"</f>
        <v>15:38:36.195</v>
      </c>
      <c r="T254" t="str">
        <f>"15:38:35.895"</f>
        <v>15:38:35.895</v>
      </c>
      <c r="U254" t="str">
        <f t="shared" si="18"/>
        <v>A55E09</v>
      </c>
      <c r="V254">
        <v>0</v>
      </c>
      <c r="W254">
        <v>0</v>
      </c>
      <c r="X254">
        <v>2</v>
      </c>
      <c r="Y254">
        <v>0</v>
      </c>
      <c r="AA254">
        <v>0</v>
      </c>
      <c r="AB254">
        <v>9</v>
      </c>
      <c r="AC254">
        <v>3</v>
      </c>
      <c r="AD254">
        <v>0</v>
      </c>
      <c r="AE254">
        <v>9</v>
      </c>
      <c r="AF254" t="s">
        <v>128</v>
      </c>
      <c r="AG254">
        <v>0</v>
      </c>
      <c r="AH254">
        <v>0</v>
      </c>
      <c r="AI254">
        <v>1</v>
      </c>
      <c r="AJ254">
        <v>0</v>
      </c>
      <c r="AK254" t="s">
        <v>260</v>
      </c>
      <c r="AL254">
        <v>33.678825000000003</v>
      </c>
      <c r="AM254" t="s">
        <v>261</v>
      </c>
      <c r="AN254">
        <v>-101.20594699999999</v>
      </c>
      <c r="AO254">
        <v>100</v>
      </c>
      <c r="AP254">
        <v>3300</v>
      </c>
      <c r="AQ254" t="s">
        <v>131</v>
      </c>
      <c r="AR254">
        <v>-22</v>
      </c>
      <c r="AS254">
        <v>78</v>
      </c>
      <c r="AT254">
        <v>-64</v>
      </c>
      <c r="BB254" t="str">
        <f t="shared" si="19"/>
        <v>1200</v>
      </c>
      <c r="BC254">
        <v>1</v>
      </c>
      <c r="BD254" t="str">
        <f t="shared" si="20"/>
        <v xml:space="preserve">N445JS  </v>
      </c>
      <c r="BE254">
        <v>7</v>
      </c>
      <c r="BG254">
        <v>0</v>
      </c>
      <c r="BH254">
        <v>0</v>
      </c>
      <c r="BI254">
        <v>0</v>
      </c>
      <c r="BJ254">
        <v>3125</v>
      </c>
      <c r="BK254">
        <v>-175</v>
      </c>
      <c r="BL254" t="s">
        <v>132</v>
      </c>
      <c r="BM254">
        <v>1</v>
      </c>
      <c r="BN254">
        <v>1</v>
      </c>
      <c r="BO254">
        <v>1</v>
      </c>
      <c r="BP254">
        <v>0</v>
      </c>
      <c r="BT254">
        <v>0</v>
      </c>
      <c r="BU254">
        <v>0</v>
      </c>
      <c r="CE254" t="str">
        <f>"15:38:36.202"</f>
        <v>15:38:36.202</v>
      </c>
      <c r="CF254">
        <v>201809742</v>
      </c>
      <c r="CS254">
        <v>0</v>
      </c>
      <c r="CT254">
        <v>2</v>
      </c>
      <c r="CU254">
        <v>0</v>
      </c>
      <c r="CV254">
        <v>2</v>
      </c>
      <c r="CW254">
        <v>0</v>
      </c>
      <c r="CX254">
        <v>7</v>
      </c>
      <c r="CY254">
        <v>7</v>
      </c>
      <c r="CZ254" t="s">
        <v>133</v>
      </c>
      <c r="DA254">
        <v>125</v>
      </c>
      <c r="DB254">
        <v>1</v>
      </c>
      <c r="DC254" t="s">
        <v>134</v>
      </c>
      <c r="DD254" t="s">
        <v>135</v>
      </c>
      <c r="DG254">
        <v>2506186</v>
      </c>
      <c r="DI254">
        <v>0</v>
      </c>
      <c r="DJ254">
        <v>0</v>
      </c>
      <c r="DK254">
        <v>0</v>
      </c>
      <c r="DL254">
        <v>0</v>
      </c>
      <c r="DM254">
        <v>0</v>
      </c>
      <c r="DN254">
        <v>0</v>
      </c>
      <c r="DO254">
        <v>0</v>
      </c>
      <c r="DP254">
        <v>0</v>
      </c>
      <c r="DQ254">
        <v>0</v>
      </c>
      <c r="DR254">
        <v>0</v>
      </c>
      <c r="DS254">
        <v>0</v>
      </c>
    </row>
    <row r="255" spans="1:123" x14ac:dyDescent="0.25">
      <c r="A255" t="str">
        <f>"04/17/2026 15:38:36.487"</f>
        <v>04/17/2026 15:38:36.487</v>
      </c>
      <c r="C255" t="str">
        <f t="shared" si="17"/>
        <v>FFDFD3C0</v>
      </c>
      <c r="D255" t="s">
        <v>139</v>
      </c>
      <c r="E255" t="str">
        <f>"28"</f>
        <v>28</v>
      </c>
      <c r="H255">
        <v>140</v>
      </c>
      <c r="I255" t="s">
        <v>140</v>
      </c>
      <c r="J255" t="s">
        <v>141</v>
      </c>
      <c r="K255">
        <v>0</v>
      </c>
      <c r="L255">
        <v>3</v>
      </c>
      <c r="M255">
        <v>0</v>
      </c>
      <c r="N255">
        <v>2</v>
      </c>
      <c r="O255">
        <v>1</v>
      </c>
      <c r="P255">
        <v>0</v>
      </c>
      <c r="Q255">
        <v>0</v>
      </c>
      <c r="R255" t="s">
        <v>127</v>
      </c>
      <c r="S255" t="str">
        <f>"15:38:36.195"</f>
        <v>15:38:36.195</v>
      </c>
      <c r="T255" t="str">
        <f>"15:38:35.895"</f>
        <v>15:38:35.895</v>
      </c>
      <c r="U255" t="str">
        <f t="shared" si="18"/>
        <v>A55E09</v>
      </c>
      <c r="V255">
        <v>0</v>
      </c>
      <c r="W255">
        <v>0</v>
      </c>
      <c r="X255">
        <v>2</v>
      </c>
      <c r="Y255">
        <v>0</v>
      </c>
      <c r="AA255">
        <v>0</v>
      </c>
      <c r="AB255">
        <v>9</v>
      </c>
      <c r="AC255">
        <v>3</v>
      </c>
      <c r="AD255">
        <v>0</v>
      </c>
      <c r="AE255">
        <v>9</v>
      </c>
      <c r="AF255" t="s">
        <v>128</v>
      </c>
      <c r="AG255">
        <v>0</v>
      </c>
      <c r="AH255">
        <v>0</v>
      </c>
      <c r="AI255">
        <v>1</v>
      </c>
      <c r="AJ255">
        <v>0</v>
      </c>
      <c r="AK255" t="s">
        <v>260</v>
      </c>
      <c r="AL255">
        <v>33.678825000000003</v>
      </c>
      <c r="AM255" t="s">
        <v>261</v>
      </c>
      <c r="AN255">
        <v>-101.20594699999999</v>
      </c>
      <c r="AO255">
        <v>100</v>
      </c>
      <c r="AP255">
        <v>3300</v>
      </c>
      <c r="AQ255" t="s">
        <v>131</v>
      </c>
      <c r="AR255">
        <v>-22</v>
      </c>
      <c r="AS255">
        <v>78</v>
      </c>
      <c r="AT255">
        <v>-64</v>
      </c>
      <c r="BB255" t="str">
        <f t="shared" si="19"/>
        <v>1200</v>
      </c>
      <c r="BC255">
        <v>1</v>
      </c>
      <c r="BD255" t="str">
        <f t="shared" si="20"/>
        <v xml:space="preserve">N445JS  </v>
      </c>
      <c r="BE255">
        <v>7</v>
      </c>
      <c r="BG255">
        <v>0</v>
      </c>
      <c r="BH255">
        <v>0</v>
      </c>
      <c r="BI255">
        <v>0</v>
      </c>
      <c r="BJ255">
        <v>3125</v>
      </c>
      <c r="BK255">
        <v>-175</v>
      </c>
      <c r="BL255" t="s">
        <v>132</v>
      </c>
      <c r="BM255">
        <v>1</v>
      </c>
      <c r="BN255">
        <v>1</v>
      </c>
      <c r="BO255">
        <v>1</v>
      </c>
      <c r="BP255">
        <v>0</v>
      </c>
      <c r="BT255">
        <v>0</v>
      </c>
      <c r="BU255">
        <v>0</v>
      </c>
      <c r="CE255" t="str">
        <f>"15:38:36.202"</f>
        <v>15:38:36.202</v>
      </c>
      <c r="CF255">
        <v>201809742</v>
      </c>
      <c r="CS255">
        <v>0</v>
      </c>
      <c r="CT255">
        <v>2</v>
      </c>
      <c r="CU255">
        <v>0</v>
      </c>
      <c r="CV255">
        <v>2</v>
      </c>
      <c r="CW255">
        <v>0</v>
      </c>
      <c r="CX255">
        <v>7</v>
      </c>
      <c r="CY255">
        <v>7</v>
      </c>
      <c r="CZ255" t="s">
        <v>133</v>
      </c>
      <c r="DA255">
        <v>125</v>
      </c>
      <c r="DB255">
        <v>1</v>
      </c>
      <c r="DC255" t="s">
        <v>134</v>
      </c>
      <c r="DD255" t="s">
        <v>135</v>
      </c>
      <c r="DG255">
        <v>2506186</v>
      </c>
      <c r="DI255">
        <v>0</v>
      </c>
      <c r="DJ255">
        <v>0</v>
      </c>
      <c r="DK255">
        <v>1</v>
      </c>
      <c r="DL255">
        <v>0</v>
      </c>
      <c r="DM255">
        <v>0</v>
      </c>
      <c r="DN255">
        <v>0</v>
      </c>
      <c r="DO255">
        <v>0</v>
      </c>
      <c r="DP255">
        <v>0</v>
      </c>
      <c r="DQ255">
        <v>0</v>
      </c>
      <c r="DR255">
        <v>0</v>
      </c>
      <c r="DS255">
        <v>0</v>
      </c>
    </row>
    <row r="256" spans="1:123" x14ac:dyDescent="0.25">
      <c r="A256" t="str">
        <f>"04/17/2026 15:38:36.506"</f>
        <v>04/17/2026 15:38:36.506</v>
      </c>
      <c r="C256" t="str">
        <f t="shared" si="17"/>
        <v>FFDFD3C0</v>
      </c>
      <c r="D256" t="s">
        <v>136</v>
      </c>
      <c r="E256" t="str">
        <f>"0E"</f>
        <v>0E</v>
      </c>
      <c r="F256">
        <v>1014</v>
      </c>
      <c r="G256" t="s">
        <v>125</v>
      </c>
      <c r="J256" t="s">
        <v>137</v>
      </c>
      <c r="K256">
        <v>0</v>
      </c>
      <c r="L256">
        <v>3</v>
      </c>
      <c r="M256">
        <v>0</v>
      </c>
      <c r="N256">
        <v>2</v>
      </c>
      <c r="O256">
        <v>1</v>
      </c>
      <c r="P256">
        <v>0</v>
      </c>
      <c r="Q256">
        <v>0</v>
      </c>
      <c r="R256" t="s">
        <v>127</v>
      </c>
      <c r="S256" t="str">
        <f>"15:38:36.195"</f>
        <v>15:38:36.195</v>
      </c>
      <c r="T256" t="str">
        <f>"15:38:35.895"</f>
        <v>15:38:35.895</v>
      </c>
      <c r="U256" t="str">
        <f t="shared" si="18"/>
        <v>A55E09</v>
      </c>
      <c r="V256">
        <v>0</v>
      </c>
      <c r="W256">
        <v>0</v>
      </c>
      <c r="X256">
        <v>2</v>
      </c>
      <c r="Y256">
        <v>0</v>
      </c>
      <c r="AA256">
        <v>0</v>
      </c>
      <c r="AB256">
        <v>9</v>
      </c>
      <c r="AC256">
        <v>3</v>
      </c>
      <c r="AD256">
        <v>0</v>
      </c>
      <c r="AE256">
        <v>9</v>
      </c>
      <c r="AF256" t="s">
        <v>128</v>
      </c>
      <c r="AG256">
        <v>0</v>
      </c>
      <c r="AH256">
        <v>0</v>
      </c>
      <c r="AI256">
        <v>1</v>
      </c>
      <c r="AJ256">
        <v>0</v>
      </c>
      <c r="AK256" t="s">
        <v>260</v>
      </c>
      <c r="AL256">
        <v>33.678825000000003</v>
      </c>
      <c r="AM256" t="s">
        <v>261</v>
      </c>
      <c r="AN256">
        <v>-101.20594699999999</v>
      </c>
      <c r="AO256">
        <v>100</v>
      </c>
      <c r="AP256">
        <v>3300</v>
      </c>
      <c r="AQ256" t="s">
        <v>131</v>
      </c>
      <c r="AR256">
        <v>-22</v>
      </c>
      <c r="AS256">
        <v>78</v>
      </c>
      <c r="AT256">
        <v>-64</v>
      </c>
      <c r="BB256" t="str">
        <f t="shared" si="19"/>
        <v>1200</v>
      </c>
      <c r="BC256">
        <v>1</v>
      </c>
      <c r="BD256" t="str">
        <f t="shared" si="20"/>
        <v xml:space="preserve">N445JS  </v>
      </c>
      <c r="BE256">
        <v>7</v>
      </c>
      <c r="BG256">
        <v>0</v>
      </c>
      <c r="BH256">
        <v>0</v>
      </c>
      <c r="BI256">
        <v>0</v>
      </c>
      <c r="BJ256">
        <v>3125</v>
      </c>
      <c r="BK256">
        <v>-175</v>
      </c>
      <c r="BL256" t="s">
        <v>132</v>
      </c>
      <c r="BM256">
        <v>1</v>
      </c>
      <c r="BN256">
        <v>1</v>
      </c>
      <c r="BO256">
        <v>1</v>
      </c>
      <c r="BP256">
        <v>0</v>
      </c>
      <c r="BT256">
        <v>0</v>
      </c>
      <c r="BU256">
        <v>0</v>
      </c>
      <c r="CE256" t="str">
        <f>"15:38:36.202"</f>
        <v>15:38:36.202</v>
      </c>
      <c r="CF256">
        <v>201809742</v>
      </c>
      <c r="CS256">
        <v>0</v>
      </c>
      <c r="CT256">
        <v>2</v>
      </c>
      <c r="CU256">
        <v>0</v>
      </c>
      <c r="CV256">
        <v>2</v>
      </c>
      <c r="CW256">
        <v>0</v>
      </c>
      <c r="CX256">
        <v>7</v>
      </c>
      <c r="CY256">
        <v>7</v>
      </c>
      <c r="CZ256" t="s">
        <v>133</v>
      </c>
      <c r="DA256">
        <v>125</v>
      </c>
      <c r="DB256">
        <v>1</v>
      </c>
      <c r="DC256" t="s">
        <v>134</v>
      </c>
      <c r="DD256" t="s">
        <v>135</v>
      </c>
      <c r="DG256">
        <v>2506186</v>
      </c>
      <c r="DI256">
        <v>0</v>
      </c>
      <c r="DJ256">
        <v>0</v>
      </c>
      <c r="DK256">
        <v>1</v>
      </c>
      <c r="DL256">
        <v>0</v>
      </c>
      <c r="DM256">
        <v>0</v>
      </c>
      <c r="DN256">
        <v>0</v>
      </c>
      <c r="DO256">
        <v>0</v>
      </c>
      <c r="DP256">
        <v>0</v>
      </c>
      <c r="DQ256">
        <v>0</v>
      </c>
      <c r="DR256">
        <v>0</v>
      </c>
      <c r="DS256">
        <v>0</v>
      </c>
    </row>
    <row r="257" spans="1:123" x14ac:dyDescent="0.25">
      <c r="A257" t="str">
        <f>"04/17/2026 15:38:36.507"</f>
        <v>04/17/2026 15:38:36.507</v>
      </c>
      <c r="C257" t="str">
        <f t="shared" si="17"/>
        <v>FFDFD3C0</v>
      </c>
      <c r="D257" t="s">
        <v>136</v>
      </c>
      <c r="E257" t="str">
        <f>"0F"</f>
        <v>0F</v>
      </c>
      <c r="F257">
        <v>1015</v>
      </c>
      <c r="G257" t="s">
        <v>138</v>
      </c>
      <c r="J257" t="s">
        <v>137</v>
      </c>
      <c r="K257">
        <v>0</v>
      </c>
      <c r="L257">
        <v>3</v>
      </c>
      <c r="M257">
        <v>0</v>
      </c>
      <c r="N257">
        <v>2</v>
      </c>
      <c r="O257">
        <v>1</v>
      </c>
      <c r="P257">
        <v>0</v>
      </c>
      <c r="Q257">
        <v>0</v>
      </c>
      <c r="R257" t="s">
        <v>127</v>
      </c>
      <c r="S257" t="str">
        <f>"15:38:36.195"</f>
        <v>15:38:36.195</v>
      </c>
      <c r="T257" t="str">
        <f>"15:38:35.895"</f>
        <v>15:38:35.895</v>
      </c>
      <c r="U257" t="str">
        <f t="shared" si="18"/>
        <v>A55E09</v>
      </c>
      <c r="V257">
        <v>0</v>
      </c>
      <c r="W257">
        <v>0</v>
      </c>
      <c r="X257">
        <v>2</v>
      </c>
      <c r="Y257">
        <v>0</v>
      </c>
      <c r="AA257">
        <v>0</v>
      </c>
      <c r="AB257">
        <v>9</v>
      </c>
      <c r="AC257">
        <v>3</v>
      </c>
      <c r="AD257">
        <v>0</v>
      </c>
      <c r="AE257">
        <v>9</v>
      </c>
      <c r="AF257" t="s">
        <v>128</v>
      </c>
      <c r="AG257">
        <v>0</v>
      </c>
      <c r="AH257">
        <v>0</v>
      </c>
      <c r="AI257">
        <v>1</v>
      </c>
      <c r="AJ257">
        <v>0</v>
      </c>
      <c r="AK257" t="s">
        <v>260</v>
      </c>
      <c r="AL257">
        <v>33.678825000000003</v>
      </c>
      <c r="AM257" t="s">
        <v>261</v>
      </c>
      <c r="AN257">
        <v>-101.20594699999999</v>
      </c>
      <c r="AO257">
        <v>100</v>
      </c>
      <c r="AP257">
        <v>3300</v>
      </c>
      <c r="AQ257" t="s">
        <v>131</v>
      </c>
      <c r="AR257">
        <v>-22</v>
      </c>
      <c r="AS257">
        <v>78</v>
      </c>
      <c r="AT257">
        <v>-64</v>
      </c>
      <c r="BB257" t="str">
        <f t="shared" si="19"/>
        <v>1200</v>
      </c>
      <c r="BC257">
        <v>1</v>
      </c>
      <c r="BD257" t="str">
        <f t="shared" si="20"/>
        <v xml:space="preserve">N445JS  </v>
      </c>
      <c r="BE257">
        <v>7</v>
      </c>
      <c r="BG257">
        <v>0</v>
      </c>
      <c r="BH257">
        <v>0</v>
      </c>
      <c r="BI257">
        <v>0</v>
      </c>
      <c r="BJ257">
        <v>3125</v>
      </c>
      <c r="BK257">
        <v>-175</v>
      </c>
      <c r="BL257" t="s">
        <v>132</v>
      </c>
      <c r="BM257">
        <v>1</v>
      </c>
      <c r="BN257">
        <v>1</v>
      </c>
      <c r="BO257">
        <v>1</v>
      </c>
      <c r="BP257">
        <v>0</v>
      </c>
      <c r="BT257">
        <v>0</v>
      </c>
      <c r="BU257">
        <v>0</v>
      </c>
      <c r="CE257" t="str">
        <f>"15:38:36.202"</f>
        <v>15:38:36.202</v>
      </c>
      <c r="CF257">
        <v>201809742</v>
      </c>
      <c r="CS257">
        <v>0</v>
      </c>
      <c r="CT257">
        <v>2</v>
      </c>
      <c r="CU257">
        <v>0</v>
      </c>
      <c r="CV257">
        <v>2</v>
      </c>
      <c r="CW257">
        <v>0</v>
      </c>
      <c r="CX257">
        <v>7</v>
      </c>
      <c r="CY257">
        <v>7</v>
      </c>
      <c r="CZ257" t="s">
        <v>133</v>
      </c>
      <c r="DA257">
        <v>125</v>
      </c>
      <c r="DB257">
        <v>1</v>
      </c>
      <c r="DC257" t="s">
        <v>134</v>
      </c>
      <c r="DD257" t="s">
        <v>135</v>
      </c>
      <c r="DG257">
        <v>2506186</v>
      </c>
      <c r="DI257">
        <v>0</v>
      </c>
      <c r="DJ257">
        <v>0</v>
      </c>
      <c r="DK257">
        <v>1</v>
      </c>
      <c r="DL257">
        <v>0</v>
      </c>
      <c r="DM257">
        <v>0</v>
      </c>
      <c r="DN257">
        <v>0</v>
      </c>
      <c r="DO257">
        <v>0</v>
      </c>
      <c r="DP257">
        <v>0</v>
      </c>
      <c r="DQ257">
        <v>0</v>
      </c>
      <c r="DR257">
        <v>0</v>
      </c>
      <c r="DS257">
        <v>0</v>
      </c>
    </row>
    <row r="258" spans="1:123" x14ac:dyDescent="0.25">
      <c r="A258" t="str">
        <f>"04/17/2026 15:38:37.488"</f>
        <v>04/17/2026 15:38:37.488</v>
      </c>
      <c r="C258" t="str">
        <f t="shared" ref="C258:C321" si="23">"FFDFD3C0"</f>
        <v>FFDFD3C0</v>
      </c>
      <c r="D258" t="s">
        <v>139</v>
      </c>
      <c r="E258" t="str">
        <f>"28"</f>
        <v>28</v>
      </c>
      <c r="H258">
        <v>140</v>
      </c>
      <c r="I258" t="s">
        <v>140</v>
      </c>
      <c r="J258" t="s">
        <v>141</v>
      </c>
      <c r="K258">
        <v>0</v>
      </c>
      <c r="L258">
        <v>3</v>
      </c>
      <c r="M258">
        <v>0</v>
      </c>
      <c r="N258">
        <v>2</v>
      </c>
      <c r="O258">
        <v>1</v>
      </c>
      <c r="P258">
        <v>0</v>
      </c>
      <c r="Q258">
        <v>0</v>
      </c>
      <c r="R258" t="s">
        <v>127</v>
      </c>
      <c r="S258" t="str">
        <f>"15:38:37.234"</f>
        <v>15:38:37.234</v>
      </c>
      <c r="T258" t="str">
        <f>"15:38:36.834"</f>
        <v>15:38:36.834</v>
      </c>
      <c r="U258" t="str">
        <f t="shared" ref="U258:U321" si="24">"A55E09"</f>
        <v>A55E09</v>
      </c>
      <c r="V258">
        <v>0</v>
      </c>
      <c r="W258">
        <v>0</v>
      </c>
      <c r="X258">
        <v>2</v>
      </c>
      <c r="Y258">
        <v>0</v>
      </c>
      <c r="AA258">
        <v>0</v>
      </c>
      <c r="AB258">
        <v>9</v>
      </c>
      <c r="AC258">
        <v>3</v>
      </c>
      <c r="AD258">
        <v>0</v>
      </c>
      <c r="AE258">
        <v>9</v>
      </c>
      <c r="AF258" t="s">
        <v>128</v>
      </c>
      <c r="AG258">
        <v>0</v>
      </c>
      <c r="AH258">
        <v>0</v>
      </c>
      <c r="AI258">
        <v>1</v>
      </c>
      <c r="AJ258">
        <v>0</v>
      </c>
      <c r="AK258" t="s">
        <v>262</v>
      </c>
      <c r="AL258">
        <v>33.679189999999998</v>
      </c>
      <c r="AM258" t="s">
        <v>263</v>
      </c>
      <c r="AN258">
        <v>-101.206119</v>
      </c>
      <c r="AO258">
        <v>100</v>
      </c>
      <c r="AP258">
        <v>3300</v>
      </c>
      <c r="AQ258" t="s">
        <v>131</v>
      </c>
      <c r="AR258">
        <v>-22</v>
      </c>
      <c r="AS258">
        <v>79</v>
      </c>
      <c r="AT258">
        <v>0</v>
      </c>
      <c r="BB258" t="str">
        <f t="shared" ref="BB258:BB321" si="25">"1200"</f>
        <v>1200</v>
      </c>
      <c r="BC258">
        <v>1</v>
      </c>
      <c r="BD258" t="str">
        <f t="shared" ref="BD258:BD321" si="26">"N445JS  "</f>
        <v xml:space="preserve">N445JS  </v>
      </c>
      <c r="BE258">
        <v>7</v>
      </c>
      <c r="BG258">
        <v>0</v>
      </c>
      <c r="BH258">
        <v>0</v>
      </c>
      <c r="BI258">
        <v>0</v>
      </c>
      <c r="BJ258">
        <v>3125</v>
      </c>
      <c r="BK258">
        <v>-175</v>
      </c>
      <c r="BL258" t="s">
        <v>132</v>
      </c>
      <c r="BM258">
        <v>1</v>
      </c>
      <c r="BN258">
        <v>1</v>
      </c>
      <c r="BO258">
        <v>1</v>
      </c>
      <c r="BP258">
        <v>0</v>
      </c>
      <c r="BT258">
        <v>0</v>
      </c>
      <c r="BU258">
        <v>0</v>
      </c>
      <c r="CE258" t="str">
        <f>"15:38:37.237"</f>
        <v>15:38:37.237</v>
      </c>
      <c r="CF258">
        <v>236708268</v>
      </c>
      <c r="CS258">
        <v>0</v>
      </c>
      <c r="CT258">
        <v>2</v>
      </c>
      <c r="CU258">
        <v>0</v>
      </c>
      <c r="CV258">
        <v>2</v>
      </c>
      <c r="CW258">
        <v>0</v>
      </c>
      <c r="CX258">
        <v>7</v>
      </c>
      <c r="CY258">
        <v>7</v>
      </c>
      <c r="CZ258" t="s">
        <v>133</v>
      </c>
      <c r="DA258">
        <v>125</v>
      </c>
      <c r="DB258">
        <v>1</v>
      </c>
      <c r="DC258" t="s">
        <v>134</v>
      </c>
      <c r="DD258" t="s">
        <v>135</v>
      </c>
      <c r="DG258">
        <v>2507242</v>
      </c>
      <c r="DI258">
        <v>0</v>
      </c>
      <c r="DJ258">
        <v>0</v>
      </c>
      <c r="DK258">
        <v>0</v>
      </c>
      <c r="DL258">
        <v>0</v>
      </c>
      <c r="DM258">
        <v>0</v>
      </c>
      <c r="DN258">
        <v>0</v>
      </c>
      <c r="DO258">
        <v>0</v>
      </c>
      <c r="DP258">
        <v>0</v>
      </c>
      <c r="DQ258">
        <v>0</v>
      </c>
      <c r="DR258">
        <v>0</v>
      </c>
      <c r="DS258">
        <v>0</v>
      </c>
    </row>
    <row r="259" spans="1:123" x14ac:dyDescent="0.25">
      <c r="A259" t="str">
        <f>"04/17/2026 15:38:37.508"</f>
        <v>04/17/2026 15:38:37.508</v>
      </c>
      <c r="C259" t="str">
        <f t="shared" si="23"/>
        <v>FFDFD3C0</v>
      </c>
      <c r="D259" t="s">
        <v>136</v>
      </c>
      <c r="E259" t="str">
        <f>"0E"</f>
        <v>0E</v>
      </c>
      <c r="F259">
        <v>1014</v>
      </c>
      <c r="G259" t="s">
        <v>125</v>
      </c>
      <c r="J259" t="s">
        <v>137</v>
      </c>
      <c r="K259">
        <v>0</v>
      </c>
      <c r="L259">
        <v>3</v>
      </c>
      <c r="M259">
        <v>0</v>
      </c>
      <c r="N259">
        <v>2</v>
      </c>
      <c r="O259">
        <v>1</v>
      </c>
      <c r="P259">
        <v>0</v>
      </c>
      <c r="Q259">
        <v>0</v>
      </c>
      <c r="R259" t="s">
        <v>127</v>
      </c>
      <c r="S259" t="str">
        <f>"15:38:37.234"</f>
        <v>15:38:37.234</v>
      </c>
      <c r="T259" t="str">
        <f>"15:38:36.834"</f>
        <v>15:38:36.834</v>
      </c>
      <c r="U259" t="str">
        <f t="shared" si="24"/>
        <v>A55E09</v>
      </c>
      <c r="V259">
        <v>0</v>
      </c>
      <c r="W259">
        <v>0</v>
      </c>
      <c r="X259">
        <v>2</v>
      </c>
      <c r="Y259">
        <v>0</v>
      </c>
      <c r="AA259">
        <v>0</v>
      </c>
      <c r="AB259">
        <v>9</v>
      </c>
      <c r="AC259">
        <v>3</v>
      </c>
      <c r="AD259">
        <v>0</v>
      </c>
      <c r="AE259">
        <v>9</v>
      </c>
      <c r="AF259" t="s">
        <v>128</v>
      </c>
      <c r="AG259">
        <v>0</v>
      </c>
      <c r="AH259">
        <v>0</v>
      </c>
      <c r="AI259">
        <v>1</v>
      </c>
      <c r="AJ259">
        <v>0</v>
      </c>
      <c r="AK259" t="s">
        <v>262</v>
      </c>
      <c r="AL259">
        <v>33.679189999999998</v>
      </c>
      <c r="AM259" t="s">
        <v>263</v>
      </c>
      <c r="AN259">
        <v>-101.206119</v>
      </c>
      <c r="AO259">
        <v>100</v>
      </c>
      <c r="AP259">
        <v>3300</v>
      </c>
      <c r="AQ259" t="s">
        <v>131</v>
      </c>
      <c r="AR259">
        <v>-22</v>
      </c>
      <c r="AS259">
        <v>79</v>
      </c>
      <c r="AT259">
        <v>0</v>
      </c>
      <c r="BB259" t="str">
        <f t="shared" si="25"/>
        <v>1200</v>
      </c>
      <c r="BC259">
        <v>1</v>
      </c>
      <c r="BD259" t="str">
        <f t="shared" si="26"/>
        <v xml:space="preserve">N445JS  </v>
      </c>
      <c r="BE259">
        <v>7</v>
      </c>
      <c r="BG259">
        <v>0</v>
      </c>
      <c r="BH259">
        <v>0</v>
      </c>
      <c r="BI259">
        <v>0</v>
      </c>
      <c r="BJ259">
        <v>3125</v>
      </c>
      <c r="BK259">
        <v>-175</v>
      </c>
      <c r="BL259" t="s">
        <v>132</v>
      </c>
      <c r="BM259">
        <v>1</v>
      </c>
      <c r="BN259">
        <v>1</v>
      </c>
      <c r="BO259">
        <v>1</v>
      </c>
      <c r="BP259">
        <v>0</v>
      </c>
      <c r="BT259">
        <v>0</v>
      </c>
      <c r="BU259">
        <v>0</v>
      </c>
      <c r="CE259" t="str">
        <f>"15:38:37.237"</f>
        <v>15:38:37.237</v>
      </c>
      <c r="CF259">
        <v>236708268</v>
      </c>
      <c r="CS259">
        <v>0</v>
      </c>
      <c r="CT259">
        <v>2</v>
      </c>
      <c r="CU259">
        <v>0</v>
      </c>
      <c r="CV259">
        <v>2</v>
      </c>
      <c r="CW259">
        <v>0</v>
      </c>
      <c r="CX259">
        <v>7</v>
      </c>
      <c r="CY259">
        <v>7</v>
      </c>
      <c r="CZ259" t="s">
        <v>133</v>
      </c>
      <c r="DA259">
        <v>125</v>
      </c>
      <c r="DB259">
        <v>1</v>
      </c>
      <c r="DC259" t="s">
        <v>134</v>
      </c>
      <c r="DD259" t="s">
        <v>135</v>
      </c>
      <c r="DG259">
        <v>2507242</v>
      </c>
      <c r="DI259">
        <v>0</v>
      </c>
      <c r="DJ259">
        <v>0</v>
      </c>
      <c r="DK259">
        <v>1</v>
      </c>
      <c r="DL259">
        <v>0</v>
      </c>
      <c r="DM259">
        <v>0</v>
      </c>
      <c r="DN259">
        <v>0</v>
      </c>
      <c r="DO259">
        <v>0</v>
      </c>
      <c r="DP259">
        <v>0</v>
      </c>
      <c r="DQ259">
        <v>0</v>
      </c>
      <c r="DR259">
        <v>0</v>
      </c>
      <c r="DS259">
        <v>0</v>
      </c>
    </row>
    <row r="260" spans="1:123" x14ac:dyDescent="0.25">
      <c r="A260" t="str">
        <f>"04/17/2026 15:38:37.509"</f>
        <v>04/17/2026 15:38:37.509</v>
      </c>
      <c r="C260" t="str">
        <f t="shared" si="23"/>
        <v>FFDFD3C0</v>
      </c>
      <c r="D260" t="s">
        <v>136</v>
      </c>
      <c r="E260" t="str">
        <f>"0F"</f>
        <v>0F</v>
      </c>
      <c r="F260">
        <v>1015</v>
      </c>
      <c r="G260" t="s">
        <v>138</v>
      </c>
      <c r="J260" t="s">
        <v>137</v>
      </c>
      <c r="K260">
        <v>0</v>
      </c>
      <c r="L260">
        <v>3</v>
      </c>
      <c r="M260">
        <v>0</v>
      </c>
      <c r="N260">
        <v>2</v>
      </c>
      <c r="O260">
        <v>1</v>
      </c>
      <c r="P260">
        <v>0</v>
      </c>
      <c r="Q260">
        <v>0</v>
      </c>
      <c r="R260" t="s">
        <v>127</v>
      </c>
      <c r="S260" t="str">
        <f>"15:38:37.234"</f>
        <v>15:38:37.234</v>
      </c>
      <c r="T260" t="str">
        <f>"15:38:36.834"</f>
        <v>15:38:36.834</v>
      </c>
      <c r="U260" t="str">
        <f t="shared" si="24"/>
        <v>A55E09</v>
      </c>
      <c r="V260">
        <v>0</v>
      </c>
      <c r="W260">
        <v>0</v>
      </c>
      <c r="X260">
        <v>2</v>
      </c>
      <c r="Y260">
        <v>0</v>
      </c>
      <c r="AA260">
        <v>0</v>
      </c>
      <c r="AB260">
        <v>9</v>
      </c>
      <c r="AC260">
        <v>3</v>
      </c>
      <c r="AD260">
        <v>0</v>
      </c>
      <c r="AE260">
        <v>9</v>
      </c>
      <c r="AF260" t="s">
        <v>128</v>
      </c>
      <c r="AG260">
        <v>0</v>
      </c>
      <c r="AH260">
        <v>0</v>
      </c>
      <c r="AI260">
        <v>1</v>
      </c>
      <c r="AJ260">
        <v>0</v>
      </c>
      <c r="AK260" t="s">
        <v>262</v>
      </c>
      <c r="AL260">
        <v>33.679189999999998</v>
      </c>
      <c r="AM260" t="s">
        <v>263</v>
      </c>
      <c r="AN260">
        <v>-101.206119</v>
      </c>
      <c r="AO260">
        <v>100</v>
      </c>
      <c r="AP260">
        <v>3300</v>
      </c>
      <c r="AQ260" t="s">
        <v>131</v>
      </c>
      <c r="AR260">
        <v>-22</v>
      </c>
      <c r="AS260">
        <v>79</v>
      </c>
      <c r="AT260">
        <v>0</v>
      </c>
      <c r="BB260" t="str">
        <f t="shared" si="25"/>
        <v>1200</v>
      </c>
      <c r="BC260">
        <v>1</v>
      </c>
      <c r="BD260" t="str">
        <f t="shared" si="26"/>
        <v xml:space="preserve">N445JS  </v>
      </c>
      <c r="BE260">
        <v>7</v>
      </c>
      <c r="BG260">
        <v>0</v>
      </c>
      <c r="BH260">
        <v>0</v>
      </c>
      <c r="BI260">
        <v>0</v>
      </c>
      <c r="BJ260">
        <v>3125</v>
      </c>
      <c r="BK260">
        <v>-175</v>
      </c>
      <c r="BL260" t="s">
        <v>132</v>
      </c>
      <c r="BM260">
        <v>1</v>
      </c>
      <c r="BN260">
        <v>1</v>
      </c>
      <c r="BO260">
        <v>1</v>
      </c>
      <c r="BP260">
        <v>0</v>
      </c>
      <c r="BT260">
        <v>0</v>
      </c>
      <c r="BU260">
        <v>0</v>
      </c>
      <c r="CE260" t="str">
        <f>"15:38:37.237"</f>
        <v>15:38:37.237</v>
      </c>
      <c r="CF260">
        <v>236708268</v>
      </c>
      <c r="CS260">
        <v>0</v>
      </c>
      <c r="CT260">
        <v>2</v>
      </c>
      <c r="CU260">
        <v>0</v>
      </c>
      <c r="CV260">
        <v>2</v>
      </c>
      <c r="CW260">
        <v>0</v>
      </c>
      <c r="CX260">
        <v>7</v>
      </c>
      <c r="CY260">
        <v>7</v>
      </c>
      <c r="CZ260" t="s">
        <v>133</v>
      </c>
      <c r="DA260">
        <v>125</v>
      </c>
      <c r="DB260">
        <v>1</v>
      </c>
      <c r="DC260" t="s">
        <v>134</v>
      </c>
      <c r="DD260" t="s">
        <v>135</v>
      </c>
      <c r="DG260">
        <v>2507242</v>
      </c>
      <c r="DI260">
        <v>0</v>
      </c>
      <c r="DJ260">
        <v>0</v>
      </c>
      <c r="DK260">
        <v>1</v>
      </c>
      <c r="DL260">
        <v>0</v>
      </c>
      <c r="DM260">
        <v>0</v>
      </c>
      <c r="DN260">
        <v>0</v>
      </c>
      <c r="DO260">
        <v>0</v>
      </c>
      <c r="DP260">
        <v>0</v>
      </c>
      <c r="DQ260">
        <v>0</v>
      </c>
      <c r="DR260">
        <v>0</v>
      </c>
      <c r="DS260">
        <v>0</v>
      </c>
    </row>
    <row r="261" spans="1:123" x14ac:dyDescent="0.25">
      <c r="A261" t="str">
        <f>"04/17/2026 15:38:37.515"</f>
        <v>04/17/2026 15:38:37.515</v>
      </c>
      <c r="C261" t="str">
        <f t="shared" si="23"/>
        <v>FFDFD3C0</v>
      </c>
      <c r="D261" t="s">
        <v>124</v>
      </c>
      <c r="E261" t="str">
        <f>"03"</f>
        <v>03</v>
      </c>
      <c r="H261">
        <v>160</v>
      </c>
      <c r="I261" t="s">
        <v>125</v>
      </c>
      <c r="J261" t="s">
        <v>126</v>
      </c>
      <c r="K261">
        <v>0</v>
      </c>
      <c r="L261">
        <v>3</v>
      </c>
      <c r="M261">
        <v>0</v>
      </c>
      <c r="N261">
        <v>2</v>
      </c>
      <c r="O261">
        <v>1</v>
      </c>
      <c r="P261">
        <v>0</v>
      </c>
      <c r="Q261">
        <v>0</v>
      </c>
      <c r="R261" t="s">
        <v>127</v>
      </c>
      <c r="S261" t="str">
        <f>"15:38:37.234"</f>
        <v>15:38:37.234</v>
      </c>
      <c r="T261" t="str">
        <f>"15:38:36.834"</f>
        <v>15:38:36.834</v>
      </c>
      <c r="U261" t="str">
        <f t="shared" si="24"/>
        <v>A55E09</v>
      </c>
      <c r="V261">
        <v>0</v>
      </c>
      <c r="W261">
        <v>0</v>
      </c>
      <c r="X261">
        <v>2</v>
      </c>
      <c r="Y261">
        <v>0</v>
      </c>
      <c r="AA261">
        <v>0</v>
      </c>
      <c r="AB261">
        <v>9</v>
      </c>
      <c r="AC261">
        <v>3</v>
      </c>
      <c r="AD261">
        <v>0</v>
      </c>
      <c r="AE261">
        <v>9</v>
      </c>
      <c r="AF261" t="s">
        <v>128</v>
      </c>
      <c r="AG261">
        <v>0</v>
      </c>
      <c r="AH261">
        <v>0</v>
      </c>
      <c r="AI261">
        <v>1</v>
      </c>
      <c r="AJ261">
        <v>0</v>
      </c>
      <c r="AK261" t="s">
        <v>262</v>
      </c>
      <c r="AL261">
        <v>33.679189999999998</v>
      </c>
      <c r="AM261" t="s">
        <v>263</v>
      </c>
      <c r="AN261">
        <v>-101.206119</v>
      </c>
      <c r="AO261">
        <v>100</v>
      </c>
      <c r="AP261">
        <v>3300</v>
      </c>
      <c r="AQ261" t="s">
        <v>131</v>
      </c>
      <c r="AR261">
        <v>-22</v>
      </c>
      <c r="AS261">
        <v>79</v>
      </c>
      <c r="AT261">
        <v>0</v>
      </c>
      <c r="BB261" t="str">
        <f t="shared" si="25"/>
        <v>1200</v>
      </c>
      <c r="BC261">
        <v>1</v>
      </c>
      <c r="BD261" t="str">
        <f t="shared" si="26"/>
        <v xml:space="preserve">N445JS  </v>
      </c>
      <c r="BE261">
        <v>7</v>
      </c>
      <c r="BG261">
        <v>0</v>
      </c>
      <c r="BH261">
        <v>0</v>
      </c>
      <c r="BI261">
        <v>0</v>
      </c>
      <c r="BJ261">
        <v>3125</v>
      </c>
      <c r="BK261">
        <v>-175</v>
      </c>
      <c r="BL261" t="s">
        <v>132</v>
      </c>
      <c r="BM261">
        <v>1</v>
      </c>
      <c r="BN261">
        <v>1</v>
      </c>
      <c r="BO261">
        <v>1</v>
      </c>
      <c r="BP261">
        <v>0</v>
      </c>
      <c r="BT261">
        <v>0</v>
      </c>
      <c r="BU261">
        <v>0</v>
      </c>
      <c r="CE261" t="str">
        <f>"15:38:37.237"</f>
        <v>15:38:37.237</v>
      </c>
      <c r="CF261">
        <v>236708268</v>
      </c>
      <c r="CS261">
        <v>0</v>
      </c>
      <c r="CT261">
        <v>2</v>
      </c>
      <c r="CU261">
        <v>0</v>
      </c>
      <c r="CV261">
        <v>2</v>
      </c>
      <c r="CW261">
        <v>0</v>
      </c>
      <c r="CX261">
        <v>7</v>
      </c>
      <c r="CY261">
        <v>7</v>
      </c>
      <c r="CZ261" t="s">
        <v>133</v>
      </c>
      <c r="DA261">
        <v>125</v>
      </c>
      <c r="DB261">
        <v>1</v>
      </c>
      <c r="DC261" t="s">
        <v>134</v>
      </c>
      <c r="DD261" t="s">
        <v>135</v>
      </c>
      <c r="DG261">
        <v>2507242</v>
      </c>
      <c r="DI261">
        <v>0</v>
      </c>
      <c r="DJ261">
        <v>0</v>
      </c>
      <c r="DK261">
        <v>1</v>
      </c>
      <c r="DL261">
        <v>0</v>
      </c>
      <c r="DM261">
        <v>0</v>
      </c>
      <c r="DN261">
        <v>0</v>
      </c>
      <c r="DO261">
        <v>0</v>
      </c>
      <c r="DP261">
        <v>0</v>
      </c>
      <c r="DQ261">
        <v>0</v>
      </c>
      <c r="DR261">
        <v>0</v>
      </c>
      <c r="DS261">
        <v>0</v>
      </c>
    </row>
    <row r="262" spans="1:123" x14ac:dyDescent="0.25">
      <c r="A262" t="str">
        <f>"04/17/2026 15:38:38.390"</f>
        <v>04/17/2026 15:38:38.390</v>
      </c>
      <c r="C262" t="str">
        <f t="shared" si="23"/>
        <v>FFDFD3C0</v>
      </c>
      <c r="D262" t="s">
        <v>139</v>
      </c>
      <c r="E262" t="str">
        <f>"28"</f>
        <v>28</v>
      </c>
      <c r="H262">
        <v>140</v>
      </c>
      <c r="I262" t="s">
        <v>140</v>
      </c>
      <c r="J262" t="s">
        <v>141</v>
      </c>
      <c r="K262">
        <v>0</v>
      </c>
      <c r="L262">
        <v>3</v>
      </c>
      <c r="M262">
        <v>0</v>
      </c>
      <c r="N262">
        <v>2</v>
      </c>
      <c r="O262">
        <v>1</v>
      </c>
      <c r="P262">
        <v>0</v>
      </c>
      <c r="Q262">
        <v>0</v>
      </c>
      <c r="R262" t="s">
        <v>127</v>
      </c>
      <c r="S262" t="str">
        <f>"15:38:38.117"</f>
        <v>15:38:38.117</v>
      </c>
      <c r="T262" t="str">
        <f>"15:38:37.717"</f>
        <v>15:38:37.717</v>
      </c>
      <c r="U262" t="str">
        <f t="shared" si="24"/>
        <v>A55E09</v>
      </c>
      <c r="V262">
        <v>0</v>
      </c>
      <c r="W262">
        <v>0</v>
      </c>
      <c r="X262">
        <v>2</v>
      </c>
      <c r="Y262">
        <v>0</v>
      </c>
      <c r="AA262">
        <v>0</v>
      </c>
      <c r="AB262">
        <v>9</v>
      </c>
      <c r="AC262">
        <v>3</v>
      </c>
      <c r="AD262">
        <v>0</v>
      </c>
      <c r="AE262">
        <v>9</v>
      </c>
      <c r="AF262" t="s">
        <v>128</v>
      </c>
      <c r="AG262">
        <v>0</v>
      </c>
      <c r="AH262">
        <v>0</v>
      </c>
      <c r="AI262">
        <v>1</v>
      </c>
      <c r="AJ262">
        <v>0</v>
      </c>
      <c r="AK262" t="s">
        <v>264</v>
      </c>
      <c r="AL262">
        <v>33.679512000000003</v>
      </c>
      <c r="AM262" t="s">
        <v>265</v>
      </c>
      <c r="AN262">
        <v>-101.206226</v>
      </c>
      <c r="AO262">
        <v>100</v>
      </c>
      <c r="AP262">
        <v>3300</v>
      </c>
      <c r="AQ262" t="s">
        <v>131</v>
      </c>
      <c r="AR262">
        <v>-22</v>
      </c>
      <c r="AS262">
        <v>79</v>
      </c>
      <c r="AT262">
        <v>-64</v>
      </c>
      <c r="BB262" t="str">
        <f t="shared" si="25"/>
        <v>1200</v>
      </c>
      <c r="BC262">
        <v>1</v>
      </c>
      <c r="BD262" t="str">
        <f t="shared" si="26"/>
        <v xml:space="preserve">N445JS  </v>
      </c>
      <c r="BE262">
        <v>7</v>
      </c>
      <c r="BG262">
        <v>0</v>
      </c>
      <c r="BH262">
        <v>0</v>
      </c>
      <c r="BI262">
        <v>0</v>
      </c>
      <c r="BJ262">
        <v>3125</v>
      </c>
      <c r="BK262">
        <v>-175</v>
      </c>
      <c r="BL262" t="s">
        <v>132</v>
      </c>
      <c r="BM262">
        <v>1</v>
      </c>
      <c r="BN262">
        <v>1</v>
      </c>
      <c r="BO262">
        <v>1</v>
      </c>
      <c r="BP262">
        <v>0</v>
      </c>
      <c r="BT262">
        <v>0</v>
      </c>
      <c r="BU262">
        <v>0</v>
      </c>
      <c r="CE262" t="str">
        <f>"15:38:38.122"</f>
        <v>15:38:38.122</v>
      </c>
      <c r="CF262">
        <v>121621511</v>
      </c>
      <c r="CS262">
        <v>0</v>
      </c>
      <c r="CT262">
        <v>2</v>
      </c>
      <c r="CU262">
        <v>0</v>
      </c>
      <c r="CV262">
        <v>2</v>
      </c>
      <c r="CW262">
        <v>0</v>
      </c>
      <c r="CX262">
        <v>7</v>
      </c>
      <c r="CY262">
        <v>7</v>
      </c>
      <c r="CZ262" t="s">
        <v>133</v>
      </c>
      <c r="DA262">
        <v>125</v>
      </c>
      <c r="DB262">
        <v>1</v>
      </c>
      <c r="DC262" t="s">
        <v>134</v>
      </c>
      <c r="DD262" t="s">
        <v>135</v>
      </c>
      <c r="DG262">
        <v>2508077</v>
      </c>
      <c r="DI262">
        <v>0</v>
      </c>
      <c r="DJ262">
        <v>0</v>
      </c>
      <c r="DK262">
        <v>0</v>
      </c>
      <c r="DL262">
        <v>0</v>
      </c>
      <c r="DM262">
        <v>0</v>
      </c>
      <c r="DN262">
        <v>0</v>
      </c>
      <c r="DO262">
        <v>0</v>
      </c>
      <c r="DP262">
        <v>0</v>
      </c>
      <c r="DQ262">
        <v>0</v>
      </c>
      <c r="DR262">
        <v>0</v>
      </c>
      <c r="DS262">
        <v>0</v>
      </c>
    </row>
    <row r="263" spans="1:123" x14ac:dyDescent="0.25">
      <c r="A263" t="str">
        <f>"04/17/2026 15:38:38.410"</f>
        <v>04/17/2026 15:38:38.410</v>
      </c>
      <c r="C263" t="str">
        <f t="shared" si="23"/>
        <v>FFDFD3C0</v>
      </c>
      <c r="D263" t="s">
        <v>136</v>
      </c>
      <c r="E263" t="str">
        <f>"0E"</f>
        <v>0E</v>
      </c>
      <c r="F263">
        <v>1014</v>
      </c>
      <c r="G263" t="s">
        <v>125</v>
      </c>
      <c r="J263" t="s">
        <v>137</v>
      </c>
      <c r="K263">
        <v>0</v>
      </c>
      <c r="L263">
        <v>3</v>
      </c>
      <c r="M263">
        <v>0</v>
      </c>
      <c r="N263">
        <v>2</v>
      </c>
      <c r="O263">
        <v>1</v>
      </c>
      <c r="P263">
        <v>0</v>
      </c>
      <c r="Q263">
        <v>0</v>
      </c>
      <c r="R263" t="s">
        <v>127</v>
      </c>
      <c r="S263" t="str">
        <f>"15:38:38.117"</f>
        <v>15:38:38.117</v>
      </c>
      <c r="T263" t="str">
        <f>"15:38:37.717"</f>
        <v>15:38:37.717</v>
      </c>
      <c r="U263" t="str">
        <f t="shared" si="24"/>
        <v>A55E09</v>
      </c>
      <c r="V263">
        <v>0</v>
      </c>
      <c r="W263">
        <v>0</v>
      </c>
      <c r="X263">
        <v>2</v>
      </c>
      <c r="Y263">
        <v>0</v>
      </c>
      <c r="AA263">
        <v>0</v>
      </c>
      <c r="AB263">
        <v>9</v>
      </c>
      <c r="AC263">
        <v>3</v>
      </c>
      <c r="AD263">
        <v>0</v>
      </c>
      <c r="AE263">
        <v>9</v>
      </c>
      <c r="AF263" t="s">
        <v>128</v>
      </c>
      <c r="AG263">
        <v>0</v>
      </c>
      <c r="AH263">
        <v>0</v>
      </c>
      <c r="AI263">
        <v>1</v>
      </c>
      <c r="AJ263">
        <v>0</v>
      </c>
      <c r="AK263" t="s">
        <v>264</v>
      </c>
      <c r="AL263">
        <v>33.679512000000003</v>
      </c>
      <c r="AM263" t="s">
        <v>265</v>
      </c>
      <c r="AN263">
        <v>-101.206226</v>
      </c>
      <c r="AO263">
        <v>100</v>
      </c>
      <c r="AP263">
        <v>3300</v>
      </c>
      <c r="AQ263" t="s">
        <v>131</v>
      </c>
      <c r="AR263">
        <v>-22</v>
      </c>
      <c r="AS263">
        <v>79</v>
      </c>
      <c r="AT263">
        <v>-64</v>
      </c>
      <c r="BB263" t="str">
        <f t="shared" si="25"/>
        <v>1200</v>
      </c>
      <c r="BC263">
        <v>1</v>
      </c>
      <c r="BD263" t="str">
        <f t="shared" si="26"/>
        <v xml:space="preserve">N445JS  </v>
      </c>
      <c r="BE263">
        <v>7</v>
      </c>
      <c r="BG263">
        <v>0</v>
      </c>
      <c r="BH263">
        <v>0</v>
      </c>
      <c r="BI263">
        <v>0</v>
      </c>
      <c r="BJ263">
        <v>3125</v>
      </c>
      <c r="BK263">
        <v>-175</v>
      </c>
      <c r="BL263" t="s">
        <v>132</v>
      </c>
      <c r="BM263">
        <v>1</v>
      </c>
      <c r="BN263">
        <v>1</v>
      </c>
      <c r="BO263">
        <v>1</v>
      </c>
      <c r="BP263">
        <v>0</v>
      </c>
      <c r="BT263">
        <v>0</v>
      </c>
      <c r="BU263">
        <v>0</v>
      </c>
      <c r="CE263" t="str">
        <f>"15:38:38.122"</f>
        <v>15:38:38.122</v>
      </c>
      <c r="CF263">
        <v>121621511</v>
      </c>
      <c r="CS263">
        <v>0</v>
      </c>
      <c r="CT263">
        <v>2</v>
      </c>
      <c r="CU263">
        <v>0</v>
      </c>
      <c r="CV263">
        <v>2</v>
      </c>
      <c r="CW263">
        <v>0</v>
      </c>
      <c r="CX263">
        <v>7</v>
      </c>
      <c r="CY263">
        <v>7</v>
      </c>
      <c r="CZ263" t="s">
        <v>133</v>
      </c>
      <c r="DA263">
        <v>125</v>
      </c>
      <c r="DB263">
        <v>1</v>
      </c>
      <c r="DC263" t="s">
        <v>134</v>
      </c>
      <c r="DD263" t="s">
        <v>135</v>
      </c>
      <c r="DG263">
        <v>2508077</v>
      </c>
      <c r="DI263">
        <v>0</v>
      </c>
      <c r="DJ263">
        <v>0</v>
      </c>
      <c r="DK263">
        <v>1</v>
      </c>
      <c r="DL263">
        <v>0</v>
      </c>
      <c r="DM263">
        <v>0</v>
      </c>
      <c r="DN263">
        <v>0</v>
      </c>
      <c r="DO263">
        <v>0</v>
      </c>
      <c r="DP263">
        <v>0</v>
      </c>
      <c r="DQ263">
        <v>0</v>
      </c>
      <c r="DR263">
        <v>0</v>
      </c>
      <c r="DS263">
        <v>0</v>
      </c>
    </row>
    <row r="264" spans="1:123" x14ac:dyDescent="0.25">
      <c r="A264" t="str">
        <f>"04/17/2026 15:38:38.410"</f>
        <v>04/17/2026 15:38:38.410</v>
      </c>
      <c r="C264" t="str">
        <f t="shared" si="23"/>
        <v>FFDFD3C0</v>
      </c>
      <c r="D264" t="s">
        <v>136</v>
      </c>
      <c r="E264" t="str">
        <f>"0F"</f>
        <v>0F</v>
      </c>
      <c r="F264">
        <v>1015</v>
      </c>
      <c r="G264" t="s">
        <v>138</v>
      </c>
      <c r="J264" t="s">
        <v>137</v>
      </c>
      <c r="K264">
        <v>0</v>
      </c>
      <c r="L264">
        <v>3</v>
      </c>
      <c r="M264">
        <v>0</v>
      </c>
      <c r="N264">
        <v>2</v>
      </c>
      <c r="O264">
        <v>1</v>
      </c>
      <c r="P264">
        <v>0</v>
      </c>
      <c r="Q264">
        <v>0</v>
      </c>
      <c r="R264" t="s">
        <v>127</v>
      </c>
      <c r="S264" t="str">
        <f>"15:38:38.117"</f>
        <v>15:38:38.117</v>
      </c>
      <c r="T264" t="str">
        <f>"15:38:37.717"</f>
        <v>15:38:37.717</v>
      </c>
      <c r="U264" t="str">
        <f t="shared" si="24"/>
        <v>A55E09</v>
      </c>
      <c r="V264">
        <v>0</v>
      </c>
      <c r="W264">
        <v>0</v>
      </c>
      <c r="X264">
        <v>2</v>
      </c>
      <c r="Y264">
        <v>0</v>
      </c>
      <c r="AA264">
        <v>0</v>
      </c>
      <c r="AB264">
        <v>9</v>
      </c>
      <c r="AC264">
        <v>3</v>
      </c>
      <c r="AD264">
        <v>0</v>
      </c>
      <c r="AE264">
        <v>9</v>
      </c>
      <c r="AF264" t="s">
        <v>128</v>
      </c>
      <c r="AG264">
        <v>0</v>
      </c>
      <c r="AH264">
        <v>0</v>
      </c>
      <c r="AI264">
        <v>1</v>
      </c>
      <c r="AJ264">
        <v>0</v>
      </c>
      <c r="AK264" t="s">
        <v>264</v>
      </c>
      <c r="AL264">
        <v>33.679512000000003</v>
      </c>
      <c r="AM264" t="s">
        <v>265</v>
      </c>
      <c r="AN264">
        <v>-101.206226</v>
      </c>
      <c r="AO264">
        <v>100</v>
      </c>
      <c r="AP264">
        <v>3300</v>
      </c>
      <c r="AQ264" t="s">
        <v>131</v>
      </c>
      <c r="AR264">
        <v>-22</v>
      </c>
      <c r="AS264">
        <v>79</v>
      </c>
      <c r="AT264">
        <v>-64</v>
      </c>
      <c r="BB264" t="str">
        <f t="shared" si="25"/>
        <v>1200</v>
      </c>
      <c r="BC264">
        <v>1</v>
      </c>
      <c r="BD264" t="str">
        <f t="shared" si="26"/>
        <v xml:space="preserve">N445JS  </v>
      </c>
      <c r="BE264">
        <v>7</v>
      </c>
      <c r="BG264">
        <v>0</v>
      </c>
      <c r="BH264">
        <v>0</v>
      </c>
      <c r="BI264">
        <v>0</v>
      </c>
      <c r="BJ264">
        <v>3125</v>
      </c>
      <c r="BK264">
        <v>-175</v>
      </c>
      <c r="BL264" t="s">
        <v>132</v>
      </c>
      <c r="BM264">
        <v>1</v>
      </c>
      <c r="BN264">
        <v>1</v>
      </c>
      <c r="BO264">
        <v>1</v>
      </c>
      <c r="BP264">
        <v>0</v>
      </c>
      <c r="BT264">
        <v>0</v>
      </c>
      <c r="BU264">
        <v>0</v>
      </c>
      <c r="CE264" t="str">
        <f>"15:38:38.122"</f>
        <v>15:38:38.122</v>
      </c>
      <c r="CF264">
        <v>121621511</v>
      </c>
      <c r="CS264">
        <v>0</v>
      </c>
      <c r="CT264">
        <v>2</v>
      </c>
      <c r="CU264">
        <v>0</v>
      </c>
      <c r="CV264">
        <v>2</v>
      </c>
      <c r="CW264">
        <v>0</v>
      </c>
      <c r="CX264">
        <v>7</v>
      </c>
      <c r="CY264">
        <v>7</v>
      </c>
      <c r="CZ264" t="s">
        <v>133</v>
      </c>
      <c r="DA264">
        <v>125</v>
      </c>
      <c r="DB264">
        <v>1</v>
      </c>
      <c r="DC264" t="s">
        <v>134</v>
      </c>
      <c r="DD264" t="s">
        <v>135</v>
      </c>
      <c r="DG264">
        <v>2508077</v>
      </c>
      <c r="DI264">
        <v>0</v>
      </c>
      <c r="DJ264">
        <v>0</v>
      </c>
      <c r="DK264">
        <v>1</v>
      </c>
      <c r="DL264">
        <v>0</v>
      </c>
      <c r="DM264">
        <v>0</v>
      </c>
      <c r="DN264">
        <v>0</v>
      </c>
      <c r="DO264">
        <v>0</v>
      </c>
      <c r="DP264">
        <v>0</v>
      </c>
      <c r="DQ264">
        <v>0</v>
      </c>
      <c r="DR264">
        <v>0</v>
      </c>
      <c r="DS264">
        <v>0</v>
      </c>
    </row>
    <row r="265" spans="1:123" x14ac:dyDescent="0.25">
      <c r="A265" t="str">
        <f>"04/17/2026 15:38:38.416"</f>
        <v>04/17/2026 15:38:38.416</v>
      </c>
      <c r="C265" t="str">
        <f t="shared" si="23"/>
        <v>FFDFD3C0</v>
      </c>
      <c r="D265" t="s">
        <v>124</v>
      </c>
      <c r="E265" t="str">
        <f>"03"</f>
        <v>03</v>
      </c>
      <c r="H265">
        <v>160</v>
      </c>
      <c r="I265" t="s">
        <v>125</v>
      </c>
      <c r="J265" t="s">
        <v>126</v>
      </c>
      <c r="K265">
        <v>0</v>
      </c>
      <c r="L265">
        <v>3</v>
      </c>
      <c r="M265">
        <v>0</v>
      </c>
      <c r="N265">
        <v>2</v>
      </c>
      <c r="O265">
        <v>1</v>
      </c>
      <c r="P265">
        <v>0</v>
      </c>
      <c r="Q265">
        <v>0</v>
      </c>
      <c r="R265" t="s">
        <v>127</v>
      </c>
      <c r="S265" t="str">
        <f>"15:38:38.117"</f>
        <v>15:38:38.117</v>
      </c>
      <c r="T265" t="str">
        <f>"15:38:37.717"</f>
        <v>15:38:37.717</v>
      </c>
      <c r="U265" t="str">
        <f t="shared" si="24"/>
        <v>A55E09</v>
      </c>
      <c r="V265">
        <v>0</v>
      </c>
      <c r="W265">
        <v>0</v>
      </c>
      <c r="X265">
        <v>2</v>
      </c>
      <c r="Y265">
        <v>0</v>
      </c>
      <c r="AA265">
        <v>0</v>
      </c>
      <c r="AB265">
        <v>9</v>
      </c>
      <c r="AC265">
        <v>3</v>
      </c>
      <c r="AD265">
        <v>0</v>
      </c>
      <c r="AE265">
        <v>9</v>
      </c>
      <c r="AF265" t="s">
        <v>128</v>
      </c>
      <c r="AG265">
        <v>0</v>
      </c>
      <c r="AH265">
        <v>0</v>
      </c>
      <c r="AI265">
        <v>1</v>
      </c>
      <c r="AJ265">
        <v>0</v>
      </c>
      <c r="AK265" t="s">
        <v>264</v>
      </c>
      <c r="AL265">
        <v>33.679512000000003</v>
      </c>
      <c r="AM265" t="s">
        <v>265</v>
      </c>
      <c r="AN265">
        <v>-101.206226</v>
      </c>
      <c r="AO265">
        <v>100</v>
      </c>
      <c r="AP265">
        <v>3300</v>
      </c>
      <c r="AQ265" t="s">
        <v>131</v>
      </c>
      <c r="AR265">
        <v>-22</v>
      </c>
      <c r="AS265">
        <v>79</v>
      </c>
      <c r="AT265">
        <v>-64</v>
      </c>
      <c r="BB265" t="str">
        <f t="shared" si="25"/>
        <v>1200</v>
      </c>
      <c r="BC265">
        <v>1</v>
      </c>
      <c r="BD265" t="str">
        <f t="shared" si="26"/>
        <v xml:space="preserve">N445JS  </v>
      </c>
      <c r="BE265">
        <v>7</v>
      </c>
      <c r="BG265">
        <v>0</v>
      </c>
      <c r="BH265">
        <v>0</v>
      </c>
      <c r="BI265">
        <v>0</v>
      </c>
      <c r="BJ265">
        <v>3125</v>
      </c>
      <c r="BK265">
        <v>-175</v>
      </c>
      <c r="BL265" t="s">
        <v>132</v>
      </c>
      <c r="BM265">
        <v>1</v>
      </c>
      <c r="BN265">
        <v>1</v>
      </c>
      <c r="BO265">
        <v>1</v>
      </c>
      <c r="BP265">
        <v>0</v>
      </c>
      <c r="BT265">
        <v>0</v>
      </c>
      <c r="BU265">
        <v>0</v>
      </c>
      <c r="CE265" t="str">
        <f>"15:38:38.122"</f>
        <v>15:38:38.122</v>
      </c>
      <c r="CF265">
        <v>121621511</v>
      </c>
      <c r="CS265">
        <v>0</v>
      </c>
      <c r="CT265">
        <v>2</v>
      </c>
      <c r="CU265">
        <v>0</v>
      </c>
      <c r="CV265">
        <v>2</v>
      </c>
      <c r="CW265">
        <v>0</v>
      </c>
      <c r="CX265">
        <v>7</v>
      </c>
      <c r="CY265">
        <v>7</v>
      </c>
      <c r="CZ265" t="s">
        <v>133</v>
      </c>
      <c r="DA265">
        <v>125</v>
      </c>
      <c r="DB265">
        <v>1</v>
      </c>
      <c r="DC265" t="s">
        <v>134</v>
      </c>
      <c r="DD265" t="s">
        <v>135</v>
      </c>
      <c r="DG265">
        <v>2508077</v>
      </c>
      <c r="DI265">
        <v>0</v>
      </c>
      <c r="DJ265">
        <v>0</v>
      </c>
      <c r="DK265">
        <v>1</v>
      </c>
      <c r="DL265">
        <v>0</v>
      </c>
      <c r="DM265">
        <v>0</v>
      </c>
      <c r="DN265">
        <v>0</v>
      </c>
      <c r="DO265">
        <v>0</v>
      </c>
      <c r="DP265">
        <v>0</v>
      </c>
      <c r="DQ265">
        <v>0</v>
      </c>
      <c r="DR265">
        <v>0</v>
      </c>
      <c r="DS265">
        <v>0</v>
      </c>
    </row>
    <row r="266" spans="1:123" x14ac:dyDescent="0.25">
      <c r="A266" t="str">
        <f>"04/17/2026 15:38:39.461"</f>
        <v>04/17/2026 15:38:39.461</v>
      </c>
      <c r="C266" t="str">
        <f t="shared" si="23"/>
        <v>FFDFD3C0</v>
      </c>
      <c r="D266" t="s">
        <v>136</v>
      </c>
      <c r="E266" t="str">
        <f>"0E"</f>
        <v>0E</v>
      </c>
      <c r="F266">
        <v>1014</v>
      </c>
      <c r="G266" t="s">
        <v>125</v>
      </c>
      <c r="J266" t="s">
        <v>137</v>
      </c>
      <c r="K266">
        <v>0</v>
      </c>
      <c r="L266">
        <v>3</v>
      </c>
      <c r="M266">
        <v>0</v>
      </c>
      <c r="N266">
        <v>2</v>
      </c>
      <c r="O266">
        <v>1</v>
      </c>
      <c r="P266">
        <v>0</v>
      </c>
      <c r="Q266">
        <v>0</v>
      </c>
      <c r="R266" t="s">
        <v>127</v>
      </c>
      <c r="S266" t="str">
        <f>"15:38:39.180"</f>
        <v>15:38:39.180</v>
      </c>
      <c r="T266" t="str">
        <f>"15:38:38.880"</f>
        <v>15:38:38.880</v>
      </c>
      <c r="U266" t="str">
        <f t="shared" si="24"/>
        <v>A55E09</v>
      </c>
      <c r="V266">
        <v>0</v>
      </c>
      <c r="W266">
        <v>0</v>
      </c>
      <c r="X266">
        <v>2</v>
      </c>
      <c r="Y266">
        <v>0</v>
      </c>
      <c r="AA266">
        <v>0</v>
      </c>
      <c r="AB266">
        <v>9</v>
      </c>
      <c r="AC266">
        <v>3</v>
      </c>
      <c r="AD266">
        <v>0</v>
      </c>
      <c r="AE266">
        <v>9</v>
      </c>
      <c r="AF266" t="s">
        <v>128</v>
      </c>
      <c r="AG266">
        <v>0</v>
      </c>
      <c r="AH266">
        <v>0</v>
      </c>
      <c r="AI266">
        <v>1</v>
      </c>
      <c r="AJ266">
        <v>0</v>
      </c>
      <c r="AK266" t="s">
        <v>266</v>
      </c>
      <c r="AL266">
        <v>33.679940999999999</v>
      </c>
      <c r="AM266" t="s">
        <v>267</v>
      </c>
      <c r="AN266">
        <v>-101.206334</v>
      </c>
      <c r="AO266">
        <v>100</v>
      </c>
      <c r="AP266">
        <v>3300</v>
      </c>
      <c r="AQ266" t="s">
        <v>131</v>
      </c>
      <c r="AR266">
        <v>-20</v>
      </c>
      <c r="AS266">
        <v>81</v>
      </c>
      <c r="AT266">
        <v>-192</v>
      </c>
      <c r="BB266" t="str">
        <f t="shared" si="25"/>
        <v>1200</v>
      </c>
      <c r="BC266">
        <v>1</v>
      </c>
      <c r="BD266" t="str">
        <f t="shared" si="26"/>
        <v xml:space="preserve">N445JS  </v>
      </c>
      <c r="BE266">
        <v>7</v>
      </c>
      <c r="BG266">
        <v>0</v>
      </c>
      <c r="BH266">
        <v>0</v>
      </c>
      <c r="BI266">
        <v>0</v>
      </c>
      <c r="BJ266">
        <v>3125</v>
      </c>
      <c r="BK266">
        <v>-175</v>
      </c>
      <c r="BL266" t="s">
        <v>132</v>
      </c>
      <c r="BM266">
        <v>1</v>
      </c>
      <c r="BN266">
        <v>1</v>
      </c>
      <c r="BO266">
        <v>1</v>
      </c>
      <c r="BP266">
        <v>0</v>
      </c>
      <c r="BT266">
        <v>0</v>
      </c>
      <c r="BU266">
        <v>0</v>
      </c>
      <c r="CE266" t="str">
        <f>"15:38:39.187"</f>
        <v>15:38:39.187</v>
      </c>
      <c r="CF266">
        <v>186517103</v>
      </c>
      <c r="CS266">
        <v>0</v>
      </c>
      <c r="CT266">
        <v>2</v>
      </c>
      <c r="CU266">
        <v>0</v>
      </c>
      <c r="CV266">
        <v>2</v>
      </c>
      <c r="CW266">
        <v>0</v>
      </c>
      <c r="CX266">
        <v>7</v>
      </c>
      <c r="CY266">
        <v>7</v>
      </c>
      <c r="CZ266" t="s">
        <v>133</v>
      </c>
      <c r="DA266">
        <v>125</v>
      </c>
      <c r="DB266">
        <v>1</v>
      </c>
      <c r="DC266" t="s">
        <v>134</v>
      </c>
      <c r="DD266" t="s">
        <v>135</v>
      </c>
      <c r="DG266">
        <v>2509059</v>
      </c>
      <c r="DI266">
        <v>0</v>
      </c>
      <c r="DJ266">
        <v>0</v>
      </c>
      <c r="DK266">
        <v>0</v>
      </c>
      <c r="DL266">
        <v>0</v>
      </c>
      <c r="DM266">
        <v>0</v>
      </c>
      <c r="DN266">
        <v>0</v>
      </c>
      <c r="DO266">
        <v>0</v>
      </c>
      <c r="DP266">
        <v>0</v>
      </c>
      <c r="DQ266">
        <v>0</v>
      </c>
      <c r="DR266">
        <v>0</v>
      </c>
      <c r="DS266">
        <v>0</v>
      </c>
    </row>
    <row r="267" spans="1:123" x14ac:dyDescent="0.25">
      <c r="A267" t="str">
        <f>"04/17/2026 15:38:39.462"</f>
        <v>04/17/2026 15:38:39.462</v>
      </c>
      <c r="C267" t="str">
        <f t="shared" si="23"/>
        <v>FFDFD3C0</v>
      </c>
      <c r="D267" t="s">
        <v>136</v>
      </c>
      <c r="E267" t="str">
        <f>"0F"</f>
        <v>0F</v>
      </c>
      <c r="F267">
        <v>1015</v>
      </c>
      <c r="G267" t="s">
        <v>138</v>
      </c>
      <c r="J267" t="s">
        <v>137</v>
      </c>
      <c r="K267">
        <v>0</v>
      </c>
      <c r="L267">
        <v>3</v>
      </c>
      <c r="M267">
        <v>0</v>
      </c>
      <c r="N267">
        <v>2</v>
      </c>
      <c r="O267">
        <v>1</v>
      </c>
      <c r="P267">
        <v>0</v>
      </c>
      <c r="Q267">
        <v>0</v>
      </c>
      <c r="R267" t="s">
        <v>127</v>
      </c>
      <c r="S267" t="str">
        <f>"15:38:39.180"</f>
        <v>15:38:39.180</v>
      </c>
      <c r="T267" t="str">
        <f>"15:38:38.880"</f>
        <v>15:38:38.880</v>
      </c>
      <c r="U267" t="str">
        <f t="shared" si="24"/>
        <v>A55E09</v>
      </c>
      <c r="V267">
        <v>0</v>
      </c>
      <c r="W267">
        <v>0</v>
      </c>
      <c r="X267">
        <v>2</v>
      </c>
      <c r="Y267">
        <v>0</v>
      </c>
      <c r="AA267">
        <v>0</v>
      </c>
      <c r="AB267">
        <v>9</v>
      </c>
      <c r="AC267">
        <v>3</v>
      </c>
      <c r="AD267">
        <v>0</v>
      </c>
      <c r="AE267">
        <v>9</v>
      </c>
      <c r="AF267" t="s">
        <v>128</v>
      </c>
      <c r="AG267">
        <v>0</v>
      </c>
      <c r="AH267">
        <v>0</v>
      </c>
      <c r="AI267">
        <v>1</v>
      </c>
      <c r="AJ267">
        <v>0</v>
      </c>
      <c r="AK267" t="s">
        <v>266</v>
      </c>
      <c r="AL267">
        <v>33.679940999999999</v>
      </c>
      <c r="AM267" t="s">
        <v>267</v>
      </c>
      <c r="AN267">
        <v>-101.206334</v>
      </c>
      <c r="AO267">
        <v>100</v>
      </c>
      <c r="AP267">
        <v>3300</v>
      </c>
      <c r="AQ267" t="s">
        <v>131</v>
      </c>
      <c r="AR267">
        <v>-20</v>
      </c>
      <c r="AS267">
        <v>81</v>
      </c>
      <c r="AT267">
        <v>-192</v>
      </c>
      <c r="BB267" t="str">
        <f t="shared" si="25"/>
        <v>1200</v>
      </c>
      <c r="BC267">
        <v>1</v>
      </c>
      <c r="BD267" t="str">
        <f t="shared" si="26"/>
        <v xml:space="preserve">N445JS  </v>
      </c>
      <c r="BE267">
        <v>7</v>
      </c>
      <c r="BG267">
        <v>0</v>
      </c>
      <c r="BH267">
        <v>0</v>
      </c>
      <c r="BI267">
        <v>0</v>
      </c>
      <c r="BJ267">
        <v>3125</v>
      </c>
      <c r="BK267">
        <v>-175</v>
      </c>
      <c r="BL267" t="s">
        <v>132</v>
      </c>
      <c r="BM267">
        <v>1</v>
      </c>
      <c r="BN267">
        <v>1</v>
      </c>
      <c r="BO267">
        <v>1</v>
      </c>
      <c r="BP267">
        <v>0</v>
      </c>
      <c r="BT267">
        <v>0</v>
      </c>
      <c r="BU267">
        <v>0</v>
      </c>
      <c r="CE267" t="str">
        <f>"15:38:39.187"</f>
        <v>15:38:39.187</v>
      </c>
      <c r="CF267">
        <v>186517103</v>
      </c>
      <c r="CS267">
        <v>0</v>
      </c>
      <c r="CT267">
        <v>2</v>
      </c>
      <c r="CU267">
        <v>0</v>
      </c>
      <c r="CV267">
        <v>2</v>
      </c>
      <c r="CW267">
        <v>0</v>
      </c>
      <c r="CX267">
        <v>7</v>
      </c>
      <c r="CY267">
        <v>7</v>
      </c>
      <c r="CZ267" t="s">
        <v>133</v>
      </c>
      <c r="DA267">
        <v>125</v>
      </c>
      <c r="DB267">
        <v>1</v>
      </c>
      <c r="DC267" t="s">
        <v>134</v>
      </c>
      <c r="DD267" t="s">
        <v>135</v>
      </c>
      <c r="DG267">
        <v>2509059</v>
      </c>
      <c r="DI267">
        <v>0</v>
      </c>
      <c r="DJ267">
        <v>0</v>
      </c>
      <c r="DK267">
        <v>1</v>
      </c>
      <c r="DL267">
        <v>0</v>
      </c>
      <c r="DM267">
        <v>0</v>
      </c>
      <c r="DN267">
        <v>0</v>
      </c>
      <c r="DO267">
        <v>0</v>
      </c>
      <c r="DP267">
        <v>0</v>
      </c>
      <c r="DQ267">
        <v>0</v>
      </c>
      <c r="DR267">
        <v>0</v>
      </c>
      <c r="DS267">
        <v>0</v>
      </c>
    </row>
    <row r="268" spans="1:123" x14ac:dyDescent="0.25">
      <c r="A268" t="str">
        <f>"04/17/2026 15:38:39.468"</f>
        <v>04/17/2026 15:38:39.468</v>
      </c>
      <c r="C268" t="str">
        <f t="shared" si="23"/>
        <v>FFDFD3C0</v>
      </c>
      <c r="D268" t="s">
        <v>124</v>
      </c>
      <c r="E268" t="str">
        <f>"03"</f>
        <v>03</v>
      </c>
      <c r="H268">
        <v>160</v>
      </c>
      <c r="I268" t="s">
        <v>125</v>
      </c>
      <c r="J268" t="s">
        <v>126</v>
      </c>
      <c r="K268">
        <v>0</v>
      </c>
      <c r="L268">
        <v>3</v>
      </c>
      <c r="M268">
        <v>0</v>
      </c>
      <c r="N268">
        <v>2</v>
      </c>
      <c r="O268">
        <v>1</v>
      </c>
      <c r="P268">
        <v>0</v>
      </c>
      <c r="Q268">
        <v>0</v>
      </c>
      <c r="R268" t="s">
        <v>127</v>
      </c>
      <c r="S268" t="str">
        <f>"15:38:39.180"</f>
        <v>15:38:39.180</v>
      </c>
      <c r="T268" t="str">
        <f>"15:38:38.880"</f>
        <v>15:38:38.880</v>
      </c>
      <c r="U268" t="str">
        <f t="shared" si="24"/>
        <v>A55E09</v>
      </c>
      <c r="V268">
        <v>0</v>
      </c>
      <c r="W268">
        <v>0</v>
      </c>
      <c r="X268">
        <v>2</v>
      </c>
      <c r="Y268">
        <v>0</v>
      </c>
      <c r="AA268">
        <v>0</v>
      </c>
      <c r="AB268">
        <v>9</v>
      </c>
      <c r="AC268">
        <v>3</v>
      </c>
      <c r="AD268">
        <v>0</v>
      </c>
      <c r="AE268">
        <v>9</v>
      </c>
      <c r="AF268" t="s">
        <v>128</v>
      </c>
      <c r="AG268">
        <v>0</v>
      </c>
      <c r="AH268">
        <v>0</v>
      </c>
      <c r="AI268">
        <v>1</v>
      </c>
      <c r="AJ268">
        <v>0</v>
      </c>
      <c r="AK268" t="s">
        <v>266</v>
      </c>
      <c r="AL268">
        <v>33.679940999999999</v>
      </c>
      <c r="AM268" t="s">
        <v>267</v>
      </c>
      <c r="AN268">
        <v>-101.206334</v>
      </c>
      <c r="AO268">
        <v>100</v>
      </c>
      <c r="AP268">
        <v>3300</v>
      </c>
      <c r="AQ268" t="s">
        <v>131</v>
      </c>
      <c r="AR268">
        <v>-20</v>
      </c>
      <c r="AS268">
        <v>81</v>
      </c>
      <c r="AT268">
        <v>-192</v>
      </c>
      <c r="BB268" t="str">
        <f t="shared" si="25"/>
        <v>1200</v>
      </c>
      <c r="BC268">
        <v>1</v>
      </c>
      <c r="BD268" t="str">
        <f t="shared" si="26"/>
        <v xml:space="preserve">N445JS  </v>
      </c>
      <c r="BE268">
        <v>7</v>
      </c>
      <c r="BG268">
        <v>0</v>
      </c>
      <c r="BH268">
        <v>0</v>
      </c>
      <c r="BI268">
        <v>0</v>
      </c>
      <c r="BJ268">
        <v>3125</v>
      </c>
      <c r="BK268">
        <v>-175</v>
      </c>
      <c r="BL268" t="s">
        <v>132</v>
      </c>
      <c r="BM268">
        <v>1</v>
      </c>
      <c r="BN268">
        <v>1</v>
      </c>
      <c r="BO268">
        <v>1</v>
      </c>
      <c r="BP268">
        <v>0</v>
      </c>
      <c r="BT268">
        <v>0</v>
      </c>
      <c r="BU268">
        <v>0</v>
      </c>
      <c r="CE268" t="str">
        <f>"15:38:39.187"</f>
        <v>15:38:39.187</v>
      </c>
      <c r="CF268">
        <v>186517103</v>
      </c>
      <c r="CS268">
        <v>0</v>
      </c>
      <c r="CT268">
        <v>2</v>
      </c>
      <c r="CU268">
        <v>0</v>
      </c>
      <c r="CV268">
        <v>2</v>
      </c>
      <c r="CW268">
        <v>0</v>
      </c>
      <c r="CX268">
        <v>7</v>
      </c>
      <c r="CY268">
        <v>7</v>
      </c>
      <c r="CZ268" t="s">
        <v>133</v>
      </c>
      <c r="DA268">
        <v>125</v>
      </c>
      <c r="DB268">
        <v>1</v>
      </c>
      <c r="DC268" t="s">
        <v>134</v>
      </c>
      <c r="DD268" t="s">
        <v>135</v>
      </c>
      <c r="DG268">
        <v>2509059</v>
      </c>
      <c r="DI268">
        <v>0</v>
      </c>
      <c r="DJ268">
        <v>0</v>
      </c>
      <c r="DK268">
        <v>1</v>
      </c>
      <c r="DL268">
        <v>0</v>
      </c>
      <c r="DM268">
        <v>0</v>
      </c>
      <c r="DN268">
        <v>0</v>
      </c>
      <c r="DO268">
        <v>0</v>
      </c>
      <c r="DP268">
        <v>0</v>
      </c>
      <c r="DQ268">
        <v>0</v>
      </c>
      <c r="DR268">
        <v>0</v>
      </c>
      <c r="DS268">
        <v>0</v>
      </c>
    </row>
    <row r="269" spans="1:123" x14ac:dyDescent="0.25">
      <c r="A269" t="str">
        <f>"04/17/2026 15:38:39.493"</f>
        <v>04/17/2026 15:38:39.493</v>
      </c>
      <c r="C269" t="str">
        <f t="shared" si="23"/>
        <v>FFDFD3C0</v>
      </c>
      <c r="D269" t="s">
        <v>139</v>
      </c>
      <c r="E269" t="str">
        <f>"28"</f>
        <v>28</v>
      </c>
      <c r="H269">
        <v>140</v>
      </c>
      <c r="I269" t="s">
        <v>140</v>
      </c>
      <c r="J269" t="s">
        <v>141</v>
      </c>
      <c r="K269">
        <v>0</v>
      </c>
      <c r="L269">
        <v>3</v>
      </c>
      <c r="M269">
        <v>0</v>
      </c>
      <c r="N269">
        <v>2</v>
      </c>
      <c r="O269">
        <v>1</v>
      </c>
      <c r="P269">
        <v>0</v>
      </c>
      <c r="Q269">
        <v>0</v>
      </c>
      <c r="R269" t="s">
        <v>127</v>
      </c>
      <c r="S269" t="str">
        <f>"15:38:39.180"</f>
        <v>15:38:39.180</v>
      </c>
      <c r="T269" t="str">
        <f>"15:38:38.880"</f>
        <v>15:38:38.880</v>
      </c>
      <c r="U269" t="str">
        <f t="shared" si="24"/>
        <v>A55E09</v>
      </c>
      <c r="V269">
        <v>0</v>
      </c>
      <c r="W269">
        <v>0</v>
      </c>
      <c r="X269">
        <v>2</v>
      </c>
      <c r="Y269">
        <v>0</v>
      </c>
      <c r="AA269">
        <v>0</v>
      </c>
      <c r="AB269">
        <v>9</v>
      </c>
      <c r="AC269">
        <v>3</v>
      </c>
      <c r="AD269">
        <v>0</v>
      </c>
      <c r="AE269">
        <v>9</v>
      </c>
      <c r="AF269" t="s">
        <v>128</v>
      </c>
      <c r="AG269">
        <v>0</v>
      </c>
      <c r="AH269">
        <v>0</v>
      </c>
      <c r="AI269">
        <v>1</v>
      </c>
      <c r="AJ269">
        <v>0</v>
      </c>
      <c r="AK269" t="s">
        <v>266</v>
      </c>
      <c r="AL269">
        <v>33.679940999999999</v>
      </c>
      <c r="AM269" t="s">
        <v>267</v>
      </c>
      <c r="AN269">
        <v>-101.206334</v>
      </c>
      <c r="AO269">
        <v>100</v>
      </c>
      <c r="AP269">
        <v>3300</v>
      </c>
      <c r="AQ269" t="s">
        <v>131</v>
      </c>
      <c r="AR269">
        <v>-20</v>
      </c>
      <c r="AS269">
        <v>81</v>
      </c>
      <c r="AT269">
        <v>-192</v>
      </c>
      <c r="BB269" t="str">
        <f t="shared" si="25"/>
        <v>1200</v>
      </c>
      <c r="BC269">
        <v>1</v>
      </c>
      <c r="BD269" t="str">
        <f t="shared" si="26"/>
        <v xml:space="preserve">N445JS  </v>
      </c>
      <c r="BE269">
        <v>7</v>
      </c>
      <c r="BG269">
        <v>0</v>
      </c>
      <c r="BH269">
        <v>0</v>
      </c>
      <c r="BI269">
        <v>0</v>
      </c>
      <c r="BJ269">
        <v>3125</v>
      </c>
      <c r="BK269">
        <v>-175</v>
      </c>
      <c r="BL269" t="s">
        <v>132</v>
      </c>
      <c r="BM269">
        <v>1</v>
      </c>
      <c r="BN269">
        <v>1</v>
      </c>
      <c r="BO269">
        <v>1</v>
      </c>
      <c r="BP269">
        <v>0</v>
      </c>
      <c r="BT269">
        <v>0</v>
      </c>
      <c r="BU269">
        <v>0</v>
      </c>
      <c r="CE269" t="str">
        <f>"15:38:39.187"</f>
        <v>15:38:39.187</v>
      </c>
      <c r="CF269">
        <v>186517103</v>
      </c>
      <c r="CS269">
        <v>0</v>
      </c>
      <c r="CT269">
        <v>2</v>
      </c>
      <c r="CU269">
        <v>0</v>
      </c>
      <c r="CV269">
        <v>2</v>
      </c>
      <c r="CW269">
        <v>0</v>
      </c>
      <c r="CX269">
        <v>7</v>
      </c>
      <c r="CY269">
        <v>7</v>
      </c>
      <c r="CZ269" t="s">
        <v>133</v>
      </c>
      <c r="DA269">
        <v>125</v>
      </c>
      <c r="DB269">
        <v>1</v>
      </c>
      <c r="DC269" t="s">
        <v>134</v>
      </c>
      <c r="DD269" t="s">
        <v>135</v>
      </c>
      <c r="DG269">
        <v>2509059</v>
      </c>
      <c r="DI269">
        <v>0</v>
      </c>
      <c r="DJ269">
        <v>0</v>
      </c>
      <c r="DK269">
        <v>1</v>
      </c>
      <c r="DL269">
        <v>0</v>
      </c>
      <c r="DM269">
        <v>0</v>
      </c>
      <c r="DN269">
        <v>0</v>
      </c>
      <c r="DO269">
        <v>0</v>
      </c>
      <c r="DP269">
        <v>0</v>
      </c>
      <c r="DQ269">
        <v>0</v>
      </c>
      <c r="DR269">
        <v>0</v>
      </c>
      <c r="DS269">
        <v>0</v>
      </c>
    </row>
    <row r="270" spans="1:123" x14ac:dyDescent="0.25">
      <c r="A270" t="str">
        <f>"04/17/2026 15:38:40.471"</f>
        <v>04/17/2026 15:38:40.471</v>
      </c>
      <c r="C270" t="str">
        <f t="shared" si="23"/>
        <v>FFDFD3C0</v>
      </c>
      <c r="D270" t="s">
        <v>124</v>
      </c>
      <c r="E270" t="str">
        <f>"03"</f>
        <v>03</v>
      </c>
      <c r="H270">
        <v>160</v>
      </c>
      <c r="I270" t="s">
        <v>125</v>
      </c>
      <c r="J270" t="s">
        <v>126</v>
      </c>
      <c r="K270">
        <v>0</v>
      </c>
      <c r="L270">
        <v>3</v>
      </c>
      <c r="M270">
        <v>0</v>
      </c>
      <c r="N270">
        <v>2</v>
      </c>
      <c r="O270">
        <v>1</v>
      </c>
      <c r="P270">
        <v>0</v>
      </c>
      <c r="Q270">
        <v>0</v>
      </c>
      <c r="R270" t="s">
        <v>127</v>
      </c>
      <c r="S270" t="str">
        <f>"15:38:40.250"</f>
        <v>15:38:40.250</v>
      </c>
      <c r="T270" t="str">
        <f>"15:38:39.850"</f>
        <v>15:38:39.850</v>
      </c>
      <c r="U270" t="str">
        <f t="shared" si="24"/>
        <v>A55E09</v>
      </c>
      <c r="V270">
        <v>0</v>
      </c>
      <c r="W270">
        <v>0</v>
      </c>
      <c r="X270">
        <v>2</v>
      </c>
      <c r="Y270">
        <v>0</v>
      </c>
      <c r="AA270">
        <v>0</v>
      </c>
      <c r="AB270">
        <v>9</v>
      </c>
      <c r="AC270">
        <v>3</v>
      </c>
      <c r="AD270">
        <v>0</v>
      </c>
      <c r="AE270">
        <v>9</v>
      </c>
      <c r="AF270" t="s">
        <v>128</v>
      </c>
      <c r="AG270">
        <v>0</v>
      </c>
      <c r="AH270">
        <v>0</v>
      </c>
      <c r="AI270">
        <v>1</v>
      </c>
      <c r="AJ270">
        <v>0</v>
      </c>
      <c r="AK270" t="s">
        <v>268</v>
      </c>
      <c r="AL270">
        <v>33.680326999999998</v>
      </c>
      <c r="AM270" t="s">
        <v>269</v>
      </c>
      <c r="AN270">
        <v>-101.20639799999999</v>
      </c>
      <c r="AO270">
        <v>100</v>
      </c>
      <c r="AP270">
        <v>3300</v>
      </c>
      <c r="AQ270" t="s">
        <v>131</v>
      </c>
      <c r="AR270">
        <v>-20</v>
      </c>
      <c r="AS270">
        <v>82</v>
      </c>
      <c r="AT270">
        <v>-64</v>
      </c>
      <c r="BB270" t="str">
        <f t="shared" si="25"/>
        <v>1200</v>
      </c>
      <c r="BC270">
        <v>1</v>
      </c>
      <c r="BD270" t="str">
        <f t="shared" si="26"/>
        <v xml:space="preserve">N445JS  </v>
      </c>
      <c r="BE270">
        <v>7</v>
      </c>
      <c r="BG270">
        <v>0</v>
      </c>
      <c r="BH270">
        <v>0</v>
      </c>
      <c r="BI270">
        <v>0</v>
      </c>
      <c r="BJ270">
        <v>3100</v>
      </c>
      <c r="BK270">
        <v>-200</v>
      </c>
      <c r="BL270" t="s">
        <v>132</v>
      </c>
      <c r="BM270">
        <v>1</v>
      </c>
      <c r="BN270">
        <v>1</v>
      </c>
      <c r="BO270">
        <v>1</v>
      </c>
      <c r="BP270">
        <v>0</v>
      </c>
      <c r="BT270">
        <v>0</v>
      </c>
      <c r="BU270">
        <v>0</v>
      </c>
      <c r="CE270" t="str">
        <f>"15:38:40.251"</f>
        <v>15:38:40.251</v>
      </c>
      <c r="CF270">
        <v>251412692</v>
      </c>
      <c r="CS270">
        <v>0</v>
      </c>
      <c r="CT270">
        <v>2</v>
      </c>
      <c r="CU270">
        <v>0</v>
      </c>
      <c r="CV270">
        <v>2</v>
      </c>
      <c r="CW270">
        <v>0</v>
      </c>
      <c r="CX270">
        <v>7</v>
      </c>
      <c r="CY270">
        <v>7</v>
      </c>
      <c r="CZ270" t="s">
        <v>133</v>
      </c>
      <c r="DA270">
        <v>125</v>
      </c>
      <c r="DB270">
        <v>1</v>
      </c>
      <c r="DC270" t="s">
        <v>134</v>
      </c>
      <c r="DD270" t="s">
        <v>135</v>
      </c>
      <c r="DG270">
        <v>2510059</v>
      </c>
      <c r="DI270">
        <v>0</v>
      </c>
      <c r="DJ270">
        <v>0</v>
      </c>
      <c r="DK270">
        <v>0</v>
      </c>
      <c r="DL270">
        <v>0</v>
      </c>
      <c r="DM270">
        <v>0</v>
      </c>
      <c r="DN270">
        <v>0</v>
      </c>
      <c r="DO270">
        <v>0</v>
      </c>
      <c r="DP270">
        <v>0</v>
      </c>
      <c r="DQ270">
        <v>0</v>
      </c>
      <c r="DR270">
        <v>0</v>
      </c>
      <c r="DS270">
        <v>0</v>
      </c>
    </row>
    <row r="271" spans="1:123" x14ac:dyDescent="0.25">
      <c r="A271" t="str">
        <f>"04/17/2026 15:38:40.494"</f>
        <v>04/17/2026 15:38:40.494</v>
      </c>
      <c r="C271" t="str">
        <f t="shared" si="23"/>
        <v>FFDFD3C0</v>
      </c>
      <c r="D271" t="s">
        <v>139</v>
      </c>
      <c r="E271" t="str">
        <f>"28"</f>
        <v>28</v>
      </c>
      <c r="H271">
        <v>140</v>
      </c>
      <c r="I271" t="s">
        <v>140</v>
      </c>
      <c r="J271" t="s">
        <v>141</v>
      </c>
      <c r="K271">
        <v>0</v>
      </c>
      <c r="L271">
        <v>3</v>
      </c>
      <c r="M271">
        <v>0</v>
      </c>
      <c r="N271">
        <v>2</v>
      </c>
      <c r="O271">
        <v>1</v>
      </c>
      <c r="P271">
        <v>0</v>
      </c>
      <c r="Q271">
        <v>0</v>
      </c>
      <c r="R271" t="s">
        <v>127</v>
      </c>
      <c r="S271" t="str">
        <f>"15:38:40.250"</f>
        <v>15:38:40.250</v>
      </c>
      <c r="T271" t="str">
        <f>"15:38:39.850"</f>
        <v>15:38:39.850</v>
      </c>
      <c r="U271" t="str">
        <f t="shared" si="24"/>
        <v>A55E09</v>
      </c>
      <c r="V271">
        <v>0</v>
      </c>
      <c r="W271">
        <v>0</v>
      </c>
      <c r="X271">
        <v>2</v>
      </c>
      <c r="Y271">
        <v>0</v>
      </c>
      <c r="AA271">
        <v>0</v>
      </c>
      <c r="AB271">
        <v>9</v>
      </c>
      <c r="AC271">
        <v>3</v>
      </c>
      <c r="AD271">
        <v>0</v>
      </c>
      <c r="AE271">
        <v>9</v>
      </c>
      <c r="AF271" t="s">
        <v>128</v>
      </c>
      <c r="AG271">
        <v>0</v>
      </c>
      <c r="AH271">
        <v>0</v>
      </c>
      <c r="AI271">
        <v>1</v>
      </c>
      <c r="AJ271">
        <v>0</v>
      </c>
      <c r="AK271" t="s">
        <v>268</v>
      </c>
      <c r="AL271">
        <v>33.680326999999998</v>
      </c>
      <c r="AM271" t="s">
        <v>269</v>
      </c>
      <c r="AN271">
        <v>-101.20639799999999</v>
      </c>
      <c r="AO271">
        <v>100</v>
      </c>
      <c r="AP271">
        <v>3300</v>
      </c>
      <c r="AQ271" t="s">
        <v>131</v>
      </c>
      <c r="AR271">
        <v>-20</v>
      </c>
      <c r="AS271">
        <v>82</v>
      </c>
      <c r="AT271">
        <v>-64</v>
      </c>
      <c r="BB271" t="str">
        <f t="shared" si="25"/>
        <v>1200</v>
      </c>
      <c r="BC271">
        <v>1</v>
      </c>
      <c r="BD271" t="str">
        <f t="shared" si="26"/>
        <v xml:space="preserve">N445JS  </v>
      </c>
      <c r="BE271">
        <v>7</v>
      </c>
      <c r="BG271">
        <v>0</v>
      </c>
      <c r="BH271">
        <v>0</v>
      </c>
      <c r="BI271">
        <v>0</v>
      </c>
      <c r="BJ271">
        <v>3100</v>
      </c>
      <c r="BK271">
        <v>-200</v>
      </c>
      <c r="BL271" t="s">
        <v>132</v>
      </c>
      <c r="BM271">
        <v>1</v>
      </c>
      <c r="BN271">
        <v>1</v>
      </c>
      <c r="BO271">
        <v>1</v>
      </c>
      <c r="BP271">
        <v>0</v>
      </c>
      <c r="BT271">
        <v>0</v>
      </c>
      <c r="BU271">
        <v>0</v>
      </c>
      <c r="CE271" t="str">
        <f>"15:38:40.251"</f>
        <v>15:38:40.251</v>
      </c>
      <c r="CF271">
        <v>251412692</v>
      </c>
      <c r="CS271">
        <v>0</v>
      </c>
      <c r="CT271">
        <v>2</v>
      </c>
      <c r="CU271">
        <v>0</v>
      </c>
      <c r="CV271">
        <v>2</v>
      </c>
      <c r="CW271">
        <v>0</v>
      </c>
      <c r="CX271">
        <v>7</v>
      </c>
      <c r="CY271">
        <v>7</v>
      </c>
      <c r="CZ271" t="s">
        <v>133</v>
      </c>
      <c r="DA271">
        <v>125</v>
      </c>
      <c r="DB271">
        <v>1</v>
      </c>
      <c r="DC271" t="s">
        <v>134</v>
      </c>
      <c r="DD271" t="s">
        <v>135</v>
      </c>
      <c r="DG271">
        <v>2510059</v>
      </c>
      <c r="DI271">
        <v>0</v>
      </c>
      <c r="DJ271">
        <v>0</v>
      </c>
      <c r="DK271">
        <v>1</v>
      </c>
      <c r="DL271">
        <v>0</v>
      </c>
      <c r="DM271">
        <v>0</v>
      </c>
      <c r="DN271">
        <v>0</v>
      </c>
      <c r="DO271">
        <v>0</v>
      </c>
      <c r="DP271">
        <v>0</v>
      </c>
      <c r="DQ271">
        <v>0</v>
      </c>
      <c r="DR271">
        <v>0</v>
      </c>
      <c r="DS271">
        <v>0</v>
      </c>
    </row>
    <row r="272" spans="1:123" x14ac:dyDescent="0.25">
      <c r="A272" t="str">
        <f>"04/17/2026 15:38:40.514"</f>
        <v>04/17/2026 15:38:40.514</v>
      </c>
      <c r="C272" t="str">
        <f t="shared" si="23"/>
        <v>FFDFD3C0</v>
      </c>
      <c r="D272" t="s">
        <v>136</v>
      </c>
      <c r="E272" t="str">
        <f>"0F"</f>
        <v>0F</v>
      </c>
      <c r="F272">
        <v>1015</v>
      </c>
      <c r="G272" t="s">
        <v>138</v>
      </c>
      <c r="J272" t="s">
        <v>137</v>
      </c>
      <c r="K272">
        <v>0</v>
      </c>
      <c r="L272">
        <v>3</v>
      </c>
      <c r="M272">
        <v>0</v>
      </c>
      <c r="N272">
        <v>2</v>
      </c>
      <c r="O272">
        <v>1</v>
      </c>
      <c r="P272">
        <v>0</v>
      </c>
      <c r="Q272">
        <v>0</v>
      </c>
      <c r="R272" t="s">
        <v>127</v>
      </c>
      <c r="S272" t="str">
        <f>"15:38:40.250"</f>
        <v>15:38:40.250</v>
      </c>
      <c r="T272" t="str">
        <f>"15:38:39.850"</f>
        <v>15:38:39.850</v>
      </c>
      <c r="U272" t="str">
        <f t="shared" si="24"/>
        <v>A55E09</v>
      </c>
      <c r="V272">
        <v>0</v>
      </c>
      <c r="W272">
        <v>0</v>
      </c>
      <c r="X272">
        <v>2</v>
      </c>
      <c r="Y272">
        <v>0</v>
      </c>
      <c r="AA272">
        <v>0</v>
      </c>
      <c r="AB272">
        <v>9</v>
      </c>
      <c r="AC272">
        <v>3</v>
      </c>
      <c r="AD272">
        <v>0</v>
      </c>
      <c r="AE272">
        <v>9</v>
      </c>
      <c r="AF272" t="s">
        <v>128</v>
      </c>
      <c r="AG272">
        <v>0</v>
      </c>
      <c r="AH272">
        <v>0</v>
      </c>
      <c r="AI272">
        <v>1</v>
      </c>
      <c r="AJ272">
        <v>0</v>
      </c>
      <c r="AK272" t="s">
        <v>268</v>
      </c>
      <c r="AL272">
        <v>33.680326999999998</v>
      </c>
      <c r="AM272" t="s">
        <v>269</v>
      </c>
      <c r="AN272">
        <v>-101.20639799999999</v>
      </c>
      <c r="AO272">
        <v>100</v>
      </c>
      <c r="AP272">
        <v>3300</v>
      </c>
      <c r="AQ272" t="s">
        <v>131</v>
      </c>
      <c r="AR272">
        <v>-20</v>
      </c>
      <c r="AS272">
        <v>82</v>
      </c>
      <c r="AT272">
        <v>-64</v>
      </c>
      <c r="BB272" t="str">
        <f t="shared" si="25"/>
        <v>1200</v>
      </c>
      <c r="BC272">
        <v>1</v>
      </c>
      <c r="BD272" t="str">
        <f t="shared" si="26"/>
        <v xml:space="preserve">N445JS  </v>
      </c>
      <c r="BE272">
        <v>7</v>
      </c>
      <c r="BG272">
        <v>0</v>
      </c>
      <c r="BH272">
        <v>0</v>
      </c>
      <c r="BI272">
        <v>0</v>
      </c>
      <c r="BJ272">
        <v>3100</v>
      </c>
      <c r="BK272">
        <v>-200</v>
      </c>
      <c r="BL272" t="s">
        <v>132</v>
      </c>
      <c r="BM272">
        <v>1</v>
      </c>
      <c r="BN272">
        <v>1</v>
      </c>
      <c r="BO272">
        <v>1</v>
      </c>
      <c r="BP272">
        <v>0</v>
      </c>
      <c r="BT272">
        <v>0</v>
      </c>
      <c r="BU272">
        <v>0</v>
      </c>
      <c r="CE272" t="str">
        <f>"15:38:40.251"</f>
        <v>15:38:40.251</v>
      </c>
      <c r="CF272">
        <v>251412692</v>
      </c>
      <c r="CS272">
        <v>0</v>
      </c>
      <c r="CT272">
        <v>2</v>
      </c>
      <c r="CU272">
        <v>0</v>
      </c>
      <c r="CV272">
        <v>2</v>
      </c>
      <c r="CW272">
        <v>0</v>
      </c>
      <c r="CX272">
        <v>7</v>
      </c>
      <c r="CY272">
        <v>7</v>
      </c>
      <c r="CZ272" t="s">
        <v>133</v>
      </c>
      <c r="DA272">
        <v>125</v>
      </c>
      <c r="DB272">
        <v>1</v>
      </c>
      <c r="DC272" t="s">
        <v>134</v>
      </c>
      <c r="DD272" t="s">
        <v>135</v>
      </c>
      <c r="DG272">
        <v>2510059</v>
      </c>
      <c r="DI272">
        <v>0</v>
      </c>
      <c r="DJ272">
        <v>0</v>
      </c>
      <c r="DK272">
        <v>1</v>
      </c>
      <c r="DL272">
        <v>0</v>
      </c>
      <c r="DM272">
        <v>0</v>
      </c>
      <c r="DN272">
        <v>0</v>
      </c>
      <c r="DO272">
        <v>0</v>
      </c>
      <c r="DP272">
        <v>0</v>
      </c>
      <c r="DQ272">
        <v>0</v>
      </c>
      <c r="DR272">
        <v>0</v>
      </c>
      <c r="DS272">
        <v>0</v>
      </c>
    </row>
    <row r="273" spans="1:123" x14ac:dyDescent="0.25">
      <c r="A273" t="str">
        <f>"04/17/2026 15:38:40.513"</f>
        <v>04/17/2026 15:38:40.513</v>
      </c>
      <c r="C273" t="str">
        <f t="shared" si="23"/>
        <v>FFDFD3C0</v>
      </c>
      <c r="D273" t="s">
        <v>136</v>
      </c>
      <c r="E273" t="str">
        <f>"0E"</f>
        <v>0E</v>
      </c>
      <c r="F273">
        <v>1014</v>
      </c>
      <c r="G273" t="s">
        <v>125</v>
      </c>
      <c r="J273" t="s">
        <v>137</v>
      </c>
      <c r="K273">
        <v>0</v>
      </c>
      <c r="L273">
        <v>3</v>
      </c>
      <c r="M273">
        <v>0</v>
      </c>
      <c r="N273">
        <v>2</v>
      </c>
      <c r="O273">
        <v>1</v>
      </c>
      <c r="P273">
        <v>0</v>
      </c>
      <c r="Q273">
        <v>0</v>
      </c>
      <c r="R273" t="s">
        <v>127</v>
      </c>
      <c r="S273" t="str">
        <f>"15:38:40.250"</f>
        <v>15:38:40.250</v>
      </c>
      <c r="T273" t="str">
        <f>"15:38:39.850"</f>
        <v>15:38:39.850</v>
      </c>
      <c r="U273" t="str">
        <f t="shared" si="24"/>
        <v>A55E09</v>
      </c>
      <c r="V273">
        <v>0</v>
      </c>
      <c r="W273">
        <v>0</v>
      </c>
      <c r="X273">
        <v>2</v>
      </c>
      <c r="Y273">
        <v>0</v>
      </c>
      <c r="AA273">
        <v>0</v>
      </c>
      <c r="AB273">
        <v>9</v>
      </c>
      <c r="AC273">
        <v>3</v>
      </c>
      <c r="AD273">
        <v>0</v>
      </c>
      <c r="AE273">
        <v>9</v>
      </c>
      <c r="AF273" t="s">
        <v>128</v>
      </c>
      <c r="AG273">
        <v>0</v>
      </c>
      <c r="AH273">
        <v>0</v>
      </c>
      <c r="AI273">
        <v>1</v>
      </c>
      <c r="AJ273">
        <v>0</v>
      </c>
      <c r="AK273" t="s">
        <v>268</v>
      </c>
      <c r="AL273">
        <v>33.680326999999998</v>
      </c>
      <c r="AM273" t="s">
        <v>269</v>
      </c>
      <c r="AN273">
        <v>-101.20639799999999</v>
      </c>
      <c r="AO273">
        <v>100</v>
      </c>
      <c r="AP273">
        <v>3300</v>
      </c>
      <c r="AQ273" t="s">
        <v>131</v>
      </c>
      <c r="AR273">
        <v>-20</v>
      </c>
      <c r="AS273">
        <v>82</v>
      </c>
      <c r="AT273">
        <v>-64</v>
      </c>
      <c r="BB273" t="str">
        <f t="shared" si="25"/>
        <v>1200</v>
      </c>
      <c r="BC273">
        <v>1</v>
      </c>
      <c r="BD273" t="str">
        <f t="shared" si="26"/>
        <v xml:space="preserve">N445JS  </v>
      </c>
      <c r="BE273">
        <v>7</v>
      </c>
      <c r="BG273">
        <v>0</v>
      </c>
      <c r="BH273">
        <v>0</v>
      </c>
      <c r="BI273">
        <v>0</v>
      </c>
      <c r="BJ273">
        <v>3100</v>
      </c>
      <c r="BK273">
        <v>-200</v>
      </c>
      <c r="BL273" t="s">
        <v>132</v>
      </c>
      <c r="BM273">
        <v>1</v>
      </c>
      <c r="BN273">
        <v>1</v>
      </c>
      <c r="BO273">
        <v>1</v>
      </c>
      <c r="BP273">
        <v>0</v>
      </c>
      <c r="BT273">
        <v>0</v>
      </c>
      <c r="BU273">
        <v>0</v>
      </c>
      <c r="CE273" t="str">
        <f>"15:38:40.251"</f>
        <v>15:38:40.251</v>
      </c>
      <c r="CF273">
        <v>251412692</v>
      </c>
      <c r="CS273">
        <v>0</v>
      </c>
      <c r="CT273">
        <v>2</v>
      </c>
      <c r="CU273">
        <v>0</v>
      </c>
      <c r="CV273">
        <v>2</v>
      </c>
      <c r="CW273">
        <v>0</v>
      </c>
      <c r="CX273">
        <v>7</v>
      </c>
      <c r="CY273">
        <v>7</v>
      </c>
      <c r="CZ273" t="s">
        <v>133</v>
      </c>
      <c r="DA273">
        <v>125</v>
      </c>
      <c r="DB273">
        <v>1</v>
      </c>
      <c r="DC273" t="s">
        <v>134</v>
      </c>
      <c r="DD273" t="s">
        <v>135</v>
      </c>
      <c r="DG273">
        <v>2510059</v>
      </c>
      <c r="DI273">
        <v>0</v>
      </c>
      <c r="DJ273">
        <v>0</v>
      </c>
      <c r="DK273">
        <v>1</v>
      </c>
      <c r="DL273">
        <v>0</v>
      </c>
      <c r="DM273">
        <v>0</v>
      </c>
      <c r="DN273">
        <v>0</v>
      </c>
      <c r="DO273">
        <v>0</v>
      </c>
      <c r="DP273">
        <v>0</v>
      </c>
      <c r="DQ273">
        <v>0</v>
      </c>
      <c r="DR273">
        <v>0</v>
      </c>
      <c r="DS273">
        <v>0</v>
      </c>
    </row>
    <row r="274" spans="1:123" x14ac:dyDescent="0.25">
      <c r="A274" t="str">
        <f>"04/17/2026 15:38:41.422"</f>
        <v>04/17/2026 15:38:41.422</v>
      </c>
      <c r="C274" t="str">
        <f t="shared" si="23"/>
        <v>FFDFD3C0</v>
      </c>
      <c r="D274" t="s">
        <v>124</v>
      </c>
      <c r="E274" t="str">
        <f>"03"</f>
        <v>03</v>
      </c>
      <c r="H274">
        <v>160</v>
      </c>
      <c r="I274" t="s">
        <v>125</v>
      </c>
      <c r="J274" t="s">
        <v>126</v>
      </c>
      <c r="K274">
        <v>0</v>
      </c>
      <c r="L274">
        <v>3</v>
      </c>
      <c r="M274">
        <v>0</v>
      </c>
      <c r="N274">
        <v>2</v>
      </c>
      <c r="O274">
        <v>1</v>
      </c>
      <c r="P274">
        <v>0</v>
      </c>
      <c r="Q274">
        <v>0</v>
      </c>
      <c r="R274" t="s">
        <v>127</v>
      </c>
      <c r="S274" t="str">
        <f>"15:38:41.195"</f>
        <v>15:38:41.195</v>
      </c>
      <c r="T274" t="str">
        <f>"15:38:40.895"</f>
        <v>15:38:40.895</v>
      </c>
      <c r="U274" t="str">
        <f t="shared" si="24"/>
        <v>A55E09</v>
      </c>
      <c r="V274">
        <v>0</v>
      </c>
      <c r="W274">
        <v>0</v>
      </c>
      <c r="X274">
        <v>2</v>
      </c>
      <c r="Y274">
        <v>0</v>
      </c>
      <c r="AA274">
        <v>0</v>
      </c>
      <c r="AB274">
        <v>9</v>
      </c>
      <c r="AC274">
        <v>3</v>
      </c>
      <c r="AD274">
        <v>0</v>
      </c>
      <c r="AE274">
        <v>9</v>
      </c>
      <c r="AF274" t="s">
        <v>128</v>
      </c>
      <c r="AG274">
        <v>0</v>
      </c>
      <c r="AH274">
        <v>0</v>
      </c>
      <c r="AI274">
        <v>1</v>
      </c>
      <c r="AJ274">
        <v>0</v>
      </c>
      <c r="AK274" t="s">
        <v>270</v>
      </c>
      <c r="AL274">
        <v>33.680692000000001</v>
      </c>
      <c r="AM274" t="s">
        <v>271</v>
      </c>
      <c r="AN274">
        <v>-101.20657</v>
      </c>
      <c r="AO274">
        <v>100</v>
      </c>
      <c r="AP274">
        <v>3300</v>
      </c>
      <c r="AQ274" t="s">
        <v>131</v>
      </c>
      <c r="AR274">
        <v>-19</v>
      </c>
      <c r="AS274">
        <v>83</v>
      </c>
      <c r="AT274">
        <v>-128</v>
      </c>
      <c r="BB274" t="str">
        <f t="shared" si="25"/>
        <v>1200</v>
      </c>
      <c r="BC274">
        <v>1</v>
      </c>
      <c r="BD274" t="str">
        <f t="shared" si="26"/>
        <v xml:space="preserve">N445JS  </v>
      </c>
      <c r="BE274">
        <v>7</v>
      </c>
      <c r="BG274">
        <v>0</v>
      </c>
      <c r="BH274">
        <v>0</v>
      </c>
      <c r="BI274">
        <v>0</v>
      </c>
      <c r="BJ274">
        <v>3100</v>
      </c>
      <c r="BK274">
        <v>-200</v>
      </c>
      <c r="BL274" t="s">
        <v>132</v>
      </c>
      <c r="BM274">
        <v>1</v>
      </c>
      <c r="BN274">
        <v>1</v>
      </c>
      <c r="BO274">
        <v>1</v>
      </c>
      <c r="BP274">
        <v>0</v>
      </c>
      <c r="BT274">
        <v>0</v>
      </c>
      <c r="BU274">
        <v>0</v>
      </c>
      <c r="CE274" t="str">
        <f>"15:38:41.196"</f>
        <v>15:38:41.196</v>
      </c>
      <c r="CF274">
        <v>196320061</v>
      </c>
      <c r="CS274">
        <v>0</v>
      </c>
      <c r="CT274">
        <v>2</v>
      </c>
      <c r="CU274">
        <v>0</v>
      </c>
      <c r="CV274">
        <v>2</v>
      </c>
      <c r="CW274">
        <v>0</v>
      </c>
      <c r="CX274">
        <v>7</v>
      </c>
      <c r="CY274">
        <v>7</v>
      </c>
      <c r="CZ274" t="s">
        <v>133</v>
      </c>
      <c r="DA274">
        <v>125</v>
      </c>
      <c r="DB274">
        <v>1</v>
      </c>
      <c r="DC274" t="s">
        <v>134</v>
      </c>
      <c r="DD274" t="s">
        <v>135</v>
      </c>
      <c r="DG274">
        <v>2510984</v>
      </c>
      <c r="DI274">
        <v>0</v>
      </c>
      <c r="DJ274">
        <v>0</v>
      </c>
      <c r="DK274">
        <v>0</v>
      </c>
      <c r="DL274">
        <v>0</v>
      </c>
      <c r="DM274">
        <v>0</v>
      </c>
      <c r="DN274">
        <v>0</v>
      </c>
      <c r="DO274">
        <v>0</v>
      </c>
      <c r="DP274">
        <v>0</v>
      </c>
      <c r="DQ274">
        <v>0</v>
      </c>
      <c r="DR274">
        <v>0</v>
      </c>
      <c r="DS274">
        <v>0</v>
      </c>
    </row>
    <row r="275" spans="1:123" x14ac:dyDescent="0.25">
      <c r="A275" t="str">
        <f>"04/17/2026 15:38:41.446"</f>
        <v>04/17/2026 15:38:41.446</v>
      </c>
      <c r="C275" t="str">
        <f t="shared" si="23"/>
        <v>FFDFD3C0</v>
      </c>
      <c r="D275" t="s">
        <v>139</v>
      </c>
      <c r="E275" t="str">
        <f>"28"</f>
        <v>28</v>
      </c>
      <c r="H275">
        <v>140</v>
      </c>
      <c r="I275" t="s">
        <v>140</v>
      </c>
      <c r="J275" t="s">
        <v>141</v>
      </c>
      <c r="K275">
        <v>0</v>
      </c>
      <c r="L275">
        <v>3</v>
      </c>
      <c r="M275">
        <v>0</v>
      </c>
      <c r="N275">
        <v>2</v>
      </c>
      <c r="O275">
        <v>1</v>
      </c>
      <c r="P275">
        <v>0</v>
      </c>
      <c r="Q275">
        <v>0</v>
      </c>
      <c r="R275" t="s">
        <v>127</v>
      </c>
      <c r="S275" t="str">
        <f>"15:38:41.195"</f>
        <v>15:38:41.195</v>
      </c>
      <c r="T275" t="str">
        <f>"15:38:40.895"</f>
        <v>15:38:40.895</v>
      </c>
      <c r="U275" t="str">
        <f t="shared" si="24"/>
        <v>A55E09</v>
      </c>
      <c r="V275">
        <v>0</v>
      </c>
      <c r="W275">
        <v>0</v>
      </c>
      <c r="X275">
        <v>2</v>
      </c>
      <c r="Y275">
        <v>0</v>
      </c>
      <c r="AA275">
        <v>0</v>
      </c>
      <c r="AB275">
        <v>9</v>
      </c>
      <c r="AC275">
        <v>3</v>
      </c>
      <c r="AD275">
        <v>0</v>
      </c>
      <c r="AE275">
        <v>9</v>
      </c>
      <c r="AF275" t="s">
        <v>128</v>
      </c>
      <c r="AG275">
        <v>0</v>
      </c>
      <c r="AH275">
        <v>0</v>
      </c>
      <c r="AI275">
        <v>1</v>
      </c>
      <c r="AJ275">
        <v>0</v>
      </c>
      <c r="AK275" t="s">
        <v>270</v>
      </c>
      <c r="AL275">
        <v>33.680692000000001</v>
      </c>
      <c r="AM275" t="s">
        <v>271</v>
      </c>
      <c r="AN275">
        <v>-101.20657</v>
      </c>
      <c r="AO275">
        <v>100</v>
      </c>
      <c r="AP275">
        <v>3300</v>
      </c>
      <c r="AQ275" t="s">
        <v>131</v>
      </c>
      <c r="AR275">
        <v>-19</v>
      </c>
      <c r="AS275">
        <v>83</v>
      </c>
      <c r="AT275">
        <v>-128</v>
      </c>
      <c r="BB275" t="str">
        <f t="shared" si="25"/>
        <v>1200</v>
      </c>
      <c r="BC275">
        <v>1</v>
      </c>
      <c r="BD275" t="str">
        <f t="shared" si="26"/>
        <v xml:space="preserve">N445JS  </v>
      </c>
      <c r="BE275">
        <v>7</v>
      </c>
      <c r="BG275">
        <v>0</v>
      </c>
      <c r="BH275">
        <v>0</v>
      </c>
      <c r="BI275">
        <v>0</v>
      </c>
      <c r="BJ275">
        <v>3100</v>
      </c>
      <c r="BK275">
        <v>-200</v>
      </c>
      <c r="BL275" t="s">
        <v>132</v>
      </c>
      <c r="BM275">
        <v>1</v>
      </c>
      <c r="BN275">
        <v>1</v>
      </c>
      <c r="BO275">
        <v>1</v>
      </c>
      <c r="BP275">
        <v>0</v>
      </c>
      <c r="BT275">
        <v>0</v>
      </c>
      <c r="BU275">
        <v>0</v>
      </c>
      <c r="CE275" t="str">
        <f>"15:38:41.196"</f>
        <v>15:38:41.196</v>
      </c>
      <c r="CF275">
        <v>196320061</v>
      </c>
      <c r="CS275">
        <v>0</v>
      </c>
      <c r="CT275">
        <v>2</v>
      </c>
      <c r="CU275">
        <v>0</v>
      </c>
      <c r="CV275">
        <v>2</v>
      </c>
      <c r="CW275">
        <v>0</v>
      </c>
      <c r="CX275">
        <v>7</v>
      </c>
      <c r="CY275">
        <v>7</v>
      </c>
      <c r="CZ275" t="s">
        <v>133</v>
      </c>
      <c r="DA275">
        <v>125</v>
      </c>
      <c r="DB275">
        <v>1</v>
      </c>
      <c r="DC275" t="s">
        <v>134</v>
      </c>
      <c r="DD275" t="s">
        <v>135</v>
      </c>
      <c r="DG275">
        <v>2510984</v>
      </c>
      <c r="DI275">
        <v>0</v>
      </c>
      <c r="DJ275">
        <v>0</v>
      </c>
      <c r="DK275">
        <v>1</v>
      </c>
      <c r="DL275">
        <v>0</v>
      </c>
      <c r="DM275">
        <v>0</v>
      </c>
      <c r="DN275">
        <v>0</v>
      </c>
      <c r="DO275">
        <v>0</v>
      </c>
      <c r="DP275">
        <v>0</v>
      </c>
      <c r="DQ275">
        <v>0</v>
      </c>
      <c r="DR275">
        <v>0</v>
      </c>
      <c r="DS275">
        <v>0</v>
      </c>
    </row>
    <row r="276" spans="1:123" x14ac:dyDescent="0.25">
      <c r="A276" t="str">
        <f>"04/17/2026 15:38:41.464"</f>
        <v>04/17/2026 15:38:41.464</v>
      </c>
      <c r="C276" t="str">
        <f t="shared" si="23"/>
        <v>FFDFD3C0</v>
      </c>
      <c r="D276" t="s">
        <v>136</v>
      </c>
      <c r="E276" t="str">
        <f>"0E"</f>
        <v>0E</v>
      </c>
      <c r="F276">
        <v>1014</v>
      </c>
      <c r="G276" t="s">
        <v>125</v>
      </c>
      <c r="J276" t="s">
        <v>137</v>
      </c>
      <c r="K276">
        <v>0</v>
      </c>
      <c r="L276">
        <v>3</v>
      </c>
      <c r="M276">
        <v>0</v>
      </c>
      <c r="N276">
        <v>2</v>
      </c>
      <c r="O276">
        <v>1</v>
      </c>
      <c r="P276">
        <v>0</v>
      </c>
      <c r="Q276">
        <v>0</v>
      </c>
      <c r="R276" t="s">
        <v>127</v>
      </c>
      <c r="S276" t="str">
        <f>"15:38:41.195"</f>
        <v>15:38:41.195</v>
      </c>
      <c r="T276" t="str">
        <f>"15:38:40.895"</f>
        <v>15:38:40.895</v>
      </c>
      <c r="U276" t="str">
        <f t="shared" si="24"/>
        <v>A55E09</v>
      </c>
      <c r="V276">
        <v>0</v>
      </c>
      <c r="W276">
        <v>0</v>
      </c>
      <c r="X276">
        <v>2</v>
      </c>
      <c r="Y276">
        <v>0</v>
      </c>
      <c r="AA276">
        <v>0</v>
      </c>
      <c r="AB276">
        <v>9</v>
      </c>
      <c r="AC276">
        <v>3</v>
      </c>
      <c r="AD276">
        <v>0</v>
      </c>
      <c r="AE276">
        <v>9</v>
      </c>
      <c r="AF276" t="s">
        <v>128</v>
      </c>
      <c r="AG276">
        <v>0</v>
      </c>
      <c r="AH276">
        <v>0</v>
      </c>
      <c r="AI276">
        <v>1</v>
      </c>
      <c r="AJ276">
        <v>0</v>
      </c>
      <c r="AK276" t="s">
        <v>270</v>
      </c>
      <c r="AL276">
        <v>33.680692000000001</v>
      </c>
      <c r="AM276" t="s">
        <v>271</v>
      </c>
      <c r="AN276">
        <v>-101.20657</v>
      </c>
      <c r="AO276">
        <v>100</v>
      </c>
      <c r="AP276">
        <v>3300</v>
      </c>
      <c r="AQ276" t="s">
        <v>131</v>
      </c>
      <c r="AR276">
        <v>-19</v>
      </c>
      <c r="AS276">
        <v>83</v>
      </c>
      <c r="AT276">
        <v>-128</v>
      </c>
      <c r="BB276" t="str">
        <f t="shared" si="25"/>
        <v>1200</v>
      </c>
      <c r="BC276">
        <v>1</v>
      </c>
      <c r="BD276" t="str">
        <f t="shared" si="26"/>
        <v xml:space="preserve">N445JS  </v>
      </c>
      <c r="BE276">
        <v>7</v>
      </c>
      <c r="BG276">
        <v>0</v>
      </c>
      <c r="BH276">
        <v>0</v>
      </c>
      <c r="BI276">
        <v>0</v>
      </c>
      <c r="BJ276">
        <v>3100</v>
      </c>
      <c r="BK276">
        <v>-200</v>
      </c>
      <c r="BL276" t="s">
        <v>132</v>
      </c>
      <c r="BM276">
        <v>1</v>
      </c>
      <c r="BN276">
        <v>1</v>
      </c>
      <c r="BO276">
        <v>1</v>
      </c>
      <c r="BP276">
        <v>0</v>
      </c>
      <c r="BT276">
        <v>0</v>
      </c>
      <c r="BU276">
        <v>0</v>
      </c>
      <c r="CE276" t="str">
        <f>"15:38:41.196"</f>
        <v>15:38:41.196</v>
      </c>
      <c r="CF276">
        <v>196320061</v>
      </c>
      <c r="CS276">
        <v>0</v>
      </c>
      <c r="CT276">
        <v>2</v>
      </c>
      <c r="CU276">
        <v>0</v>
      </c>
      <c r="CV276">
        <v>2</v>
      </c>
      <c r="CW276">
        <v>0</v>
      </c>
      <c r="CX276">
        <v>7</v>
      </c>
      <c r="CY276">
        <v>7</v>
      </c>
      <c r="CZ276" t="s">
        <v>133</v>
      </c>
      <c r="DA276">
        <v>125</v>
      </c>
      <c r="DB276">
        <v>1</v>
      </c>
      <c r="DC276" t="s">
        <v>134</v>
      </c>
      <c r="DD276" t="s">
        <v>135</v>
      </c>
      <c r="DG276">
        <v>2510984</v>
      </c>
      <c r="DI276">
        <v>0</v>
      </c>
      <c r="DJ276">
        <v>0</v>
      </c>
      <c r="DK276">
        <v>1</v>
      </c>
      <c r="DL276">
        <v>0</v>
      </c>
      <c r="DM276">
        <v>0</v>
      </c>
      <c r="DN276">
        <v>0</v>
      </c>
      <c r="DO276">
        <v>0</v>
      </c>
      <c r="DP276">
        <v>0</v>
      </c>
      <c r="DQ276">
        <v>0</v>
      </c>
      <c r="DR276">
        <v>0</v>
      </c>
      <c r="DS276">
        <v>0</v>
      </c>
    </row>
    <row r="277" spans="1:123" x14ac:dyDescent="0.25">
      <c r="A277" t="str">
        <f>"04/17/2026 15:38:41.466"</f>
        <v>04/17/2026 15:38:41.466</v>
      </c>
      <c r="C277" t="str">
        <f t="shared" si="23"/>
        <v>FFDFD3C0</v>
      </c>
      <c r="D277" t="s">
        <v>136</v>
      </c>
      <c r="E277" t="str">
        <f>"0F"</f>
        <v>0F</v>
      </c>
      <c r="F277">
        <v>1015</v>
      </c>
      <c r="G277" t="s">
        <v>138</v>
      </c>
      <c r="J277" t="s">
        <v>137</v>
      </c>
      <c r="K277">
        <v>0</v>
      </c>
      <c r="L277">
        <v>3</v>
      </c>
      <c r="M277">
        <v>0</v>
      </c>
      <c r="N277">
        <v>2</v>
      </c>
      <c r="O277">
        <v>1</v>
      </c>
      <c r="P277">
        <v>0</v>
      </c>
      <c r="Q277">
        <v>0</v>
      </c>
      <c r="R277" t="s">
        <v>127</v>
      </c>
      <c r="S277" t="str">
        <f>"15:38:41.195"</f>
        <v>15:38:41.195</v>
      </c>
      <c r="T277" t="str">
        <f>"15:38:40.895"</f>
        <v>15:38:40.895</v>
      </c>
      <c r="U277" t="str">
        <f t="shared" si="24"/>
        <v>A55E09</v>
      </c>
      <c r="V277">
        <v>0</v>
      </c>
      <c r="W277">
        <v>0</v>
      </c>
      <c r="X277">
        <v>2</v>
      </c>
      <c r="Y277">
        <v>0</v>
      </c>
      <c r="AA277">
        <v>0</v>
      </c>
      <c r="AB277">
        <v>9</v>
      </c>
      <c r="AC277">
        <v>3</v>
      </c>
      <c r="AD277">
        <v>0</v>
      </c>
      <c r="AE277">
        <v>9</v>
      </c>
      <c r="AF277" t="s">
        <v>128</v>
      </c>
      <c r="AG277">
        <v>0</v>
      </c>
      <c r="AH277">
        <v>0</v>
      </c>
      <c r="AI277">
        <v>1</v>
      </c>
      <c r="AJ277">
        <v>0</v>
      </c>
      <c r="AK277" t="s">
        <v>270</v>
      </c>
      <c r="AL277">
        <v>33.680692000000001</v>
      </c>
      <c r="AM277" t="s">
        <v>271</v>
      </c>
      <c r="AN277">
        <v>-101.20657</v>
      </c>
      <c r="AO277">
        <v>100</v>
      </c>
      <c r="AP277">
        <v>3300</v>
      </c>
      <c r="AQ277" t="s">
        <v>131</v>
      </c>
      <c r="AR277">
        <v>-19</v>
      </c>
      <c r="AS277">
        <v>83</v>
      </c>
      <c r="AT277">
        <v>-128</v>
      </c>
      <c r="BB277" t="str">
        <f t="shared" si="25"/>
        <v>1200</v>
      </c>
      <c r="BC277">
        <v>1</v>
      </c>
      <c r="BD277" t="str">
        <f t="shared" si="26"/>
        <v xml:space="preserve">N445JS  </v>
      </c>
      <c r="BE277">
        <v>7</v>
      </c>
      <c r="BG277">
        <v>0</v>
      </c>
      <c r="BH277">
        <v>0</v>
      </c>
      <c r="BI277">
        <v>0</v>
      </c>
      <c r="BJ277">
        <v>3100</v>
      </c>
      <c r="BK277">
        <v>-200</v>
      </c>
      <c r="BL277" t="s">
        <v>132</v>
      </c>
      <c r="BM277">
        <v>1</v>
      </c>
      <c r="BN277">
        <v>1</v>
      </c>
      <c r="BO277">
        <v>1</v>
      </c>
      <c r="BP277">
        <v>0</v>
      </c>
      <c r="BT277">
        <v>0</v>
      </c>
      <c r="BU277">
        <v>0</v>
      </c>
      <c r="CE277" t="str">
        <f>"15:38:41.196"</f>
        <v>15:38:41.196</v>
      </c>
      <c r="CF277">
        <v>196320061</v>
      </c>
      <c r="CS277">
        <v>0</v>
      </c>
      <c r="CT277">
        <v>2</v>
      </c>
      <c r="CU277">
        <v>0</v>
      </c>
      <c r="CV277">
        <v>2</v>
      </c>
      <c r="CW277">
        <v>0</v>
      </c>
      <c r="CX277">
        <v>7</v>
      </c>
      <c r="CY277">
        <v>7</v>
      </c>
      <c r="CZ277" t="s">
        <v>133</v>
      </c>
      <c r="DA277">
        <v>125</v>
      </c>
      <c r="DB277">
        <v>1</v>
      </c>
      <c r="DC277" t="s">
        <v>134</v>
      </c>
      <c r="DD277" t="s">
        <v>135</v>
      </c>
      <c r="DG277">
        <v>2510984</v>
      </c>
      <c r="DI277">
        <v>0</v>
      </c>
      <c r="DJ277">
        <v>0</v>
      </c>
      <c r="DK277">
        <v>1</v>
      </c>
      <c r="DL277">
        <v>0</v>
      </c>
      <c r="DM277">
        <v>0</v>
      </c>
      <c r="DN277">
        <v>0</v>
      </c>
      <c r="DO277">
        <v>0</v>
      </c>
      <c r="DP277">
        <v>0</v>
      </c>
      <c r="DQ277">
        <v>0</v>
      </c>
      <c r="DR277">
        <v>0</v>
      </c>
      <c r="DS277">
        <v>0</v>
      </c>
    </row>
    <row r="278" spans="1:123" x14ac:dyDescent="0.25">
      <c r="A278" t="str">
        <f>"04/17/2026 15:38:42.518"</f>
        <v>04/17/2026 15:38:42.518</v>
      </c>
      <c r="C278" t="str">
        <f t="shared" si="23"/>
        <v>FFDFD3C0</v>
      </c>
      <c r="D278" t="s">
        <v>136</v>
      </c>
      <c r="E278" t="str">
        <f>"0F"</f>
        <v>0F</v>
      </c>
      <c r="F278">
        <v>1015</v>
      </c>
      <c r="G278" t="s">
        <v>138</v>
      </c>
      <c r="J278" t="s">
        <v>137</v>
      </c>
      <c r="K278">
        <v>0</v>
      </c>
      <c r="L278">
        <v>3</v>
      </c>
      <c r="M278">
        <v>0</v>
      </c>
      <c r="N278">
        <v>2</v>
      </c>
      <c r="O278">
        <v>1</v>
      </c>
      <c r="P278">
        <v>0</v>
      </c>
      <c r="Q278">
        <v>0</v>
      </c>
      <c r="R278" t="s">
        <v>127</v>
      </c>
      <c r="S278" t="str">
        <f>"15:38:42.258"</f>
        <v>15:38:42.258</v>
      </c>
      <c r="T278" t="str">
        <f>"15:38:41.958"</f>
        <v>15:38:41.958</v>
      </c>
      <c r="U278" t="str">
        <f t="shared" si="24"/>
        <v>A55E09</v>
      </c>
      <c r="V278">
        <v>0</v>
      </c>
      <c r="W278">
        <v>0</v>
      </c>
      <c r="X278">
        <v>2</v>
      </c>
      <c r="Y278">
        <v>0</v>
      </c>
      <c r="AA278">
        <v>0</v>
      </c>
      <c r="AB278">
        <v>9</v>
      </c>
      <c r="AC278">
        <v>3</v>
      </c>
      <c r="AD278">
        <v>0</v>
      </c>
      <c r="AE278">
        <v>9</v>
      </c>
      <c r="AF278" t="s">
        <v>128</v>
      </c>
      <c r="AG278">
        <v>0</v>
      </c>
      <c r="AH278">
        <v>0</v>
      </c>
      <c r="AI278">
        <v>1</v>
      </c>
      <c r="AJ278">
        <v>0</v>
      </c>
      <c r="AK278" t="s">
        <v>272</v>
      </c>
      <c r="AL278">
        <v>33.681099000000003</v>
      </c>
      <c r="AM278" t="s">
        <v>273</v>
      </c>
      <c r="AN278">
        <v>-101.206613</v>
      </c>
      <c r="AO278">
        <v>100</v>
      </c>
      <c r="AP278">
        <v>3300</v>
      </c>
      <c r="AQ278" t="s">
        <v>131</v>
      </c>
      <c r="AR278">
        <v>-17</v>
      </c>
      <c r="AS278">
        <v>83</v>
      </c>
      <c r="AT278">
        <v>-64</v>
      </c>
      <c r="BB278" t="str">
        <f t="shared" si="25"/>
        <v>1200</v>
      </c>
      <c r="BC278">
        <v>1</v>
      </c>
      <c r="BD278" t="str">
        <f t="shared" si="26"/>
        <v xml:space="preserve">N445JS  </v>
      </c>
      <c r="BE278">
        <v>7</v>
      </c>
      <c r="BG278">
        <v>0</v>
      </c>
      <c r="BH278">
        <v>0</v>
      </c>
      <c r="BI278">
        <v>0</v>
      </c>
      <c r="BJ278">
        <v>3100</v>
      </c>
      <c r="BK278">
        <v>-200</v>
      </c>
      <c r="BL278" t="s">
        <v>132</v>
      </c>
      <c r="BM278">
        <v>1</v>
      </c>
      <c r="BN278">
        <v>1</v>
      </c>
      <c r="BO278">
        <v>1</v>
      </c>
      <c r="BP278">
        <v>0</v>
      </c>
      <c r="BT278">
        <v>0</v>
      </c>
      <c r="BU278">
        <v>0</v>
      </c>
      <c r="CE278" t="str">
        <f>"15:38:42.261"</f>
        <v>15:38:42.261</v>
      </c>
      <c r="CF278">
        <v>261215669</v>
      </c>
      <c r="CS278">
        <v>0</v>
      </c>
      <c r="CT278">
        <v>2</v>
      </c>
      <c r="CU278">
        <v>0</v>
      </c>
      <c r="CV278">
        <v>2</v>
      </c>
      <c r="CW278">
        <v>0</v>
      </c>
      <c r="CX278">
        <v>7</v>
      </c>
      <c r="CY278">
        <v>7</v>
      </c>
      <c r="CZ278" t="s">
        <v>133</v>
      </c>
      <c r="DA278">
        <v>125</v>
      </c>
      <c r="DB278">
        <v>1</v>
      </c>
      <c r="DC278" t="s">
        <v>134</v>
      </c>
      <c r="DD278" t="s">
        <v>135</v>
      </c>
      <c r="DG278">
        <v>2512024</v>
      </c>
      <c r="DI278">
        <v>0</v>
      </c>
      <c r="DJ278">
        <v>0</v>
      </c>
      <c r="DK278">
        <v>0</v>
      </c>
      <c r="DL278">
        <v>0</v>
      </c>
      <c r="DM278">
        <v>0</v>
      </c>
      <c r="DN278">
        <v>0</v>
      </c>
      <c r="DO278">
        <v>0</v>
      </c>
      <c r="DP278">
        <v>0</v>
      </c>
      <c r="DQ278">
        <v>0</v>
      </c>
      <c r="DR278">
        <v>0</v>
      </c>
      <c r="DS278">
        <v>0</v>
      </c>
    </row>
    <row r="279" spans="1:123" x14ac:dyDescent="0.25">
      <c r="A279" t="str">
        <f>"04/17/2026 15:38:42.516"</f>
        <v>04/17/2026 15:38:42.516</v>
      </c>
      <c r="C279" t="str">
        <f t="shared" si="23"/>
        <v>FFDFD3C0</v>
      </c>
      <c r="D279" t="s">
        <v>136</v>
      </c>
      <c r="E279" t="str">
        <f>"0E"</f>
        <v>0E</v>
      </c>
      <c r="F279">
        <v>1014</v>
      </c>
      <c r="G279" t="s">
        <v>125</v>
      </c>
      <c r="J279" t="s">
        <v>137</v>
      </c>
      <c r="K279">
        <v>0</v>
      </c>
      <c r="L279">
        <v>3</v>
      </c>
      <c r="M279">
        <v>0</v>
      </c>
      <c r="N279">
        <v>2</v>
      </c>
      <c r="O279">
        <v>1</v>
      </c>
      <c r="P279">
        <v>0</v>
      </c>
      <c r="Q279">
        <v>0</v>
      </c>
      <c r="R279" t="s">
        <v>127</v>
      </c>
      <c r="S279" t="str">
        <f>"15:38:42.258"</f>
        <v>15:38:42.258</v>
      </c>
      <c r="T279" t="str">
        <f>"15:38:41.958"</f>
        <v>15:38:41.958</v>
      </c>
      <c r="U279" t="str">
        <f t="shared" si="24"/>
        <v>A55E09</v>
      </c>
      <c r="V279">
        <v>0</v>
      </c>
      <c r="W279">
        <v>0</v>
      </c>
      <c r="X279">
        <v>2</v>
      </c>
      <c r="Y279">
        <v>0</v>
      </c>
      <c r="AA279">
        <v>0</v>
      </c>
      <c r="AB279">
        <v>9</v>
      </c>
      <c r="AC279">
        <v>3</v>
      </c>
      <c r="AD279">
        <v>0</v>
      </c>
      <c r="AE279">
        <v>9</v>
      </c>
      <c r="AF279" t="s">
        <v>128</v>
      </c>
      <c r="AG279">
        <v>0</v>
      </c>
      <c r="AH279">
        <v>0</v>
      </c>
      <c r="AI279">
        <v>1</v>
      </c>
      <c r="AJ279">
        <v>0</v>
      </c>
      <c r="AK279" t="s">
        <v>272</v>
      </c>
      <c r="AL279">
        <v>33.681099000000003</v>
      </c>
      <c r="AM279" t="s">
        <v>273</v>
      </c>
      <c r="AN279">
        <v>-101.206613</v>
      </c>
      <c r="AO279">
        <v>100</v>
      </c>
      <c r="AP279">
        <v>3300</v>
      </c>
      <c r="AQ279" t="s">
        <v>131</v>
      </c>
      <c r="AR279">
        <v>-17</v>
      </c>
      <c r="AS279">
        <v>83</v>
      </c>
      <c r="AT279">
        <v>-64</v>
      </c>
      <c r="BB279" t="str">
        <f t="shared" si="25"/>
        <v>1200</v>
      </c>
      <c r="BC279">
        <v>1</v>
      </c>
      <c r="BD279" t="str">
        <f t="shared" si="26"/>
        <v xml:space="preserve">N445JS  </v>
      </c>
      <c r="BE279">
        <v>7</v>
      </c>
      <c r="BG279">
        <v>0</v>
      </c>
      <c r="BH279">
        <v>0</v>
      </c>
      <c r="BI279">
        <v>0</v>
      </c>
      <c r="BJ279">
        <v>3100</v>
      </c>
      <c r="BK279">
        <v>-200</v>
      </c>
      <c r="BL279" t="s">
        <v>132</v>
      </c>
      <c r="BM279">
        <v>1</v>
      </c>
      <c r="BN279">
        <v>1</v>
      </c>
      <c r="BO279">
        <v>1</v>
      </c>
      <c r="BP279">
        <v>0</v>
      </c>
      <c r="BT279">
        <v>0</v>
      </c>
      <c r="BU279">
        <v>0</v>
      </c>
      <c r="CE279" t="str">
        <f>"15:38:42.261"</f>
        <v>15:38:42.261</v>
      </c>
      <c r="CF279">
        <v>261215669</v>
      </c>
      <c r="CS279">
        <v>0</v>
      </c>
      <c r="CT279">
        <v>2</v>
      </c>
      <c r="CU279">
        <v>0</v>
      </c>
      <c r="CV279">
        <v>2</v>
      </c>
      <c r="CW279">
        <v>0</v>
      </c>
      <c r="CX279">
        <v>7</v>
      </c>
      <c r="CY279">
        <v>7</v>
      </c>
      <c r="CZ279" t="s">
        <v>133</v>
      </c>
      <c r="DA279">
        <v>125</v>
      </c>
      <c r="DB279">
        <v>1</v>
      </c>
      <c r="DC279" t="s">
        <v>134</v>
      </c>
      <c r="DD279" t="s">
        <v>135</v>
      </c>
      <c r="DG279">
        <v>2512024</v>
      </c>
      <c r="DI279">
        <v>0</v>
      </c>
      <c r="DJ279">
        <v>0</v>
      </c>
      <c r="DK279">
        <v>1</v>
      </c>
      <c r="DL279">
        <v>0</v>
      </c>
      <c r="DM279">
        <v>0</v>
      </c>
      <c r="DN279">
        <v>0</v>
      </c>
      <c r="DO279">
        <v>0</v>
      </c>
      <c r="DP279">
        <v>0</v>
      </c>
      <c r="DQ279">
        <v>0</v>
      </c>
      <c r="DR279">
        <v>0</v>
      </c>
      <c r="DS279">
        <v>0</v>
      </c>
    </row>
    <row r="280" spans="1:123" x14ac:dyDescent="0.25">
      <c r="A280" t="str">
        <f>"04/17/2026 15:38:42.524"</f>
        <v>04/17/2026 15:38:42.524</v>
      </c>
      <c r="C280" t="str">
        <f t="shared" si="23"/>
        <v>FFDFD3C0</v>
      </c>
      <c r="D280" t="s">
        <v>124</v>
      </c>
      <c r="E280" t="str">
        <f>"03"</f>
        <v>03</v>
      </c>
      <c r="H280">
        <v>160</v>
      </c>
      <c r="I280" t="s">
        <v>125</v>
      </c>
      <c r="J280" t="s">
        <v>126</v>
      </c>
      <c r="K280">
        <v>0</v>
      </c>
      <c r="L280">
        <v>3</v>
      </c>
      <c r="M280">
        <v>0</v>
      </c>
      <c r="N280">
        <v>2</v>
      </c>
      <c r="O280">
        <v>1</v>
      </c>
      <c r="P280">
        <v>0</v>
      </c>
      <c r="Q280">
        <v>0</v>
      </c>
      <c r="R280" t="s">
        <v>127</v>
      </c>
      <c r="S280" t="str">
        <f>"15:38:42.258"</f>
        <v>15:38:42.258</v>
      </c>
      <c r="T280" t="str">
        <f>"15:38:41.958"</f>
        <v>15:38:41.958</v>
      </c>
      <c r="U280" t="str">
        <f t="shared" si="24"/>
        <v>A55E09</v>
      </c>
      <c r="V280">
        <v>0</v>
      </c>
      <c r="W280">
        <v>0</v>
      </c>
      <c r="X280">
        <v>2</v>
      </c>
      <c r="Y280">
        <v>0</v>
      </c>
      <c r="AA280">
        <v>0</v>
      </c>
      <c r="AB280">
        <v>9</v>
      </c>
      <c r="AC280">
        <v>3</v>
      </c>
      <c r="AD280">
        <v>0</v>
      </c>
      <c r="AE280">
        <v>9</v>
      </c>
      <c r="AF280" t="s">
        <v>128</v>
      </c>
      <c r="AG280">
        <v>0</v>
      </c>
      <c r="AH280">
        <v>0</v>
      </c>
      <c r="AI280">
        <v>1</v>
      </c>
      <c r="AJ280">
        <v>0</v>
      </c>
      <c r="AK280" t="s">
        <v>272</v>
      </c>
      <c r="AL280">
        <v>33.681099000000003</v>
      </c>
      <c r="AM280" t="s">
        <v>273</v>
      </c>
      <c r="AN280">
        <v>-101.206613</v>
      </c>
      <c r="AO280">
        <v>100</v>
      </c>
      <c r="AP280">
        <v>3300</v>
      </c>
      <c r="AQ280" t="s">
        <v>131</v>
      </c>
      <c r="AR280">
        <v>-17</v>
      </c>
      <c r="AS280">
        <v>83</v>
      </c>
      <c r="AT280">
        <v>-64</v>
      </c>
      <c r="BB280" t="str">
        <f t="shared" si="25"/>
        <v>1200</v>
      </c>
      <c r="BC280">
        <v>1</v>
      </c>
      <c r="BD280" t="str">
        <f t="shared" si="26"/>
        <v xml:space="preserve">N445JS  </v>
      </c>
      <c r="BE280">
        <v>7</v>
      </c>
      <c r="BG280">
        <v>0</v>
      </c>
      <c r="BH280">
        <v>0</v>
      </c>
      <c r="BI280">
        <v>0</v>
      </c>
      <c r="BJ280">
        <v>3100</v>
      </c>
      <c r="BK280">
        <v>-200</v>
      </c>
      <c r="BL280" t="s">
        <v>132</v>
      </c>
      <c r="BM280">
        <v>1</v>
      </c>
      <c r="BN280">
        <v>1</v>
      </c>
      <c r="BO280">
        <v>1</v>
      </c>
      <c r="BP280">
        <v>0</v>
      </c>
      <c r="BT280">
        <v>0</v>
      </c>
      <c r="BU280">
        <v>0</v>
      </c>
      <c r="CE280" t="str">
        <f>"15:38:42.261"</f>
        <v>15:38:42.261</v>
      </c>
      <c r="CF280">
        <v>261215669</v>
      </c>
      <c r="CS280">
        <v>0</v>
      </c>
      <c r="CT280">
        <v>2</v>
      </c>
      <c r="CU280">
        <v>0</v>
      </c>
      <c r="CV280">
        <v>2</v>
      </c>
      <c r="CW280">
        <v>0</v>
      </c>
      <c r="CX280">
        <v>7</v>
      </c>
      <c r="CY280">
        <v>7</v>
      </c>
      <c r="CZ280" t="s">
        <v>133</v>
      </c>
      <c r="DA280">
        <v>125</v>
      </c>
      <c r="DB280">
        <v>1</v>
      </c>
      <c r="DC280" t="s">
        <v>134</v>
      </c>
      <c r="DD280" t="s">
        <v>135</v>
      </c>
      <c r="DG280">
        <v>2512024</v>
      </c>
      <c r="DI280">
        <v>0</v>
      </c>
      <c r="DJ280">
        <v>0</v>
      </c>
      <c r="DK280">
        <v>1</v>
      </c>
      <c r="DL280">
        <v>0</v>
      </c>
      <c r="DM280">
        <v>0</v>
      </c>
      <c r="DN280">
        <v>0</v>
      </c>
      <c r="DO280">
        <v>0</v>
      </c>
      <c r="DP280">
        <v>0</v>
      </c>
      <c r="DQ280">
        <v>0</v>
      </c>
      <c r="DR280">
        <v>0</v>
      </c>
      <c r="DS280">
        <v>0</v>
      </c>
    </row>
    <row r="281" spans="1:123" x14ac:dyDescent="0.25">
      <c r="A281" t="str">
        <f>"04/17/2026 15:38:42.498"</f>
        <v>04/17/2026 15:38:42.498</v>
      </c>
      <c r="C281" t="str">
        <f t="shared" si="23"/>
        <v>FFDFD3C0</v>
      </c>
      <c r="D281" t="s">
        <v>139</v>
      </c>
      <c r="E281" t="str">
        <f>"28"</f>
        <v>28</v>
      </c>
      <c r="H281">
        <v>140</v>
      </c>
      <c r="I281" t="s">
        <v>140</v>
      </c>
      <c r="J281" t="s">
        <v>141</v>
      </c>
      <c r="K281">
        <v>0</v>
      </c>
      <c r="L281">
        <v>3</v>
      </c>
      <c r="M281">
        <v>0</v>
      </c>
      <c r="N281">
        <v>2</v>
      </c>
      <c r="O281">
        <v>1</v>
      </c>
      <c r="P281">
        <v>0</v>
      </c>
      <c r="Q281">
        <v>0</v>
      </c>
      <c r="R281" t="s">
        <v>127</v>
      </c>
      <c r="S281" t="str">
        <f>"15:38:42.258"</f>
        <v>15:38:42.258</v>
      </c>
      <c r="T281" t="str">
        <f>"15:38:41.958"</f>
        <v>15:38:41.958</v>
      </c>
      <c r="U281" t="str">
        <f t="shared" si="24"/>
        <v>A55E09</v>
      </c>
      <c r="V281">
        <v>0</v>
      </c>
      <c r="W281">
        <v>0</v>
      </c>
      <c r="X281">
        <v>2</v>
      </c>
      <c r="Y281">
        <v>0</v>
      </c>
      <c r="AA281">
        <v>0</v>
      </c>
      <c r="AB281">
        <v>9</v>
      </c>
      <c r="AC281">
        <v>3</v>
      </c>
      <c r="AD281">
        <v>0</v>
      </c>
      <c r="AE281">
        <v>9</v>
      </c>
      <c r="AF281" t="s">
        <v>128</v>
      </c>
      <c r="AG281">
        <v>0</v>
      </c>
      <c r="AH281">
        <v>0</v>
      </c>
      <c r="AI281">
        <v>1</v>
      </c>
      <c r="AJ281">
        <v>0</v>
      </c>
      <c r="AK281" t="s">
        <v>272</v>
      </c>
      <c r="AL281">
        <v>33.681099000000003</v>
      </c>
      <c r="AM281" t="s">
        <v>273</v>
      </c>
      <c r="AN281">
        <v>-101.206613</v>
      </c>
      <c r="AO281">
        <v>100</v>
      </c>
      <c r="AP281">
        <v>3300</v>
      </c>
      <c r="AQ281" t="s">
        <v>131</v>
      </c>
      <c r="AR281">
        <v>-17</v>
      </c>
      <c r="AS281">
        <v>83</v>
      </c>
      <c r="AT281">
        <v>-64</v>
      </c>
      <c r="BB281" t="str">
        <f t="shared" si="25"/>
        <v>1200</v>
      </c>
      <c r="BC281">
        <v>1</v>
      </c>
      <c r="BD281" t="str">
        <f t="shared" si="26"/>
        <v xml:space="preserve">N445JS  </v>
      </c>
      <c r="BE281">
        <v>7</v>
      </c>
      <c r="BG281">
        <v>0</v>
      </c>
      <c r="BH281">
        <v>0</v>
      </c>
      <c r="BI281">
        <v>0</v>
      </c>
      <c r="BJ281">
        <v>3100</v>
      </c>
      <c r="BK281">
        <v>-200</v>
      </c>
      <c r="BL281" t="s">
        <v>132</v>
      </c>
      <c r="BM281">
        <v>1</v>
      </c>
      <c r="BN281">
        <v>1</v>
      </c>
      <c r="BO281">
        <v>1</v>
      </c>
      <c r="BP281">
        <v>0</v>
      </c>
      <c r="BT281">
        <v>0</v>
      </c>
      <c r="BU281">
        <v>0</v>
      </c>
      <c r="CE281" t="str">
        <f>"15:38:42.261"</f>
        <v>15:38:42.261</v>
      </c>
      <c r="CF281">
        <v>261215669</v>
      </c>
      <c r="CS281">
        <v>0</v>
      </c>
      <c r="CT281">
        <v>2</v>
      </c>
      <c r="CU281">
        <v>0</v>
      </c>
      <c r="CV281">
        <v>2</v>
      </c>
      <c r="CW281">
        <v>0</v>
      </c>
      <c r="CX281">
        <v>7</v>
      </c>
      <c r="CY281">
        <v>7</v>
      </c>
      <c r="CZ281" t="s">
        <v>133</v>
      </c>
      <c r="DA281">
        <v>125</v>
      </c>
      <c r="DB281">
        <v>1</v>
      </c>
      <c r="DC281" t="s">
        <v>134</v>
      </c>
      <c r="DD281" t="s">
        <v>135</v>
      </c>
      <c r="DG281">
        <v>2512024</v>
      </c>
      <c r="DI281">
        <v>0</v>
      </c>
      <c r="DJ281">
        <v>0</v>
      </c>
      <c r="DK281">
        <v>1</v>
      </c>
      <c r="DL281">
        <v>0</v>
      </c>
      <c r="DM281">
        <v>0</v>
      </c>
      <c r="DN281">
        <v>0</v>
      </c>
      <c r="DO281">
        <v>0</v>
      </c>
      <c r="DP281">
        <v>0</v>
      </c>
      <c r="DQ281">
        <v>0</v>
      </c>
      <c r="DR281">
        <v>0</v>
      </c>
      <c r="DS281">
        <v>0</v>
      </c>
    </row>
    <row r="282" spans="1:123" x14ac:dyDescent="0.25">
      <c r="A282" t="str">
        <f>"04/17/2026 15:38:43.476"</f>
        <v>04/17/2026 15:38:43.476</v>
      </c>
      <c r="C282" t="str">
        <f t="shared" si="23"/>
        <v>FFDFD3C0</v>
      </c>
      <c r="D282" t="s">
        <v>124</v>
      </c>
      <c r="E282" t="str">
        <f>"03"</f>
        <v>03</v>
      </c>
      <c r="H282">
        <v>160</v>
      </c>
      <c r="I282" t="s">
        <v>125</v>
      </c>
      <c r="J282" t="s">
        <v>126</v>
      </c>
      <c r="K282">
        <v>0</v>
      </c>
      <c r="L282">
        <v>3</v>
      </c>
      <c r="M282">
        <v>0</v>
      </c>
      <c r="N282">
        <v>2</v>
      </c>
      <c r="O282">
        <v>1</v>
      </c>
      <c r="P282">
        <v>0</v>
      </c>
      <c r="Q282">
        <v>0</v>
      </c>
      <c r="R282" t="s">
        <v>127</v>
      </c>
      <c r="S282" t="str">
        <f>"15:38:43.219"</f>
        <v>15:38:43.219</v>
      </c>
      <c r="T282" t="str">
        <f>"15:38:42.919"</f>
        <v>15:38:42.919</v>
      </c>
      <c r="U282" t="str">
        <f t="shared" si="24"/>
        <v>A55E09</v>
      </c>
      <c r="V282">
        <v>0</v>
      </c>
      <c r="W282">
        <v>0</v>
      </c>
      <c r="X282">
        <v>2</v>
      </c>
      <c r="Y282">
        <v>0</v>
      </c>
      <c r="AA282">
        <v>0</v>
      </c>
      <c r="AB282">
        <v>9</v>
      </c>
      <c r="AC282">
        <v>3</v>
      </c>
      <c r="AD282">
        <v>0</v>
      </c>
      <c r="AE282">
        <v>9</v>
      </c>
      <c r="AF282" t="s">
        <v>128</v>
      </c>
      <c r="AG282">
        <v>0</v>
      </c>
      <c r="AH282">
        <v>0</v>
      </c>
      <c r="AI282">
        <v>1</v>
      </c>
      <c r="AJ282">
        <v>0</v>
      </c>
      <c r="AK282" t="s">
        <v>274</v>
      </c>
      <c r="AL282">
        <v>33.681486</v>
      </c>
      <c r="AM282" t="s">
        <v>275</v>
      </c>
      <c r="AN282">
        <v>-101.20674099999999</v>
      </c>
      <c r="AO282">
        <v>100</v>
      </c>
      <c r="AP282">
        <v>3300</v>
      </c>
      <c r="AQ282" t="s">
        <v>131</v>
      </c>
      <c r="AR282">
        <v>-16</v>
      </c>
      <c r="AS282">
        <v>84</v>
      </c>
      <c r="AT282">
        <v>0</v>
      </c>
      <c r="BB282" t="str">
        <f t="shared" si="25"/>
        <v>1200</v>
      </c>
      <c r="BC282">
        <v>1</v>
      </c>
      <c r="BD282" t="str">
        <f t="shared" si="26"/>
        <v xml:space="preserve">N445JS  </v>
      </c>
      <c r="BE282">
        <v>7</v>
      </c>
      <c r="BG282">
        <v>0</v>
      </c>
      <c r="BH282">
        <v>0</v>
      </c>
      <c r="BI282">
        <v>0</v>
      </c>
      <c r="BJ282">
        <v>3100</v>
      </c>
      <c r="BK282">
        <v>-200</v>
      </c>
      <c r="BL282" t="s">
        <v>132</v>
      </c>
      <c r="BM282">
        <v>1</v>
      </c>
      <c r="BN282">
        <v>1</v>
      </c>
      <c r="BO282">
        <v>1</v>
      </c>
      <c r="BP282">
        <v>0</v>
      </c>
      <c r="BT282">
        <v>0</v>
      </c>
      <c r="BU282">
        <v>0</v>
      </c>
      <c r="CE282" t="str">
        <f>"15:38:43.221"</f>
        <v>15:38:43.221</v>
      </c>
      <c r="CF282">
        <v>221121562</v>
      </c>
      <c r="CS282">
        <v>0</v>
      </c>
      <c r="CT282">
        <v>2</v>
      </c>
      <c r="CU282">
        <v>0</v>
      </c>
      <c r="CV282">
        <v>2</v>
      </c>
      <c r="CW282">
        <v>0</v>
      </c>
      <c r="CX282">
        <v>7</v>
      </c>
      <c r="CY282">
        <v>7</v>
      </c>
      <c r="CZ282" t="s">
        <v>133</v>
      </c>
      <c r="DA282">
        <v>125</v>
      </c>
      <c r="DB282">
        <v>1</v>
      </c>
      <c r="DC282" t="s">
        <v>134</v>
      </c>
      <c r="DD282" t="s">
        <v>135</v>
      </c>
      <c r="DG282">
        <v>2512893</v>
      </c>
      <c r="DI282">
        <v>0</v>
      </c>
      <c r="DJ282">
        <v>0</v>
      </c>
      <c r="DK282">
        <v>0</v>
      </c>
      <c r="DL282">
        <v>0</v>
      </c>
      <c r="DM282">
        <v>0</v>
      </c>
      <c r="DN282">
        <v>0</v>
      </c>
      <c r="DO282">
        <v>0</v>
      </c>
      <c r="DP282">
        <v>0</v>
      </c>
      <c r="DQ282">
        <v>0</v>
      </c>
      <c r="DR282">
        <v>0</v>
      </c>
      <c r="DS282">
        <v>0</v>
      </c>
    </row>
    <row r="283" spans="1:123" x14ac:dyDescent="0.25">
      <c r="A283" t="str">
        <f>"04/17/2026 15:38:43.501"</f>
        <v>04/17/2026 15:38:43.501</v>
      </c>
      <c r="C283" t="str">
        <f t="shared" si="23"/>
        <v>FFDFD3C0</v>
      </c>
      <c r="D283" t="s">
        <v>139</v>
      </c>
      <c r="E283" t="str">
        <f>"28"</f>
        <v>28</v>
      </c>
      <c r="H283">
        <v>140</v>
      </c>
      <c r="I283" t="s">
        <v>140</v>
      </c>
      <c r="J283" t="s">
        <v>141</v>
      </c>
      <c r="K283">
        <v>0</v>
      </c>
      <c r="L283">
        <v>3</v>
      </c>
      <c r="M283">
        <v>0</v>
      </c>
      <c r="N283">
        <v>2</v>
      </c>
      <c r="O283">
        <v>1</v>
      </c>
      <c r="P283">
        <v>0</v>
      </c>
      <c r="Q283">
        <v>0</v>
      </c>
      <c r="R283" t="s">
        <v>127</v>
      </c>
      <c r="S283" t="str">
        <f>"15:38:43.219"</f>
        <v>15:38:43.219</v>
      </c>
      <c r="T283" t="str">
        <f>"15:38:42.919"</f>
        <v>15:38:42.919</v>
      </c>
      <c r="U283" t="str">
        <f t="shared" si="24"/>
        <v>A55E09</v>
      </c>
      <c r="V283">
        <v>0</v>
      </c>
      <c r="W283">
        <v>0</v>
      </c>
      <c r="X283">
        <v>2</v>
      </c>
      <c r="Y283">
        <v>0</v>
      </c>
      <c r="AA283">
        <v>0</v>
      </c>
      <c r="AB283">
        <v>9</v>
      </c>
      <c r="AC283">
        <v>3</v>
      </c>
      <c r="AD283">
        <v>0</v>
      </c>
      <c r="AE283">
        <v>9</v>
      </c>
      <c r="AF283" t="s">
        <v>128</v>
      </c>
      <c r="AG283">
        <v>0</v>
      </c>
      <c r="AH283">
        <v>0</v>
      </c>
      <c r="AI283">
        <v>1</v>
      </c>
      <c r="AJ283">
        <v>0</v>
      </c>
      <c r="AK283" t="s">
        <v>274</v>
      </c>
      <c r="AL283">
        <v>33.681486</v>
      </c>
      <c r="AM283" t="s">
        <v>275</v>
      </c>
      <c r="AN283">
        <v>-101.20674099999999</v>
      </c>
      <c r="AO283">
        <v>100</v>
      </c>
      <c r="AP283">
        <v>3300</v>
      </c>
      <c r="AQ283" t="s">
        <v>131</v>
      </c>
      <c r="AR283">
        <v>-16</v>
      </c>
      <c r="AS283">
        <v>84</v>
      </c>
      <c r="AT283">
        <v>0</v>
      </c>
      <c r="BB283" t="str">
        <f t="shared" si="25"/>
        <v>1200</v>
      </c>
      <c r="BC283">
        <v>1</v>
      </c>
      <c r="BD283" t="str">
        <f t="shared" si="26"/>
        <v xml:space="preserve">N445JS  </v>
      </c>
      <c r="BE283">
        <v>7</v>
      </c>
      <c r="BG283">
        <v>0</v>
      </c>
      <c r="BH283">
        <v>0</v>
      </c>
      <c r="BI283">
        <v>0</v>
      </c>
      <c r="BJ283">
        <v>3100</v>
      </c>
      <c r="BK283">
        <v>-200</v>
      </c>
      <c r="BL283" t="s">
        <v>132</v>
      </c>
      <c r="BM283">
        <v>1</v>
      </c>
      <c r="BN283">
        <v>1</v>
      </c>
      <c r="BO283">
        <v>1</v>
      </c>
      <c r="BP283">
        <v>0</v>
      </c>
      <c r="BT283">
        <v>0</v>
      </c>
      <c r="BU283">
        <v>0</v>
      </c>
      <c r="CE283" t="str">
        <f>"15:38:43.221"</f>
        <v>15:38:43.221</v>
      </c>
      <c r="CF283">
        <v>221121562</v>
      </c>
      <c r="CS283">
        <v>0</v>
      </c>
      <c r="CT283">
        <v>2</v>
      </c>
      <c r="CU283">
        <v>0</v>
      </c>
      <c r="CV283">
        <v>2</v>
      </c>
      <c r="CW283">
        <v>0</v>
      </c>
      <c r="CX283">
        <v>7</v>
      </c>
      <c r="CY283">
        <v>7</v>
      </c>
      <c r="CZ283" t="s">
        <v>133</v>
      </c>
      <c r="DA283">
        <v>125</v>
      </c>
      <c r="DB283">
        <v>1</v>
      </c>
      <c r="DC283" t="s">
        <v>134</v>
      </c>
      <c r="DD283" t="s">
        <v>135</v>
      </c>
      <c r="DG283">
        <v>2512893</v>
      </c>
      <c r="DI283">
        <v>0</v>
      </c>
      <c r="DJ283">
        <v>0</v>
      </c>
      <c r="DK283">
        <v>1</v>
      </c>
      <c r="DL283">
        <v>0</v>
      </c>
      <c r="DM283">
        <v>0</v>
      </c>
      <c r="DN283">
        <v>0</v>
      </c>
      <c r="DO283">
        <v>0</v>
      </c>
      <c r="DP283">
        <v>0</v>
      </c>
      <c r="DQ283">
        <v>0</v>
      </c>
      <c r="DR283">
        <v>0</v>
      </c>
      <c r="DS283">
        <v>0</v>
      </c>
    </row>
    <row r="284" spans="1:123" x14ac:dyDescent="0.25">
      <c r="A284" t="str">
        <f>"04/17/2026 15:38:43.518"</f>
        <v>04/17/2026 15:38:43.518</v>
      </c>
      <c r="C284" t="str">
        <f t="shared" si="23"/>
        <v>FFDFD3C0</v>
      </c>
      <c r="D284" t="s">
        <v>136</v>
      </c>
      <c r="E284" t="str">
        <f>"0E"</f>
        <v>0E</v>
      </c>
      <c r="F284">
        <v>1014</v>
      </c>
      <c r="G284" t="s">
        <v>125</v>
      </c>
      <c r="J284" t="s">
        <v>137</v>
      </c>
      <c r="K284">
        <v>0</v>
      </c>
      <c r="L284">
        <v>3</v>
      </c>
      <c r="M284">
        <v>0</v>
      </c>
      <c r="N284">
        <v>2</v>
      </c>
      <c r="O284">
        <v>1</v>
      </c>
      <c r="P284">
        <v>0</v>
      </c>
      <c r="Q284">
        <v>0</v>
      </c>
      <c r="R284" t="s">
        <v>127</v>
      </c>
      <c r="S284" t="str">
        <f>"15:38:43.219"</f>
        <v>15:38:43.219</v>
      </c>
      <c r="T284" t="str">
        <f>"15:38:42.919"</f>
        <v>15:38:42.919</v>
      </c>
      <c r="U284" t="str">
        <f t="shared" si="24"/>
        <v>A55E09</v>
      </c>
      <c r="V284">
        <v>0</v>
      </c>
      <c r="W284">
        <v>0</v>
      </c>
      <c r="X284">
        <v>2</v>
      </c>
      <c r="Y284">
        <v>0</v>
      </c>
      <c r="AA284">
        <v>0</v>
      </c>
      <c r="AB284">
        <v>9</v>
      </c>
      <c r="AC284">
        <v>3</v>
      </c>
      <c r="AD284">
        <v>0</v>
      </c>
      <c r="AE284">
        <v>9</v>
      </c>
      <c r="AF284" t="s">
        <v>128</v>
      </c>
      <c r="AG284">
        <v>0</v>
      </c>
      <c r="AH284">
        <v>0</v>
      </c>
      <c r="AI284">
        <v>1</v>
      </c>
      <c r="AJ284">
        <v>0</v>
      </c>
      <c r="AK284" t="s">
        <v>274</v>
      </c>
      <c r="AL284">
        <v>33.681486</v>
      </c>
      <c r="AM284" t="s">
        <v>275</v>
      </c>
      <c r="AN284">
        <v>-101.20674099999999</v>
      </c>
      <c r="AO284">
        <v>100</v>
      </c>
      <c r="AP284">
        <v>3300</v>
      </c>
      <c r="AQ284" t="s">
        <v>131</v>
      </c>
      <c r="AR284">
        <v>-16</v>
      </c>
      <c r="AS284">
        <v>84</v>
      </c>
      <c r="AT284">
        <v>0</v>
      </c>
      <c r="BB284" t="str">
        <f t="shared" si="25"/>
        <v>1200</v>
      </c>
      <c r="BC284">
        <v>1</v>
      </c>
      <c r="BD284" t="str">
        <f t="shared" si="26"/>
        <v xml:space="preserve">N445JS  </v>
      </c>
      <c r="BE284">
        <v>7</v>
      </c>
      <c r="BG284">
        <v>0</v>
      </c>
      <c r="BH284">
        <v>0</v>
      </c>
      <c r="BI284">
        <v>0</v>
      </c>
      <c r="BJ284">
        <v>3100</v>
      </c>
      <c r="BK284">
        <v>-200</v>
      </c>
      <c r="BL284" t="s">
        <v>132</v>
      </c>
      <c r="BM284">
        <v>1</v>
      </c>
      <c r="BN284">
        <v>1</v>
      </c>
      <c r="BO284">
        <v>1</v>
      </c>
      <c r="BP284">
        <v>0</v>
      </c>
      <c r="BT284">
        <v>0</v>
      </c>
      <c r="BU284">
        <v>0</v>
      </c>
      <c r="CE284" t="str">
        <f>"15:38:43.221"</f>
        <v>15:38:43.221</v>
      </c>
      <c r="CF284">
        <v>221121562</v>
      </c>
      <c r="CS284">
        <v>0</v>
      </c>
      <c r="CT284">
        <v>2</v>
      </c>
      <c r="CU284">
        <v>0</v>
      </c>
      <c r="CV284">
        <v>2</v>
      </c>
      <c r="CW284">
        <v>0</v>
      </c>
      <c r="CX284">
        <v>7</v>
      </c>
      <c r="CY284">
        <v>7</v>
      </c>
      <c r="CZ284" t="s">
        <v>133</v>
      </c>
      <c r="DA284">
        <v>125</v>
      </c>
      <c r="DB284">
        <v>1</v>
      </c>
      <c r="DC284" t="s">
        <v>134</v>
      </c>
      <c r="DD284" t="s">
        <v>135</v>
      </c>
      <c r="DG284">
        <v>2512893</v>
      </c>
      <c r="DI284">
        <v>0</v>
      </c>
      <c r="DJ284">
        <v>0</v>
      </c>
      <c r="DK284">
        <v>1</v>
      </c>
      <c r="DL284">
        <v>0</v>
      </c>
      <c r="DM284">
        <v>0</v>
      </c>
      <c r="DN284">
        <v>0</v>
      </c>
      <c r="DO284">
        <v>0</v>
      </c>
      <c r="DP284">
        <v>0</v>
      </c>
      <c r="DQ284">
        <v>0</v>
      </c>
      <c r="DR284">
        <v>0</v>
      </c>
      <c r="DS284">
        <v>0</v>
      </c>
    </row>
    <row r="285" spans="1:123" x14ac:dyDescent="0.25">
      <c r="A285" t="str">
        <f>"04/17/2026 15:38:43.519"</f>
        <v>04/17/2026 15:38:43.519</v>
      </c>
      <c r="C285" t="str">
        <f t="shared" si="23"/>
        <v>FFDFD3C0</v>
      </c>
      <c r="D285" t="s">
        <v>136</v>
      </c>
      <c r="E285" t="str">
        <f>"0F"</f>
        <v>0F</v>
      </c>
      <c r="F285">
        <v>1015</v>
      </c>
      <c r="G285" t="s">
        <v>138</v>
      </c>
      <c r="J285" t="s">
        <v>137</v>
      </c>
      <c r="K285">
        <v>0</v>
      </c>
      <c r="L285">
        <v>3</v>
      </c>
      <c r="M285">
        <v>0</v>
      </c>
      <c r="N285">
        <v>2</v>
      </c>
      <c r="O285">
        <v>1</v>
      </c>
      <c r="P285">
        <v>0</v>
      </c>
      <c r="Q285">
        <v>0</v>
      </c>
      <c r="R285" t="s">
        <v>127</v>
      </c>
      <c r="S285" t="str">
        <f>"15:38:43.219"</f>
        <v>15:38:43.219</v>
      </c>
      <c r="T285" t="str">
        <f>"15:38:42.919"</f>
        <v>15:38:42.919</v>
      </c>
      <c r="U285" t="str">
        <f t="shared" si="24"/>
        <v>A55E09</v>
      </c>
      <c r="V285">
        <v>0</v>
      </c>
      <c r="W285">
        <v>0</v>
      </c>
      <c r="X285">
        <v>2</v>
      </c>
      <c r="Y285">
        <v>0</v>
      </c>
      <c r="AA285">
        <v>0</v>
      </c>
      <c r="AB285">
        <v>9</v>
      </c>
      <c r="AC285">
        <v>3</v>
      </c>
      <c r="AD285">
        <v>0</v>
      </c>
      <c r="AE285">
        <v>9</v>
      </c>
      <c r="AF285" t="s">
        <v>128</v>
      </c>
      <c r="AG285">
        <v>0</v>
      </c>
      <c r="AH285">
        <v>0</v>
      </c>
      <c r="AI285">
        <v>1</v>
      </c>
      <c r="AJ285">
        <v>0</v>
      </c>
      <c r="AK285" t="s">
        <v>274</v>
      </c>
      <c r="AL285">
        <v>33.681486</v>
      </c>
      <c r="AM285" t="s">
        <v>275</v>
      </c>
      <c r="AN285">
        <v>-101.20674099999999</v>
      </c>
      <c r="AO285">
        <v>100</v>
      </c>
      <c r="AP285">
        <v>3300</v>
      </c>
      <c r="AQ285" t="s">
        <v>131</v>
      </c>
      <c r="AR285">
        <v>-16</v>
      </c>
      <c r="AS285">
        <v>84</v>
      </c>
      <c r="AT285">
        <v>0</v>
      </c>
      <c r="BB285" t="str">
        <f t="shared" si="25"/>
        <v>1200</v>
      </c>
      <c r="BC285">
        <v>1</v>
      </c>
      <c r="BD285" t="str">
        <f t="shared" si="26"/>
        <v xml:space="preserve">N445JS  </v>
      </c>
      <c r="BE285">
        <v>7</v>
      </c>
      <c r="BG285">
        <v>0</v>
      </c>
      <c r="BH285">
        <v>0</v>
      </c>
      <c r="BI285">
        <v>0</v>
      </c>
      <c r="BJ285">
        <v>3100</v>
      </c>
      <c r="BK285">
        <v>-200</v>
      </c>
      <c r="BL285" t="s">
        <v>132</v>
      </c>
      <c r="BM285">
        <v>1</v>
      </c>
      <c r="BN285">
        <v>1</v>
      </c>
      <c r="BO285">
        <v>1</v>
      </c>
      <c r="BP285">
        <v>0</v>
      </c>
      <c r="BT285">
        <v>0</v>
      </c>
      <c r="BU285">
        <v>0</v>
      </c>
      <c r="CE285" t="str">
        <f>"15:38:43.221"</f>
        <v>15:38:43.221</v>
      </c>
      <c r="CF285">
        <v>221121562</v>
      </c>
      <c r="CS285">
        <v>0</v>
      </c>
      <c r="CT285">
        <v>2</v>
      </c>
      <c r="CU285">
        <v>0</v>
      </c>
      <c r="CV285">
        <v>2</v>
      </c>
      <c r="CW285">
        <v>0</v>
      </c>
      <c r="CX285">
        <v>7</v>
      </c>
      <c r="CY285">
        <v>7</v>
      </c>
      <c r="CZ285" t="s">
        <v>133</v>
      </c>
      <c r="DA285">
        <v>125</v>
      </c>
      <c r="DB285">
        <v>1</v>
      </c>
      <c r="DC285" t="s">
        <v>134</v>
      </c>
      <c r="DD285" t="s">
        <v>135</v>
      </c>
      <c r="DG285">
        <v>2512893</v>
      </c>
      <c r="DI285">
        <v>0</v>
      </c>
      <c r="DJ285">
        <v>0</v>
      </c>
      <c r="DK285">
        <v>1</v>
      </c>
      <c r="DL285">
        <v>0</v>
      </c>
      <c r="DM285">
        <v>0</v>
      </c>
      <c r="DN285">
        <v>0</v>
      </c>
      <c r="DO285">
        <v>0</v>
      </c>
      <c r="DP285">
        <v>0</v>
      </c>
      <c r="DQ285">
        <v>0</v>
      </c>
      <c r="DR285">
        <v>0</v>
      </c>
      <c r="DS285">
        <v>0</v>
      </c>
    </row>
    <row r="286" spans="1:123" x14ac:dyDescent="0.25">
      <c r="A286" t="str">
        <f>"04/17/2026 15:38:45.154"</f>
        <v>04/17/2026 15:38:45.154</v>
      </c>
      <c r="C286" t="str">
        <f t="shared" si="23"/>
        <v>FFDFD3C0</v>
      </c>
      <c r="D286" t="s">
        <v>139</v>
      </c>
      <c r="E286" t="str">
        <f>"28"</f>
        <v>28</v>
      </c>
      <c r="H286">
        <v>140</v>
      </c>
      <c r="I286" t="s">
        <v>140</v>
      </c>
      <c r="J286" t="s">
        <v>141</v>
      </c>
      <c r="K286">
        <v>0</v>
      </c>
      <c r="L286">
        <v>3</v>
      </c>
      <c r="M286">
        <v>0</v>
      </c>
      <c r="N286">
        <v>2</v>
      </c>
      <c r="O286">
        <v>1</v>
      </c>
      <c r="P286">
        <v>0</v>
      </c>
      <c r="Q286">
        <v>0</v>
      </c>
      <c r="R286" t="s">
        <v>127</v>
      </c>
      <c r="S286" t="str">
        <f t="shared" ref="S286:T289" si="27">"15:38:44.883"</f>
        <v>15:38:44.883</v>
      </c>
      <c r="T286" t="str">
        <f t="shared" si="27"/>
        <v>15:38:44.883</v>
      </c>
      <c r="U286" t="str">
        <f t="shared" si="24"/>
        <v>A55E09</v>
      </c>
      <c r="V286">
        <v>0</v>
      </c>
      <c r="W286">
        <v>0</v>
      </c>
      <c r="X286">
        <v>2</v>
      </c>
      <c r="Y286">
        <v>0</v>
      </c>
      <c r="AA286">
        <v>0</v>
      </c>
      <c r="AB286">
        <v>9</v>
      </c>
      <c r="AC286">
        <v>3</v>
      </c>
      <c r="AD286">
        <v>0</v>
      </c>
      <c r="AE286">
        <v>9</v>
      </c>
      <c r="AF286" t="s">
        <v>128</v>
      </c>
      <c r="AG286">
        <v>0</v>
      </c>
      <c r="AH286">
        <v>0</v>
      </c>
      <c r="AI286">
        <v>1</v>
      </c>
      <c r="AJ286">
        <v>0</v>
      </c>
      <c r="AK286" t="s">
        <v>276</v>
      </c>
      <c r="AL286">
        <v>33.682129000000003</v>
      </c>
      <c r="AM286" t="s">
        <v>277</v>
      </c>
      <c r="AN286">
        <v>-101.20684900000001</v>
      </c>
      <c r="AO286">
        <v>100</v>
      </c>
      <c r="AP286">
        <v>3300</v>
      </c>
      <c r="AQ286" t="s">
        <v>131</v>
      </c>
      <c r="AR286">
        <v>-15</v>
      </c>
      <c r="AS286">
        <v>85</v>
      </c>
      <c r="AT286">
        <v>0</v>
      </c>
      <c r="BB286" t="str">
        <f t="shared" si="25"/>
        <v>1200</v>
      </c>
      <c r="BC286">
        <v>1</v>
      </c>
      <c r="BD286" t="str">
        <f t="shared" si="26"/>
        <v xml:space="preserve">N445JS  </v>
      </c>
      <c r="BE286">
        <v>7</v>
      </c>
      <c r="BG286">
        <v>0</v>
      </c>
      <c r="BH286">
        <v>0</v>
      </c>
      <c r="BI286">
        <v>0</v>
      </c>
      <c r="BJ286">
        <v>3125</v>
      </c>
      <c r="BK286">
        <v>-175</v>
      </c>
      <c r="BL286" t="s">
        <v>132</v>
      </c>
      <c r="BM286">
        <v>1</v>
      </c>
      <c r="BN286">
        <v>1</v>
      </c>
      <c r="BO286">
        <v>1</v>
      </c>
      <c r="BP286">
        <v>0</v>
      </c>
      <c r="BT286">
        <v>0</v>
      </c>
      <c r="BU286">
        <v>0</v>
      </c>
      <c r="CE286" t="str">
        <f>"15:38:44.886"</f>
        <v>15:38:44.886</v>
      </c>
      <c r="CF286">
        <v>885958357</v>
      </c>
      <c r="CS286">
        <v>0</v>
      </c>
      <c r="CT286">
        <v>2</v>
      </c>
      <c r="CU286">
        <v>0</v>
      </c>
      <c r="CV286">
        <v>2</v>
      </c>
      <c r="CW286">
        <v>0</v>
      </c>
      <c r="CX286">
        <v>7</v>
      </c>
      <c r="CY286">
        <v>7</v>
      </c>
      <c r="CZ286" t="s">
        <v>133</v>
      </c>
      <c r="DA286">
        <v>125</v>
      </c>
      <c r="DB286">
        <v>1</v>
      </c>
      <c r="DC286" t="s">
        <v>134</v>
      </c>
      <c r="DD286" t="s">
        <v>135</v>
      </c>
      <c r="DG286">
        <v>2514531</v>
      </c>
      <c r="DI286">
        <v>0</v>
      </c>
      <c r="DJ286">
        <v>0</v>
      </c>
      <c r="DK286">
        <v>0</v>
      </c>
      <c r="DL286">
        <v>0</v>
      </c>
      <c r="DM286">
        <v>0</v>
      </c>
      <c r="DN286">
        <v>0</v>
      </c>
      <c r="DO286">
        <v>0</v>
      </c>
      <c r="DP286">
        <v>0</v>
      </c>
      <c r="DQ286">
        <v>0</v>
      </c>
      <c r="DR286">
        <v>0</v>
      </c>
      <c r="DS286">
        <v>0</v>
      </c>
    </row>
    <row r="287" spans="1:123" x14ac:dyDescent="0.25">
      <c r="A287" t="str">
        <f>"04/17/2026 15:38:45.171"</f>
        <v>04/17/2026 15:38:45.171</v>
      </c>
      <c r="C287" t="str">
        <f t="shared" si="23"/>
        <v>FFDFD3C0</v>
      </c>
      <c r="D287" t="s">
        <v>136</v>
      </c>
      <c r="E287" t="str">
        <f>"0E"</f>
        <v>0E</v>
      </c>
      <c r="F287">
        <v>1014</v>
      </c>
      <c r="G287" t="s">
        <v>125</v>
      </c>
      <c r="J287" t="s">
        <v>137</v>
      </c>
      <c r="K287">
        <v>0</v>
      </c>
      <c r="L287">
        <v>3</v>
      </c>
      <c r="M287">
        <v>0</v>
      </c>
      <c r="N287">
        <v>2</v>
      </c>
      <c r="O287">
        <v>1</v>
      </c>
      <c r="P287">
        <v>0</v>
      </c>
      <c r="Q287">
        <v>0</v>
      </c>
      <c r="R287" t="s">
        <v>127</v>
      </c>
      <c r="S287" t="str">
        <f t="shared" si="27"/>
        <v>15:38:44.883</v>
      </c>
      <c r="T287" t="str">
        <f t="shared" si="27"/>
        <v>15:38:44.883</v>
      </c>
      <c r="U287" t="str">
        <f t="shared" si="24"/>
        <v>A55E09</v>
      </c>
      <c r="V287">
        <v>0</v>
      </c>
      <c r="W287">
        <v>0</v>
      </c>
      <c r="X287">
        <v>2</v>
      </c>
      <c r="Y287">
        <v>0</v>
      </c>
      <c r="AA287">
        <v>0</v>
      </c>
      <c r="AB287">
        <v>9</v>
      </c>
      <c r="AC287">
        <v>3</v>
      </c>
      <c r="AD287">
        <v>0</v>
      </c>
      <c r="AE287">
        <v>9</v>
      </c>
      <c r="AF287" t="s">
        <v>128</v>
      </c>
      <c r="AG287">
        <v>0</v>
      </c>
      <c r="AH287">
        <v>0</v>
      </c>
      <c r="AI287">
        <v>1</v>
      </c>
      <c r="AJ287">
        <v>0</v>
      </c>
      <c r="AK287" t="s">
        <v>276</v>
      </c>
      <c r="AL287">
        <v>33.682129000000003</v>
      </c>
      <c r="AM287" t="s">
        <v>277</v>
      </c>
      <c r="AN287">
        <v>-101.20684900000001</v>
      </c>
      <c r="AO287">
        <v>100</v>
      </c>
      <c r="AP287">
        <v>3300</v>
      </c>
      <c r="AQ287" t="s">
        <v>131</v>
      </c>
      <c r="AR287">
        <v>-15</v>
      </c>
      <c r="AS287">
        <v>85</v>
      </c>
      <c r="AT287">
        <v>0</v>
      </c>
      <c r="BB287" t="str">
        <f t="shared" si="25"/>
        <v>1200</v>
      </c>
      <c r="BC287">
        <v>1</v>
      </c>
      <c r="BD287" t="str">
        <f t="shared" si="26"/>
        <v xml:space="preserve">N445JS  </v>
      </c>
      <c r="BE287">
        <v>7</v>
      </c>
      <c r="BG287">
        <v>0</v>
      </c>
      <c r="BH287">
        <v>0</v>
      </c>
      <c r="BI287">
        <v>0</v>
      </c>
      <c r="BJ287">
        <v>3125</v>
      </c>
      <c r="BK287">
        <v>-175</v>
      </c>
      <c r="BL287" t="s">
        <v>132</v>
      </c>
      <c r="BM287">
        <v>1</v>
      </c>
      <c r="BN287">
        <v>1</v>
      </c>
      <c r="BO287">
        <v>1</v>
      </c>
      <c r="BP287">
        <v>0</v>
      </c>
      <c r="BT287">
        <v>0</v>
      </c>
      <c r="BU287">
        <v>0</v>
      </c>
      <c r="CE287" t="str">
        <f>"15:38:44.886"</f>
        <v>15:38:44.886</v>
      </c>
      <c r="CF287">
        <v>885958357</v>
      </c>
      <c r="CS287">
        <v>0</v>
      </c>
      <c r="CT287">
        <v>2</v>
      </c>
      <c r="CU287">
        <v>0</v>
      </c>
      <c r="CV287">
        <v>2</v>
      </c>
      <c r="CW287">
        <v>0</v>
      </c>
      <c r="CX287">
        <v>7</v>
      </c>
      <c r="CY287">
        <v>7</v>
      </c>
      <c r="CZ287" t="s">
        <v>133</v>
      </c>
      <c r="DA287">
        <v>125</v>
      </c>
      <c r="DB287">
        <v>1</v>
      </c>
      <c r="DC287" t="s">
        <v>134</v>
      </c>
      <c r="DD287" t="s">
        <v>135</v>
      </c>
      <c r="DG287">
        <v>2514531</v>
      </c>
      <c r="DI287">
        <v>0</v>
      </c>
      <c r="DJ287">
        <v>0</v>
      </c>
      <c r="DK287">
        <v>1</v>
      </c>
      <c r="DL287">
        <v>0</v>
      </c>
      <c r="DM287">
        <v>0</v>
      </c>
      <c r="DN287">
        <v>0</v>
      </c>
      <c r="DO287">
        <v>0</v>
      </c>
      <c r="DP287">
        <v>0</v>
      </c>
      <c r="DQ287">
        <v>0</v>
      </c>
      <c r="DR287">
        <v>0</v>
      </c>
      <c r="DS287">
        <v>0</v>
      </c>
    </row>
    <row r="288" spans="1:123" x14ac:dyDescent="0.25">
      <c r="A288" t="str">
        <f>"04/17/2026 15:38:45.172"</f>
        <v>04/17/2026 15:38:45.172</v>
      </c>
      <c r="C288" t="str">
        <f t="shared" si="23"/>
        <v>FFDFD3C0</v>
      </c>
      <c r="D288" t="s">
        <v>136</v>
      </c>
      <c r="E288" t="str">
        <f>"0F"</f>
        <v>0F</v>
      </c>
      <c r="F288">
        <v>1015</v>
      </c>
      <c r="G288" t="s">
        <v>138</v>
      </c>
      <c r="J288" t="s">
        <v>137</v>
      </c>
      <c r="K288">
        <v>0</v>
      </c>
      <c r="L288">
        <v>3</v>
      </c>
      <c r="M288">
        <v>0</v>
      </c>
      <c r="N288">
        <v>2</v>
      </c>
      <c r="O288">
        <v>1</v>
      </c>
      <c r="P288">
        <v>0</v>
      </c>
      <c r="Q288">
        <v>0</v>
      </c>
      <c r="R288" t="s">
        <v>127</v>
      </c>
      <c r="S288" t="str">
        <f t="shared" si="27"/>
        <v>15:38:44.883</v>
      </c>
      <c r="T288" t="str">
        <f t="shared" si="27"/>
        <v>15:38:44.883</v>
      </c>
      <c r="U288" t="str">
        <f t="shared" si="24"/>
        <v>A55E09</v>
      </c>
      <c r="V288">
        <v>0</v>
      </c>
      <c r="W288">
        <v>0</v>
      </c>
      <c r="X288">
        <v>2</v>
      </c>
      <c r="Y288">
        <v>0</v>
      </c>
      <c r="AA288">
        <v>0</v>
      </c>
      <c r="AB288">
        <v>9</v>
      </c>
      <c r="AC288">
        <v>3</v>
      </c>
      <c r="AD288">
        <v>0</v>
      </c>
      <c r="AE288">
        <v>9</v>
      </c>
      <c r="AF288" t="s">
        <v>128</v>
      </c>
      <c r="AG288">
        <v>0</v>
      </c>
      <c r="AH288">
        <v>0</v>
      </c>
      <c r="AI288">
        <v>1</v>
      </c>
      <c r="AJ288">
        <v>0</v>
      </c>
      <c r="AK288" t="s">
        <v>276</v>
      </c>
      <c r="AL288">
        <v>33.682129000000003</v>
      </c>
      <c r="AM288" t="s">
        <v>277</v>
      </c>
      <c r="AN288">
        <v>-101.20684900000001</v>
      </c>
      <c r="AO288">
        <v>100</v>
      </c>
      <c r="AP288">
        <v>3300</v>
      </c>
      <c r="AQ288" t="s">
        <v>131</v>
      </c>
      <c r="AR288">
        <v>-15</v>
      </c>
      <c r="AS288">
        <v>85</v>
      </c>
      <c r="AT288">
        <v>0</v>
      </c>
      <c r="BB288" t="str">
        <f t="shared" si="25"/>
        <v>1200</v>
      </c>
      <c r="BC288">
        <v>1</v>
      </c>
      <c r="BD288" t="str">
        <f t="shared" si="26"/>
        <v xml:space="preserve">N445JS  </v>
      </c>
      <c r="BE288">
        <v>7</v>
      </c>
      <c r="BG288">
        <v>0</v>
      </c>
      <c r="BH288">
        <v>0</v>
      </c>
      <c r="BI288">
        <v>0</v>
      </c>
      <c r="BJ288">
        <v>3125</v>
      </c>
      <c r="BK288">
        <v>-175</v>
      </c>
      <c r="BL288" t="s">
        <v>132</v>
      </c>
      <c r="BM288">
        <v>1</v>
      </c>
      <c r="BN288">
        <v>1</v>
      </c>
      <c r="BO288">
        <v>1</v>
      </c>
      <c r="BP288">
        <v>0</v>
      </c>
      <c r="BT288">
        <v>0</v>
      </c>
      <c r="BU288">
        <v>0</v>
      </c>
      <c r="CE288" t="str">
        <f>"15:38:44.886"</f>
        <v>15:38:44.886</v>
      </c>
      <c r="CF288">
        <v>885958357</v>
      </c>
      <c r="CS288">
        <v>0</v>
      </c>
      <c r="CT288">
        <v>2</v>
      </c>
      <c r="CU288">
        <v>0</v>
      </c>
      <c r="CV288">
        <v>2</v>
      </c>
      <c r="CW288">
        <v>0</v>
      </c>
      <c r="CX288">
        <v>7</v>
      </c>
      <c r="CY288">
        <v>7</v>
      </c>
      <c r="CZ288" t="s">
        <v>133</v>
      </c>
      <c r="DA288">
        <v>125</v>
      </c>
      <c r="DB288">
        <v>1</v>
      </c>
      <c r="DC288" t="s">
        <v>134</v>
      </c>
      <c r="DD288" t="s">
        <v>135</v>
      </c>
      <c r="DG288">
        <v>2514531</v>
      </c>
      <c r="DI288">
        <v>0</v>
      </c>
      <c r="DJ288">
        <v>0</v>
      </c>
      <c r="DK288">
        <v>1</v>
      </c>
      <c r="DL288">
        <v>0</v>
      </c>
      <c r="DM288">
        <v>0</v>
      </c>
      <c r="DN288">
        <v>0</v>
      </c>
      <c r="DO288">
        <v>0</v>
      </c>
      <c r="DP288">
        <v>0</v>
      </c>
      <c r="DQ288">
        <v>0</v>
      </c>
      <c r="DR288">
        <v>0</v>
      </c>
      <c r="DS288">
        <v>0</v>
      </c>
    </row>
    <row r="289" spans="1:123" x14ac:dyDescent="0.25">
      <c r="A289" t="str">
        <f>"04/17/2026 15:38:45.179"</f>
        <v>04/17/2026 15:38:45.179</v>
      </c>
      <c r="C289" t="str">
        <f t="shared" si="23"/>
        <v>FFDFD3C0</v>
      </c>
      <c r="D289" t="s">
        <v>124</v>
      </c>
      <c r="E289" t="str">
        <f>"03"</f>
        <v>03</v>
      </c>
      <c r="H289">
        <v>160</v>
      </c>
      <c r="I289" t="s">
        <v>125</v>
      </c>
      <c r="J289" t="s">
        <v>126</v>
      </c>
      <c r="K289">
        <v>0</v>
      </c>
      <c r="L289">
        <v>3</v>
      </c>
      <c r="M289">
        <v>0</v>
      </c>
      <c r="N289">
        <v>2</v>
      </c>
      <c r="O289">
        <v>1</v>
      </c>
      <c r="P289">
        <v>0</v>
      </c>
      <c r="Q289">
        <v>0</v>
      </c>
      <c r="R289" t="s">
        <v>127</v>
      </c>
      <c r="S289" t="str">
        <f t="shared" si="27"/>
        <v>15:38:44.883</v>
      </c>
      <c r="T289" t="str">
        <f t="shared" si="27"/>
        <v>15:38:44.883</v>
      </c>
      <c r="U289" t="str">
        <f t="shared" si="24"/>
        <v>A55E09</v>
      </c>
      <c r="V289">
        <v>0</v>
      </c>
      <c r="W289">
        <v>0</v>
      </c>
      <c r="X289">
        <v>2</v>
      </c>
      <c r="Y289">
        <v>0</v>
      </c>
      <c r="AA289">
        <v>0</v>
      </c>
      <c r="AB289">
        <v>9</v>
      </c>
      <c r="AC289">
        <v>3</v>
      </c>
      <c r="AD289">
        <v>0</v>
      </c>
      <c r="AE289">
        <v>9</v>
      </c>
      <c r="AF289" t="s">
        <v>128</v>
      </c>
      <c r="AG289">
        <v>0</v>
      </c>
      <c r="AH289">
        <v>0</v>
      </c>
      <c r="AI289">
        <v>1</v>
      </c>
      <c r="AJ289">
        <v>0</v>
      </c>
      <c r="AK289" t="s">
        <v>276</v>
      </c>
      <c r="AL289">
        <v>33.682129000000003</v>
      </c>
      <c r="AM289" t="s">
        <v>277</v>
      </c>
      <c r="AN289">
        <v>-101.20684900000001</v>
      </c>
      <c r="AO289">
        <v>100</v>
      </c>
      <c r="AP289">
        <v>3300</v>
      </c>
      <c r="AQ289" t="s">
        <v>131</v>
      </c>
      <c r="AR289">
        <v>-15</v>
      </c>
      <c r="AS289">
        <v>85</v>
      </c>
      <c r="AT289">
        <v>0</v>
      </c>
      <c r="BB289" t="str">
        <f t="shared" si="25"/>
        <v>1200</v>
      </c>
      <c r="BC289">
        <v>1</v>
      </c>
      <c r="BD289" t="str">
        <f t="shared" si="26"/>
        <v xml:space="preserve">N445JS  </v>
      </c>
      <c r="BE289">
        <v>7</v>
      </c>
      <c r="BG289">
        <v>0</v>
      </c>
      <c r="BH289">
        <v>0</v>
      </c>
      <c r="BI289">
        <v>0</v>
      </c>
      <c r="BJ289">
        <v>3125</v>
      </c>
      <c r="BK289">
        <v>-175</v>
      </c>
      <c r="BL289" t="s">
        <v>132</v>
      </c>
      <c r="BM289">
        <v>1</v>
      </c>
      <c r="BN289">
        <v>1</v>
      </c>
      <c r="BO289">
        <v>1</v>
      </c>
      <c r="BP289">
        <v>0</v>
      </c>
      <c r="BT289">
        <v>0</v>
      </c>
      <c r="BU289">
        <v>0</v>
      </c>
      <c r="CE289" t="str">
        <f>"15:38:44.886"</f>
        <v>15:38:44.886</v>
      </c>
      <c r="CF289">
        <v>885958357</v>
      </c>
      <c r="CS289">
        <v>0</v>
      </c>
      <c r="CT289">
        <v>2</v>
      </c>
      <c r="CU289">
        <v>0</v>
      </c>
      <c r="CV289">
        <v>2</v>
      </c>
      <c r="CW289">
        <v>0</v>
      </c>
      <c r="CX289">
        <v>7</v>
      </c>
      <c r="CY289">
        <v>7</v>
      </c>
      <c r="CZ289" t="s">
        <v>133</v>
      </c>
      <c r="DA289">
        <v>125</v>
      </c>
      <c r="DB289">
        <v>1</v>
      </c>
      <c r="DC289" t="s">
        <v>134</v>
      </c>
      <c r="DD289" t="s">
        <v>135</v>
      </c>
      <c r="DG289">
        <v>2514531</v>
      </c>
      <c r="DI289">
        <v>0</v>
      </c>
      <c r="DJ289">
        <v>0</v>
      </c>
      <c r="DK289">
        <v>1</v>
      </c>
      <c r="DL289">
        <v>0</v>
      </c>
      <c r="DM289">
        <v>0</v>
      </c>
      <c r="DN289">
        <v>0</v>
      </c>
      <c r="DO289">
        <v>0</v>
      </c>
      <c r="DP289">
        <v>0</v>
      </c>
      <c r="DQ289">
        <v>0</v>
      </c>
      <c r="DR289">
        <v>0</v>
      </c>
      <c r="DS289">
        <v>0</v>
      </c>
    </row>
    <row r="290" spans="1:123" x14ac:dyDescent="0.25">
      <c r="A290" t="str">
        <f>"04/17/2026 15:38:46.206"</f>
        <v>04/17/2026 15:38:46.206</v>
      </c>
      <c r="C290" t="str">
        <f t="shared" si="23"/>
        <v>FFDFD3C0</v>
      </c>
      <c r="D290" t="s">
        <v>139</v>
      </c>
      <c r="E290" t="str">
        <f>"28"</f>
        <v>28</v>
      </c>
      <c r="H290">
        <v>140</v>
      </c>
      <c r="I290" t="s">
        <v>140</v>
      </c>
      <c r="J290" t="s">
        <v>141</v>
      </c>
      <c r="K290">
        <v>0</v>
      </c>
      <c r="L290">
        <v>3</v>
      </c>
      <c r="M290">
        <v>0</v>
      </c>
      <c r="N290">
        <v>2</v>
      </c>
      <c r="O290">
        <v>1</v>
      </c>
      <c r="P290">
        <v>0</v>
      </c>
      <c r="Q290">
        <v>0</v>
      </c>
      <c r="R290" t="s">
        <v>127</v>
      </c>
      <c r="S290" t="str">
        <f>"15:38:45.930"</f>
        <v>15:38:45.930</v>
      </c>
      <c r="T290" t="str">
        <f>"15:38:45.830"</f>
        <v>15:38:45.830</v>
      </c>
      <c r="U290" t="str">
        <f t="shared" si="24"/>
        <v>A55E09</v>
      </c>
      <c r="V290">
        <v>0</v>
      </c>
      <c r="W290">
        <v>0</v>
      </c>
      <c r="X290">
        <v>2</v>
      </c>
      <c r="Y290">
        <v>0</v>
      </c>
      <c r="AA290">
        <v>0</v>
      </c>
      <c r="AB290">
        <v>9</v>
      </c>
      <c r="AC290">
        <v>3</v>
      </c>
      <c r="AD290">
        <v>0</v>
      </c>
      <c r="AE290">
        <v>9</v>
      </c>
      <c r="AF290" t="s">
        <v>128</v>
      </c>
      <c r="AG290">
        <v>0</v>
      </c>
      <c r="AH290">
        <v>0</v>
      </c>
      <c r="AI290">
        <v>1</v>
      </c>
      <c r="AJ290">
        <v>0</v>
      </c>
      <c r="AK290" t="s">
        <v>278</v>
      </c>
      <c r="AL290">
        <v>33.682580000000002</v>
      </c>
      <c r="AM290" t="s">
        <v>279</v>
      </c>
      <c r="AN290">
        <v>-101.20695600000001</v>
      </c>
      <c r="AO290">
        <v>100</v>
      </c>
      <c r="AP290">
        <v>3300</v>
      </c>
      <c r="AQ290" t="s">
        <v>131</v>
      </c>
      <c r="AR290">
        <v>-15</v>
      </c>
      <c r="AS290">
        <v>85</v>
      </c>
      <c r="AT290">
        <v>0</v>
      </c>
      <c r="BB290" t="str">
        <f t="shared" si="25"/>
        <v>1200</v>
      </c>
      <c r="BC290">
        <v>1</v>
      </c>
      <c r="BD290" t="str">
        <f t="shared" si="26"/>
        <v xml:space="preserve">N445JS  </v>
      </c>
      <c r="BE290">
        <v>7</v>
      </c>
      <c r="BG290">
        <v>0</v>
      </c>
      <c r="BH290">
        <v>0</v>
      </c>
      <c r="BI290">
        <v>0</v>
      </c>
      <c r="BJ290">
        <v>3100</v>
      </c>
      <c r="BK290">
        <v>-200</v>
      </c>
      <c r="BL290" t="s">
        <v>132</v>
      </c>
      <c r="BM290">
        <v>1</v>
      </c>
      <c r="BN290">
        <v>1</v>
      </c>
      <c r="BO290">
        <v>1</v>
      </c>
      <c r="BP290">
        <v>0</v>
      </c>
      <c r="BT290">
        <v>0</v>
      </c>
      <c r="BU290">
        <v>0</v>
      </c>
      <c r="CE290" t="str">
        <f>"15:38:45.936"</f>
        <v>15:38:45.936</v>
      </c>
      <c r="CF290">
        <v>935855419</v>
      </c>
      <c r="CS290">
        <v>0</v>
      </c>
      <c r="CT290">
        <v>2</v>
      </c>
      <c r="CU290">
        <v>0</v>
      </c>
      <c r="CV290">
        <v>2</v>
      </c>
      <c r="CW290">
        <v>0</v>
      </c>
      <c r="CX290">
        <v>7</v>
      </c>
      <c r="CY290">
        <v>7</v>
      </c>
      <c r="CZ290" t="s">
        <v>133</v>
      </c>
      <c r="DA290">
        <v>125</v>
      </c>
      <c r="DB290">
        <v>1</v>
      </c>
      <c r="DC290" t="s">
        <v>134</v>
      </c>
      <c r="DD290" t="s">
        <v>135</v>
      </c>
      <c r="DG290">
        <v>2515562</v>
      </c>
      <c r="DI290">
        <v>0</v>
      </c>
      <c r="DJ290">
        <v>0</v>
      </c>
      <c r="DK290">
        <v>0</v>
      </c>
      <c r="DL290">
        <v>0</v>
      </c>
      <c r="DM290">
        <v>0</v>
      </c>
      <c r="DN290">
        <v>0</v>
      </c>
      <c r="DO290">
        <v>0</v>
      </c>
      <c r="DP290">
        <v>0</v>
      </c>
      <c r="DQ290">
        <v>0</v>
      </c>
      <c r="DR290">
        <v>0</v>
      </c>
      <c r="DS290">
        <v>0</v>
      </c>
    </row>
    <row r="291" spans="1:123" x14ac:dyDescent="0.25">
      <c r="A291" t="str">
        <f>"04/17/2026 15:38:46.222"</f>
        <v>04/17/2026 15:38:46.222</v>
      </c>
      <c r="C291" t="str">
        <f t="shared" si="23"/>
        <v>FFDFD3C0</v>
      </c>
      <c r="D291" t="s">
        <v>136</v>
      </c>
      <c r="E291" t="str">
        <f>"0E"</f>
        <v>0E</v>
      </c>
      <c r="F291">
        <v>1014</v>
      </c>
      <c r="G291" t="s">
        <v>125</v>
      </c>
      <c r="J291" t="s">
        <v>137</v>
      </c>
      <c r="K291">
        <v>0</v>
      </c>
      <c r="L291">
        <v>3</v>
      </c>
      <c r="M291">
        <v>0</v>
      </c>
      <c r="N291">
        <v>2</v>
      </c>
      <c r="O291">
        <v>1</v>
      </c>
      <c r="P291">
        <v>0</v>
      </c>
      <c r="Q291">
        <v>0</v>
      </c>
      <c r="R291" t="s">
        <v>127</v>
      </c>
      <c r="S291" t="str">
        <f>"15:38:45.930"</f>
        <v>15:38:45.930</v>
      </c>
      <c r="T291" t="str">
        <f>"15:38:45.830"</f>
        <v>15:38:45.830</v>
      </c>
      <c r="U291" t="str">
        <f t="shared" si="24"/>
        <v>A55E09</v>
      </c>
      <c r="V291">
        <v>0</v>
      </c>
      <c r="W291">
        <v>0</v>
      </c>
      <c r="X291">
        <v>2</v>
      </c>
      <c r="Y291">
        <v>0</v>
      </c>
      <c r="AA291">
        <v>0</v>
      </c>
      <c r="AB291">
        <v>9</v>
      </c>
      <c r="AC291">
        <v>3</v>
      </c>
      <c r="AD291">
        <v>0</v>
      </c>
      <c r="AE291">
        <v>9</v>
      </c>
      <c r="AF291" t="s">
        <v>128</v>
      </c>
      <c r="AG291">
        <v>0</v>
      </c>
      <c r="AH291">
        <v>0</v>
      </c>
      <c r="AI291">
        <v>1</v>
      </c>
      <c r="AJ291">
        <v>0</v>
      </c>
      <c r="AK291" t="s">
        <v>278</v>
      </c>
      <c r="AL291">
        <v>33.682580000000002</v>
      </c>
      <c r="AM291" t="s">
        <v>279</v>
      </c>
      <c r="AN291">
        <v>-101.20695600000001</v>
      </c>
      <c r="AO291">
        <v>100</v>
      </c>
      <c r="AP291">
        <v>3300</v>
      </c>
      <c r="AQ291" t="s">
        <v>131</v>
      </c>
      <c r="AR291">
        <v>-15</v>
      </c>
      <c r="AS291">
        <v>85</v>
      </c>
      <c r="AT291">
        <v>0</v>
      </c>
      <c r="BB291" t="str">
        <f t="shared" si="25"/>
        <v>1200</v>
      </c>
      <c r="BC291">
        <v>1</v>
      </c>
      <c r="BD291" t="str">
        <f t="shared" si="26"/>
        <v xml:space="preserve">N445JS  </v>
      </c>
      <c r="BE291">
        <v>7</v>
      </c>
      <c r="BG291">
        <v>0</v>
      </c>
      <c r="BH291">
        <v>0</v>
      </c>
      <c r="BI291">
        <v>0</v>
      </c>
      <c r="BJ291">
        <v>3100</v>
      </c>
      <c r="BK291">
        <v>-200</v>
      </c>
      <c r="BL291" t="s">
        <v>132</v>
      </c>
      <c r="BM291">
        <v>1</v>
      </c>
      <c r="BN291">
        <v>1</v>
      </c>
      <c r="BO291">
        <v>1</v>
      </c>
      <c r="BP291">
        <v>0</v>
      </c>
      <c r="BT291">
        <v>0</v>
      </c>
      <c r="BU291">
        <v>0</v>
      </c>
      <c r="CE291" t="str">
        <f>"15:38:45.936"</f>
        <v>15:38:45.936</v>
      </c>
      <c r="CF291">
        <v>935855419</v>
      </c>
      <c r="CS291">
        <v>0</v>
      </c>
      <c r="CT291">
        <v>2</v>
      </c>
      <c r="CU291">
        <v>0</v>
      </c>
      <c r="CV291">
        <v>2</v>
      </c>
      <c r="CW291">
        <v>0</v>
      </c>
      <c r="CX291">
        <v>7</v>
      </c>
      <c r="CY291">
        <v>7</v>
      </c>
      <c r="CZ291" t="s">
        <v>133</v>
      </c>
      <c r="DA291">
        <v>125</v>
      </c>
      <c r="DB291">
        <v>1</v>
      </c>
      <c r="DC291" t="s">
        <v>134</v>
      </c>
      <c r="DD291" t="s">
        <v>135</v>
      </c>
      <c r="DG291">
        <v>2515562</v>
      </c>
      <c r="DI291">
        <v>0</v>
      </c>
      <c r="DJ291">
        <v>0</v>
      </c>
      <c r="DK291">
        <v>1</v>
      </c>
      <c r="DL291">
        <v>0</v>
      </c>
      <c r="DM291">
        <v>0</v>
      </c>
      <c r="DN291">
        <v>0</v>
      </c>
      <c r="DO291">
        <v>0</v>
      </c>
      <c r="DP291">
        <v>0</v>
      </c>
      <c r="DQ291">
        <v>0</v>
      </c>
      <c r="DR291">
        <v>0</v>
      </c>
      <c r="DS291">
        <v>0</v>
      </c>
    </row>
    <row r="292" spans="1:123" x14ac:dyDescent="0.25">
      <c r="A292" t="str">
        <f>"04/17/2026 15:38:46.224"</f>
        <v>04/17/2026 15:38:46.224</v>
      </c>
      <c r="C292" t="str">
        <f t="shared" si="23"/>
        <v>FFDFD3C0</v>
      </c>
      <c r="D292" t="s">
        <v>136</v>
      </c>
      <c r="E292" t="str">
        <f>"0F"</f>
        <v>0F</v>
      </c>
      <c r="F292">
        <v>1015</v>
      </c>
      <c r="G292" t="s">
        <v>138</v>
      </c>
      <c r="J292" t="s">
        <v>137</v>
      </c>
      <c r="K292">
        <v>0</v>
      </c>
      <c r="L292">
        <v>3</v>
      </c>
      <c r="M292">
        <v>0</v>
      </c>
      <c r="N292">
        <v>2</v>
      </c>
      <c r="O292">
        <v>1</v>
      </c>
      <c r="P292">
        <v>0</v>
      </c>
      <c r="Q292">
        <v>0</v>
      </c>
      <c r="R292" t="s">
        <v>127</v>
      </c>
      <c r="S292" t="str">
        <f>"15:38:45.930"</f>
        <v>15:38:45.930</v>
      </c>
      <c r="T292" t="str">
        <f>"15:38:45.830"</f>
        <v>15:38:45.830</v>
      </c>
      <c r="U292" t="str">
        <f t="shared" si="24"/>
        <v>A55E09</v>
      </c>
      <c r="V292">
        <v>0</v>
      </c>
      <c r="W292">
        <v>0</v>
      </c>
      <c r="X292">
        <v>2</v>
      </c>
      <c r="Y292">
        <v>0</v>
      </c>
      <c r="AA292">
        <v>0</v>
      </c>
      <c r="AB292">
        <v>9</v>
      </c>
      <c r="AC292">
        <v>3</v>
      </c>
      <c r="AD292">
        <v>0</v>
      </c>
      <c r="AE292">
        <v>9</v>
      </c>
      <c r="AF292" t="s">
        <v>128</v>
      </c>
      <c r="AG292">
        <v>0</v>
      </c>
      <c r="AH292">
        <v>0</v>
      </c>
      <c r="AI292">
        <v>1</v>
      </c>
      <c r="AJ292">
        <v>0</v>
      </c>
      <c r="AK292" t="s">
        <v>278</v>
      </c>
      <c r="AL292">
        <v>33.682580000000002</v>
      </c>
      <c r="AM292" t="s">
        <v>279</v>
      </c>
      <c r="AN292">
        <v>-101.20695600000001</v>
      </c>
      <c r="AO292">
        <v>100</v>
      </c>
      <c r="AP292">
        <v>3300</v>
      </c>
      <c r="AQ292" t="s">
        <v>131</v>
      </c>
      <c r="AR292">
        <v>-15</v>
      </c>
      <c r="AS292">
        <v>85</v>
      </c>
      <c r="AT292">
        <v>0</v>
      </c>
      <c r="BB292" t="str">
        <f t="shared" si="25"/>
        <v>1200</v>
      </c>
      <c r="BC292">
        <v>1</v>
      </c>
      <c r="BD292" t="str">
        <f t="shared" si="26"/>
        <v xml:space="preserve">N445JS  </v>
      </c>
      <c r="BE292">
        <v>7</v>
      </c>
      <c r="BG292">
        <v>0</v>
      </c>
      <c r="BH292">
        <v>0</v>
      </c>
      <c r="BI292">
        <v>0</v>
      </c>
      <c r="BJ292">
        <v>3100</v>
      </c>
      <c r="BK292">
        <v>-200</v>
      </c>
      <c r="BL292" t="s">
        <v>132</v>
      </c>
      <c r="BM292">
        <v>1</v>
      </c>
      <c r="BN292">
        <v>1</v>
      </c>
      <c r="BO292">
        <v>1</v>
      </c>
      <c r="BP292">
        <v>0</v>
      </c>
      <c r="BT292">
        <v>0</v>
      </c>
      <c r="BU292">
        <v>0</v>
      </c>
      <c r="CE292" t="str">
        <f>"15:38:45.936"</f>
        <v>15:38:45.936</v>
      </c>
      <c r="CF292">
        <v>935855419</v>
      </c>
      <c r="CS292">
        <v>0</v>
      </c>
      <c r="CT292">
        <v>2</v>
      </c>
      <c r="CU292">
        <v>0</v>
      </c>
      <c r="CV292">
        <v>2</v>
      </c>
      <c r="CW292">
        <v>0</v>
      </c>
      <c r="CX292">
        <v>7</v>
      </c>
      <c r="CY292">
        <v>7</v>
      </c>
      <c r="CZ292" t="s">
        <v>133</v>
      </c>
      <c r="DA292">
        <v>125</v>
      </c>
      <c r="DB292">
        <v>1</v>
      </c>
      <c r="DC292" t="s">
        <v>134</v>
      </c>
      <c r="DD292" t="s">
        <v>135</v>
      </c>
      <c r="DG292">
        <v>2515562</v>
      </c>
      <c r="DI292">
        <v>0</v>
      </c>
      <c r="DJ292">
        <v>0</v>
      </c>
      <c r="DK292">
        <v>1</v>
      </c>
      <c r="DL292">
        <v>0</v>
      </c>
      <c r="DM292">
        <v>0</v>
      </c>
      <c r="DN292">
        <v>0</v>
      </c>
      <c r="DO292">
        <v>0</v>
      </c>
      <c r="DP292">
        <v>0</v>
      </c>
      <c r="DQ292">
        <v>0</v>
      </c>
      <c r="DR292">
        <v>0</v>
      </c>
      <c r="DS292">
        <v>0</v>
      </c>
    </row>
    <row r="293" spans="1:123" x14ac:dyDescent="0.25">
      <c r="A293" t="str">
        <f>"04/17/2026 15:38:46.231"</f>
        <v>04/17/2026 15:38:46.231</v>
      </c>
      <c r="C293" t="str">
        <f t="shared" si="23"/>
        <v>FFDFD3C0</v>
      </c>
      <c r="D293" t="s">
        <v>124</v>
      </c>
      <c r="E293" t="str">
        <f>"03"</f>
        <v>03</v>
      </c>
      <c r="H293">
        <v>160</v>
      </c>
      <c r="I293" t="s">
        <v>125</v>
      </c>
      <c r="J293" t="s">
        <v>126</v>
      </c>
      <c r="K293">
        <v>0</v>
      </c>
      <c r="L293">
        <v>3</v>
      </c>
      <c r="M293">
        <v>0</v>
      </c>
      <c r="N293">
        <v>2</v>
      </c>
      <c r="O293">
        <v>1</v>
      </c>
      <c r="P293">
        <v>0</v>
      </c>
      <c r="Q293">
        <v>0</v>
      </c>
      <c r="R293" t="s">
        <v>127</v>
      </c>
      <c r="S293" t="str">
        <f>"15:38:45.930"</f>
        <v>15:38:45.930</v>
      </c>
      <c r="T293" t="str">
        <f>"15:38:45.830"</f>
        <v>15:38:45.830</v>
      </c>
      <c r="U293" t="str">
        <f t="shared" si="24"/>
        <v>A55E09</v>
      </c>
      <c r="V293">
        <v>0</v>
      </c>
      <c r="W293">
        <v>0</v>
      </c>
      <c r="X293">
        <v>2</v>
      </c>
      <c r="Y293">
        <v>0</v>
      </c>
      <c r="AA293">
        <v>0</v>
      </c>
      <c r="AB293">
        <v>9</v>
      </c>
      <c r="AC293">
        <v>3</v>
      </c>
      <c r="AD293">
        <v>0</v>
      </c>
      <c r="AE293">
        <v>9</v>
      </c>
      <c r="AF293" t="s">
        <v>128</v>
      </c>
      <c r="AG293">
        <v>0</v>
      </c>
      <c r="AH293">
        <v>0</v>
      </c>
      <c r="AI293">
        <v>1</v>
      </c>
      <c r="AJ293">
        <v>0</v>
      </c>
      <c r="AK293" t="s">
        <v>278</v>
      </c>
      <c r="AL293">
        <v>33.682580000000002</v>
      </c>
      <c r="AM293" t="s">
        <v>279</v>
      </c>
      <c r="AN293">
        <v>-101.20695600000001</v>
      </c>
      <c r="AO293">
        <v>100</v>
      </c>
      <c r="AP293">
        <v>3300</v>
      </c>
      <c r="AQ293" t="s">
        <v>131</v>
      </c>
      <c r="AR293">
        <v>-15</v>
      </c>
      <c r="AS293">
        <v>85</v>
      </c>
      <c r="AT293">
        <v>0</v>
      </c>
      <c r="BB293" t="str">
        <f t="shared" si="25"/>
        <v>1200</v>
      </c>
      <c r="BC293">
        <v>1</v>
      </c>
      <c r="BD293" t="str">
        <f t="shared" si="26"/>
        <v xml:space="preserve">N445JS  </v>
      </c>
      <c r="BE293">
        <v>7</v>
      </c>
      <c r="BG293">
        <v>0</v>
      </c>
      <c r="BH293">
        <v>0</v>
      </c>
      <c r="BI293">
        <v>0</v>
      </c>
      <c r="BJ293">
        <v>3100</v>
      </c>
      <c r="BK293">
        <v>-200</v>
      </c>
      <c r="BL293" t="s">
        <v>132</v>
      </c>
      <c r="BM293">
        <v>1</v>
      </c>
      <c r="BN293">
        <v>1</v>
      </c>
      <c r="BO293">
        <v>1</v>
      </c>
      <c r="BP293">
        <v>0</v>
      </c>
      <c r="BT293">
        <v>0</v>
      </c>
      <c r="BU293">
        <v>0</v>
      </c>
      <c r="CE293" t="str">
        <f>"15:38:45.936"</f>
        <v>15:38:45.936</v>
      </c>
      <c r="CF293">
        <v>935855419</v>
      </c>
      <c r="CS293">
        <v>0</v>
      </c>
      <c r="CT293">
        <v>2</v>
      </c>
      <c r="CU293">
        <v>0</v>
      </c>
      <c r="CV293">
        <v>2</v>
      </c>
      <c r="CW293">
        <v>0</v>
      </c>
      <c r="CX293">
        <v>7</v>
      </c>
      <c r="CY293">
        <v>7</v>
      </c>
      <c r="CZ293" t="s">
        <v>133</v>
      </c>
      <c r="DA293">
        <v>125</v>
      </c>
      <c r="DB293">
        <v>1</v>
      </c>
      <c r="DC293" t="s">
        <v>134</v>
      </c>
      <c r="DD293" t="s">
        <v>135</v>
      </c>
      <c r="DG293">
        <v>2515562</v>
      </c>
      <c r="DI293">
        <v>0</v>
      </c>
      <c r="DJ293">
        <v>0</v>
      </c>
      <c r="DK293">
        <v>1</v>
      </c>
      <c r="DL293">
        <v>0</v>
      </c>
      <c r="DM293">
        <v>0</v>
      </c>
      <c r="DN293">
        <v>0</v>
      </c>
      <c r="DO293">
        <v>0</v>
      </c>
      <c r="DP293">
        <v>0</v>
      </c>
      <c r="DQ293">
        <v>0</v>
      </c>
      <c r="DR293">
        <v>0</v>
      </c>
      <c r="DS293">
        <v>0</v>
      </c>
    </row>
    <row r="294" spans="1:123" x14ac:dyDescent="0.25">
      <c r="A294" t="str">
        <f>"04/17/2026 15:38:47.075"</f>
        <v>04/17/2026 15:38:47.075</v>
      </c>
      <c r="C294" t="str">
        <f t="shared" si="23"/>
        <v>FFDFD3C0</v>
      </c>
      <c r="D294" t="s">
        <v>136</v>
      </c>
      <c r="E294" t="str">
        <f>"0F"</f>
        <v>0F</v>
      </c>
      <c r="F294">
        <v>1015</v>
      </c>
      <c r="G294" t="s">
        <v>138</v>
      </c>
      <c r="J294" t="s">
        <v>137</v>
      </c>
      <c r="K294">
        <v>0</v>
      </c>
      <c r="L294">
        <v>3</v>
      </c>
      <c r="M294">
        <v>0</v>
      </c>
      <c r="N294">
        <v>2</v>
      </c>
      <c r="O294">
        <v>1</v>
      </c>
      <c r="P294">
        <v>0</v>
      </c>
      <c r="Q294">
        <v>0</v>
      </c>
      <c r="R294" t="s">
        <v>127</v>
      </c>
      <c r="S294" t="str">
        <f>"15:38:46.789"</f>
        <v>15:38:46.789</v>
      </c>
      <c r="T294" t="str">
        <f>"15:38:46.389"</f>
        <v>15:38:46.389</v>
      </c>
      <c r="U294" t="str">
        <f t="shared" si="24"/>
        <v>A55E09</v>
      </c>
      <c r="V294">
        <v>0</v>
      </c>
      <c r="W294">
        <v>0</v>
      </c>
      <c r="X294">
        <v>2</v>
      </c>
      <c r="Y294">
        <v>0</v>
      </c>
      <c r="AA294">
        <v>0</v>
      </c>
      <c r="AB294">
        <v>9</v>
      </c>
      <c r="AC294">
        <v>3</v>
      </c>
      <c r="AD294">
        <v>0</v>
      </c>
      <c r="AE294">
        <v>9</v>
      </c>
      <c r="AF294" t="s">
        <v>128</v>
      </c>
      <c r="AG294">
        <v>0</v>
      </c>
      <c r="AH294">
        <v>0</v>
      </c>
      <c r="AI294">
        <v>1</v>
      </c>
      <c r="AJ294">
        <v>0</v>
      </c>
      <c r="AK294" t="s">
        <v>280</v>
      </c>
      <c r="AL294">
        <v>33.682879999999997</v>
      </c>
      <c r="AM294" t="s">
        <v>281</v>
      </c>
      <c r="AN294">
        <v>-101.20702</v>
      </c>
      <c r="AO294">
        <v>100</v>
      </c>
      <c r="AP294">
        <v>3300</v>
      </c>
      <c r="AQ294" t="s">
        <v>131</v>
      </c>
      <c r="AR294">
        <v>-15</v>
      </c>
      <c r="AS294">
        <v>85</v>
      </c>
      <c r="AT294">
        <v>128</v>
      </c>
      <c r="BB294" t="str">
        <f t="shared" si="25"/>
        <v>1200</v>
      </c>
      <c r="BC294">
        <v>1</v>
      </c>
      <c r="BD294" t="str">
        <f t="shared" si="26"/>
        <v xml:space="preserve">N445JS  </v>
      </c>
      <c r="BE294">
        <v>7</v>
      </c>
      <c r="BG294">
        <v>0</v>
      </c>
      <c r="BH294">
        <v>0</v>
      </c>
      <c r="BI294">
        <v>0</v>
      </c>
      <c r="BJ294">
        <v>3100</v>
      </c>
      <c r="BK294">
        <v>-200</v>
      </c>
      <c r="BL294" t="s">
        <v>132</v>
      </c>
      <c r="BM294">
        <v>1</v>
      </c>
      <c r="BN294">
        <v>1</v>
      </c>
      <c r="BO294">
        <v>1</v>
      </c>
      <c r="BP294">
        <v>0</v>
      </c>
      <c r="BT294">
        <v>0</v>
      </c>
      <c r="BU294">
        <v>0</v>
      </c>
      <c r="CE294" t="str">
        <f>"15:38:46.791"</f>
        <v>15:38:46.791</v>
      </c>
      <c r="CF294">
        <v>790771611</v>
      </c>
      <c r="CS294">
        <v>0</v>
      </c>
      <c r="CT294">
        <v>2</v>
      </c>
      <c r="CU294">
        <v>0</v>
      </c>
      <c r="CV294">
        <v>2</v>
      </c>
      <c r="CW294">
        <v>0</v>
      </c>
      <c r="CX294">
        <v>7</v>
      </c>
      <c r="CY294">
        <v>7</v>
      </c>
      <c r="CZ294" t="s">
        <v>133</v>
      </c>
      <c r="DA294">
        <v>125</v>
      </c>
      <c r="DB294">
        <v>1</v>
      </c>
      <c r="DC294" t="s">
        <v>134</v>
      </c>
      <c r="DD294" t="s">
        <v>135</v>
      </c>
      <c r="DG294">
        <v>2516427</v>
      </c>
      <c r="DI294">
        <v>0</v>
      </c>
      <c r="DJ294">
        <v>0</v>
      </c>
      <c r="DK294">
        <v>0</v>
      </c>
      <c r="DL294">
        <v>0</v>
      </c>
      <c r="DM294">
        <v>0</v>
      </c>
      <c r="DN294">
        <v>0</v>
      </c>
      <c r="DO294">
        <v>0</v>
      </c>
      <c r="DP294">
        <v>0</v>
      </c>
      <c r="DQ294">
        <v>0</v>
      </c>
      <c r="DR294">
        <v>0</v>
      </c>
      <c r="DS294">
        <v>0</v>
      </c>
    </row>
    <row r="295" spans="1:123" x14ac:dyDescent="0.25">
      <c r="A295" t="str">
        <f>"04/17/2026 15:38:47.074"</f>
        <v>04/17/2026 15:38:47.074</v>
      </c>
      <c r="C295" t="str">
        <f t="shared" si="23"/>
        <v>FFDFD3C0</v>
      </c>
      <c r="D295" t="s">
        <v>136</v>
      </c>
      <c r="E295" t="str">
        <f>"0E"</f>
        <v>0E</v>
      </c>
      <c r="F295">
        <v>1014</v>
      </c>
      <c r="G295" t="s">
        <v>125</v>
      </c>
      <c r="J295" t="s">
        <v>137</v>
      </c>
      <c r="K295">
        <v>0</v>
      </c>
      <c r="L295">
        <v>3</v>
      </c>
      <c r="M295">
        <v>0</v>
      </c>
      <c r="N295">
        <v>2</v>
      </c>
      <c r="O295">
        <v>1</v>
      </c>
      <c r="P295">
        <v>0</v>
      </c>
      <c r="Q295">
        <v>0</v>
      </c>
      <c r="R295" t="s">
        <v>127</v>
      </c>
      <c r="S295" t="str">
        <f>"15:38:46.789"</f>
        <v>15:38:46.789</v>
      </c>
      <c r="T295" t="str">
        <f>"15:38:46.389"</f>
        <v>15:38:46.389</v>
      </c>
      <c r="U295" t="str">
        <f t="shared" si="24"/>
        <v>A55E09</v>
      </c>
      <c r="V295">
        <v>0</v>
      </c>
      <c r="W295">
        <v>0</v>
      </c>
      <c r="X295">
        <v>2</v>
      </c>
      <c r="Y295">
        <v>0</v>
      </c>
      <c r="AA295">
        <v>0</v>
      </c>
      <c r="AB295">
        <v>9</v>
      </c>
      <c r="AC295">
        <v>3</v>
      </c>
      <c r="AD295">
        <v>0</v>
      </c>
      <c r="AE295">
        <v>9</v>
      </c>
      <c r="AF295" t="s">
        <v>128</v>
      </c>
      <c r="AG295">
        <v>0</v>
      </c>
      <c r="AH295">
        <v>0</v>
      </c>
      <c r="AI295">
        <v>1</v>
      </c>
      <c r="AJ295">
        <v>0</v>
      </c>
      <c r="AK295" t="s">
        <v>280</v>
      </c>
      <c r="AL295">
        <v>33.682879999999997</v>
      </c>
      <c r="AM295" t="s">
        <v>281</v>
      </c>
      <c r="AN295">
        <v>-101.20702</v>
      </c>
      <c r="AO295">
        <v>100</v>
      </c>
      <c r="AP295">
        <v>3300</v>
      </c>
      <c r="AQ295" t="s">
        <v>131</v>
      </c>
      <c r="AR295">
        <v>-15</v>
      </c>
      <c r="AS295">
        <v>85</v>
      </c>
      <c r="AT295">
        <v>128</v>
      </c>
      <c r="BB295" t="str">
        <f t="shared" si="25"/>
        <v>1200</v>
      </c>
      <c r="BC295">
        <v>1</v>
      </c>
      <c r="BD295" t="str">
        <f t="shared" si="26"/>
        <v xml:space="preserve">N445JS  </v>
      </c>
      <c r="BE295">
        <v>7</v>
      </c>
      <c r="BG295">
        <v>0</v>
      </c>
      <c r="BH295">
        <v>0</v>
      </c>
      <c r="BI295">
        <v>0</v>
      </c>
      <c r="BJ295">
        <v>3100</v>
      </c>
      <c r="BK295">
        <v>-200</v>
      </c>
      <c r="BL295" t="s">
        <v>132</v>
      </c>
      <c r="BM295">
        <v>1</v>
      </c>
      <c r="BN295">
        <v>1</v>
      </c>
      <c r="BO295">
        <v>1</v>
      </c>
      <c r="BP295">
        <v>0</v>
      </c>
      <c r="BT295">
        <v>0</v>
      </c>
      <c r="BU295">
        <v>0</v>
      </c>
      <c r="CE295" t="str">
        <f>"15:38:46.791"</f>
        <v>15:38:46.791</v>
      </c>
      <c r="CF295">
        <v>790771611</v>
      </c>
      <c r="CS295">
        <v>0</v>
      </c>
      <c r="CT295">
        <v>2</v>
      </c>
      <c r="CU295">
        <v>0</v>
      </c>
      <c r="CV295">
        <v>2</v>
      </c>
      <c r="CW295">
        <v>0</v>
      </c>
      <c r="CX295">
        <v>7</v>
      </c>
      <c r="CY295">
        <v>7</v>
      </c>
      <c r="CZ295" t="s">
        <v>133</v>
      </c>
      <c r="DA295">
        <v>125</v>
      </c>
      <c r="DB295">
        <v>1</v>
      </c>
      <c r="DC295" t="s">
        <v>134</v>
      </c>
      <c r="DD295" t="s">
        <v>135</v>
      </c>
      <c r="DG295">
        <v>2516427</v>
      </c>
      <c r="DI295">
        <v>0</v>
      </c>
      <c r="DJ295">
        <v>0</v>
      </c>
      <c r="DK295">
        <v>1</v>
      </c>
      <c r="DL295">
        <v>0</v>
      </c>
      <c r="DM295">
        <v>0</v>
      </c>
      <c r="DN295">
        <v>0</v>
      </c>
      <c r="DO295">
        <v>0</v>
      </c>
      <c r="DP295">
        <v>0</v>
      </c>
      <c r="DQ295">
        <v>0</v>
      </c>
      <c r="DR295">
        <v>0</v>
      </c>
      <c r="DS295">
        <v>0</v>
      </c>
    </row>
    <row r="296" spans="1:123" x14ac:dyDescent="0.25">
      <c r="A296" t="str">
        <f>"04/17/2026 15:38:47.083"</f>
        <v>04/17/2026 15:38:47.083</v>
      </c>
      <c r="C296" t="str">
        <f t="shared" si="23"/>
        <v>FFDFD3C0</v>
      </c>
      <c r="D296" t="s">
        <v>124</v>
      </c>
      <c r="E296" t="str">
        <f>"03"</f>
        <v>03</v>
      </c>
      <c r="H296">
        <v>160</v>
      </c>
      <c r="I296" t="s">
        <v>125</v>
      </c>
      <c r="J296" t="s">
        <v>126</v>
      </c>
      <c r="K296">
        <v>0</v>
      </c>
      <c r="L296">
        <v>3</v>
      </c>
      <c r="M296">
        <v>0</v>
      </c>
      <c r="N296">
        <v>2</v>
      </c>
      <c r="O296">
        <v>1</v>
      </c>
      <c r="P296">
        <v>0</v>
      </c>
      <c r="Q296">
        <v>0</v>
      </c>
      <c r="R296" t="s">
        <v>127</v>
      </c>
      <c r="S296" t="str">
        <f>"15:38:46.789"</f>
        <v>15:38:46.789</v>
      </c>
      <c r="T296" t="str">
        <f>"15:38:46.389"</f>
        <v>15:38:46.389</v>
      </c>
      <c r="U296" t="str">
        <f t="shared" si="24"/>
        <v>A55E09</v>
      </c>
      <c r="V296">
        <v>0</v>
      </c>
      <c r="W296">
        <v>0</v>
      </c>
      <c r="X296">
        <v>2</v>
      </c>
      <c r="Y296">
        <v>0</v>
      </c>
      <c r="AA296">
        <v>0</v>
      </c>
      <c r="AB296">
        <v>9</v>
      </c>
      <c r="AC296">
        <v>3</v>
      </c>
      <c r="AD296">
        <v>0</v>
      </c>
      <c r="AE296">
        <v>9</v>
      </c>
      <c r="AF296" t="s">
        <v>128</v>
      </c>
      <c r="AG296">
        <v>0</v>
      </c>
      <c r="AH296">
        <v>0</v>
      </c>
      <c r="AI296">
        <v>1</v>
      </c>
      <c r="AJ296">
        <v>0</v>
      </c>
      <c r="AK296" t="s">
        <v>280</v>
      </c>
      <c r="AL296">
        <v>33.682879999999997</v>
      </c>
      <c r="AM296" t="s">
        <v>281</v>
      </c>
      <c r="AN296">
        <v>-101.20702</v>
      </c>
      <c r="AO296">
        <v>100</v>
      </c>
      <c r="AP296">
        <v>3300</v>
      </c>
      <c r="AQ296" t="s">
        <v>131</v>
      </c>
      <c r="AR296">
        <v>-15</v>
      </c>
      <c r="AS296">
        <v>85</v>
      </c>
      <c r="AT296">
        <v>128</v>
      </c>
      <c r="BB296" t="str">
        <f t="shared" si="25"/>
        <v>1200</v>
      </c>
      <c r="BC296">
        <v>1</v>
      </c>
      <c r="BD296" t="str">
        <f t="shared" si="26"/>
        <v xml:space="preserve">N445JS  </v>
      </c>
      <c r="BE296">
        <v>7</v>
      </c>
      <c r="BG296">
        <v>0</v>
      </c>
      <c r="BH296">
        <v>0</v>
      </c>
      <c r="BI296">
        <v>0</v>
      </c>
      <c r="BJ296">
        <v>3100</v>
      </c>
      <c r="BK296">
        <v>-200</v>
      </c>
      <c r="BL296" t="s">
        <v>132</v>
      </c>
      <c r="BM296">
        <v>1</v>
      </c>
      <c r="BN296">
        <v>1</v>
      </c>
      <c r="BO296">
        <v>1</v>
      </c>
      <c r="BP296">
        <v>0</v>
      </c>
      <c r="BT296">
        <v>0</v>
      </c>
      <c r="BU296">
        <v>0</v>
      </c>
      <c r="CE296" t="str">
        <f>"15:38:46.791"</f>
        <v>15:38:46.791</v>
      </c>
      <c r="CF296">
        <v>790771611</v>
      </c>
      <c r="CS296">
        <v>0</v>
      </c>
      <c r="CT296">
        <v>2</v>
      </c>
      <c r="CU296">
        <v>0</v>
      </c>
      <c r="CV296">
        <v>2</v>
      </c>
      <c r="CW296">
        <v>0</v>
      </c>
      <c r="CX296">
        <v>7</v>
      </c>
      <c r="CY296">
        <v>7</v>
      </c>
      <c r="CZ296" t="s">
        <v>133</v>
      </c>
      <c r="DA296">
        <v>125</v>
      </c>
      <c r="DB296">
        <v>1</v>
      </c>
      <c r="DC296" t="s">
        <v>134</v>
      </c>
      <c r="DD296" t="s">
        <v>135</v>
      </c>
      <c r="DG296">
        <v>2516427</v>
      </c>
      <c r="DI296">
        <v>0</v>
      </c>
      <c r="DJ296">
        <v>0</v>
      </c>
      <c r="DK296">
        <v>1</v>
      </c>
      <c r="DL296">
        <v>0</v>
      </c>
      <c r="DM296">
        <v>0</v>
      </c>
      <c r="DN296">
        <v>0</v>
      </c>
      <c r="DO296">
        <v>0</v>
      </c>
      <c r="DP296">
        <v>0</v>
      </c>
      <c r="DQ296">
        <v>0</v>
      </c>
      <c r="DR296">
        <v>0</v>
      </c>
      <c r="DS296">
        <v>0</v>
      </c>
    </row>
    <row r="297" spans="1:123" x14ac:dyDescent="0.25">
      <c r="A297" t="str">
        <f>"04/17/2026 15:38:47.107"</f>
        <v>04/17/2026 15:38:47.107</v>
      </c>
      <c r="C297" t="str">
        <f t="shared" si="23"/>
        <v>FFDFD3C0</v>
      </c>
      <c r="D297" t="s">
        <v>139</v>
      </c>
      <c r="E297" t="str">
        <f>"28"</f>
        <v>28</v>
      </c>
      <c r="H297">
        <v>140</v>
      </c>
      <c r="I297" t="s">
        <v>140</v>
      </c>
      <c r="J297" t="s">
        <v>141</v>
      </c>
      <c r="K297">
        <v>0</v>
      </c>
      <c r="L297">
        <v>3</v>
      </c>
      <c r="M297">
        <v>0</v>
      </c>
      <c r="N297">
        <v>2</v>
      </c>
      <c r="O297">
        <v>1</v>
      </c>
      <c r="P297">
        <v>0</v>
      </c>
      <c r="Q297">
        <v>0</v>
      </c>
      <c r="R297" t="s">
        <v>127</v>
      </c>
      <c r="S297" t="str">
        <f>"15:38:46.789"</f>
        <v>15:38:46.789</v>
      </c>
      <c r="T297" t="str">
        <f>"15:38:46.389"</f>
        <v>15:38:46.389</v>
      </c>
      <c r="U297" t="str">
        <f t="shared" si="24"/>
        <v>A55E09</v>
      </c>
      <c r="V297">
        <v>0</v>
      </c>
      <c r="W297">
        <v>0</v>
      </c>
      <c r="X297">
        <v>2</v>
      </c>
      <c r="Y297">
        <v>0</v>
      </c>
      <c r="AA297">
        <v>0</v>
      </c>
      <c r="AB297">
        <v>9</v>
      </c>
      <c r="AC297">
        <v>3</v>
      </c>
      <c r="AD297">
        <v>0</v>
      </c>
      <c r="AE297">
        <v>9</v>
      </c>
      <c r="AF297" t="s">
        <v>128</v>
      </c>
      <c r="AG297">
        <v>0</v>
      </c>
      <c r="AH297">
        <v>0</v>
      </c>
      <c r="AI297">
        <v>1</v>
      </c>
      <c r="AJ297">
        <v>0</v>
      </c>
      <c r="AK297" t="s">
        <v>280</v>
      </c>
      <c r="AL297">
        <v>33.682879999999997</v>
      </c>
      <c r="AM297" t="s">
        <v>281</v>
      </c>
      <c r="AN297">
        <v>-101.20702</v>
      </c>
      <c r="AO297">
        <v>100</v>
      </c>
      <c r="AP297">
        <v>3300</v>
      </c>
      <c r="AQ297" t="s">
        <v>131</v>
      </c>
      <c r="AR297">
        <v>-15</v>
      </c>
      <c r="AS297">
        <v>85</v>
      </c>
      <c r="AT297">
        <v>128</v>
      </c>
      <c r="BB297" t="str">
        <f t="shared" si="25"/>
        <v>1200</v>
      </c>
      <c r="BC297">
        <v>1</v>
      </c>
      <c r="BD297" t="str">
        <f t="shared" si="26"/>
        <v xml:space="preserve">N445JS  </v>
      </c>
      <c r="BE297">
        <v>7</v>
      </c>
      <c r="BG297">
        <v>0</v>
      </c>
      <c r="BH297">
        <v>0</v>
      </c>
      <c r="BI297">
        <v>0</v>
      </c>
      <c r="BJ297">
        <v>3100</v>
      </c>
      <c r="BK297">
        <v>-200</v>
      </c>
      <c r="BL297" t="s">
        <v>132</v>
      </c>
      <c r="BM297">
        <v>1</v>
      </c>
      <c r="BN297">
        <v>1</v>
      </c>
      <c r="BO297">
        <v>1</v>
      </c>
      <c r="BP297">
        <v>0</v>
      </c>
      <c r="BT297">
        <v>0</v>
      </c>
      <c r="BU297">
        <v>0</v>
      </c>
      <c r="CE297" t="str">
        <f>"15:38:46.791"</f>
        <v>15:38:46.791</v>
      </c>
      <c r="CF297">
        <v>790771611</v>
      </c>
      <c r="CS297">
        <v>0</v>
      </c>
      <c r="CT297">
        <v>2</v>
      </c>
      <c r="CU297">
        <v>0</v>
      </c>
      <c r="CV297">
        <v>2</v>
      </c>
      <c r="CW297">
        <v>0</v>
      </c>
      <c r="CX297">
        <v>7</v>
      </c>
      <c r="CY297">
        <v>7</v>
      </c>
      <c r="CZ297" t="s">
        <v>133</v>
      </c>
      <c r="DA297">
        <v>125</v>
      </c>
      <c r="DB297">
        <v>1</v>
      </c>
      <c r="DC297" t="s">
        <v>134</v>
      </c>
      <c r="DD297" t="s">
        <v>135</v>
      </c>
      <c r="DG297">
        <v>2516427</v>
      </c>
      <c r="DI297">
        <v>0</v>
      </c>
      <c r="DJ297">
        <v>0</v>
      </c>
      <c r="DK297">
        <v>1</v>
      </c>
      <c r="DL297">
        <v>0</v>
      </c>
      <c r="DM297">
        <v>0</v>
      </c>
      <c r="DN297">
        <v>0</v>
      </c>
      <c r="DO297">
        <v>0</v>
      </c>
      <c r="DP297">
        <v>0</v>
      </c>
      <c r="DQ297">
        <v>0</v>
      </c>
      <c r="DR297">
        <v>0</v>
      </c>
      <c r="DS297">
        <v>0</v>
      </c>
    </row>
    <row r="298" spans="1:123" x14ac:dyDescent="0.25">
      <c r="A298" t="str">
        <f>"04/17/2026 15:38:47.977"</f>
        <v>04/17/2026 15:38:47.977</v>
      </c>
      <c r="C298" t="str">
        <f t="shared" si="23"/>
        <v>FFDFD3C0</v>
      </c>
      <c r="D298" t="s">
        <v>136</v>
      </c>
      <c r="E298" t="str">
        <f>"0F"</f>
        <v>0F</v>
      </c>
      <c r="F298">
        <v>1015</v>
      </c>
      <c r="G298" t="s">
        <v>138</v>
      </c>
      <c r="J298" t="s">
        <v>137</v>
      </c>
      <c r="K298">
        <v>0</v>
      </c>
      <c r="L298">
        <v>3</v>
      </c>
      <c r="M298">
        <v>0</v>
      </c>
      <c r="N298">
        <v>2</v>
      </c>
      <c r="O298">
        <v>1</v>
      </c>
      <c r="P298">
        <v>0</v>
      </c>
      <c r="Q298">
        <v>0</v>
      </c>
      <c r="R298" t="s">
        <v>127</v>
      </c>
      <c r="S298" t="str">
        <f>"15:38:47.734"</f>
        <v>15:38:47.734</v>
      </c>
      <c r="T298" t="str">
        <f>"15:38:47.334"</f>
        <v>15:38:47.334</v>
      </c>
      <c r="U298" t="str">
        <f t="shared" si="24"/>
        <v>A55E09</v>
      </c>
      <c r="V298">
        <v>0</v>
      </c>
      <c r="W298">
        <v>0</v>
      </c>
      <c r="X298">
        <v>2</v>
      </c>
      <c r="Y298">
        <v>0</v>
      </c>
      <c r="AA298">
        <v>0</v>
      </c>
      <c r="AB298">
        <v>9</v>
      </c>
      <c r="AC298">
        <v>3</v>
      </c>
      <c r="AD298">
        <v>0</v>
      </c>
      <c r="AE298">
        <v>9</v>
      </c>
      <c r="AF298" t="s">
        <v>128</v>
      </c>
      <c r="AG298">
        <v>0</v>
      </c>
      <c r="AH298">
        <v>0</v>
      </c>
      <c r="AI298">
        <v>1</v>
      </c>
      <c r="AJ298">
        <v>0</v>
      </c>
      <c r="AK298" t="s">
        <v>282</v>
      </c>
      <c r="AL298">
        <v>33.683244999999999</v>
      </c>
      <c r="AM298" t="s">
        <v>283</v>
      </c>
      <c r="AN298">
        <v>-101.20708500000001</v>
      </c>
      <c r="AO298">
        <v>100</v>
      </c>
      <c r="AP298">
        <v>3300</v>
      </c>
      <c r="AQ298" t="s">
        <v>131</v>
      </c>
      <c r="AR298">
        <v>-15</v>
      </c>
      <c r="AS298">
        <v>84</v>
      </c>
      <c r="AT298">
        <v>192</v>
      </c>
      <c r="BB298" t="str">
        <f t="shared" si="25"/>
        <v>1200</v>
      </c>
      <c r="BC298">
        <v>1</v>
      </c>
      <c r="BD298" t="str">
        <f t="shared" si="26"/>
        <v xml:space="preserve">N445JS  </v>
      </c>
      <c r="BE298">
        <v>7</v>
      </c>
      <c r="BG298">
        <v>0</v>
      </c>
      <c r="BH298">
        <v>0</v>
      </c>
      <c r="BI298">
        <v>0</v>
      </c>
      <c r="BJ298">
        <v>3125</v>
      </c>
      <c r="BK298">
        <v>-175</v>
      </c>
      <c r="BL298" t="s">
        <v>132</v>
      </c>
      <c r="BM298">
        <v>1</v>
      </c>
      <c r="BN298">
        <v>1</v>
      </c>
      <c r="BO298">
        <v>1</v>
      </c>
      <c r="BP298">
        <v>0</v>
      </c>
      <c r="BT298">
        <v>0</v>
      </c>
      <c r="BU298">
        <v>0</v>
      </c>
      <c r="CE298" t="str">
        <f>"15:38:47.736"</f>
        <v>15:38:47.736</v>
      </c>
      <c r="CF298">
        <v>735678970</v>
      </c>
      <c r="CS298">
        <v>0</v>
      </c>
      <c r="CT298">
        <v>2</v>
      </c>
      <c r="CU298">
        <v>0</v>
      </c>
      <c r="CV298">
        <v>2</v>
      </c>
      <c r="CW298">
        <v>0</v>
      </c>
      <c r="CX298">
        <v>7</v>
      </c>
      <c r="CY298">
        <v>7</v>
      </c>
      <c r="CZ298" t="s">
        <v>133</v>
      </c>
      <c r="DA298">
        <v>125</v>
      </c>
      <c r="DB298">
        <v>1</v>
      </c>
      <c r="DC298" t="s">
        <v>134</v>
      </c>
      <c r="DD298" t="s">
        <v>135</v>
      </c>
      <c r="DG298">
        <v>2517334</v>
      </c>
      <c r="DI298">
        <v>0</v>
      </c>
      <c r="DJ298">
        <v>0</v>
      </c>
      <c r="DK298">
        <v>0</v>
      </c>
      <c r="DL298">
        <v>0</v>
      </c>
      <c r="DM298">
        <v>0</v>
      </c>
      <c r="DN298">
        <v>0</v>
      </c>
      <c r="DO298">
        <v>0</v>
      </c>
      <c r="DP298">
        <v>0</v>
      </c>
      <c r="DQ298">
        <v>0</v>
      </c>
      <c r="DR298">
        <v>0</v>
      </c>
      <c r="DS298">
        <v>0</v>
      </c>
    </row>
    <row r="299" spans="1:123" x14ac:dyDescent="0.25">
      <c r="A299" t="str">
        <f>"04/17/2026 15:38:47.984"</f>
        <v>04/17/2026 15:38:47.984</v>
      </c>
      <c r="C299" t="str">
        <f t="shared" si="23"/>
        <v>FFDFD3C0</v>
      </c>
      <c r="D299" t="s">
        <v>124</v>
      </c>
      <c r="E299" t="str">
        <f>"03"</f>
        <v>03</v>
      </c>
      <c r="H299">
        <v>160</v>
      </c>
      <c r="I299" t="s">
        <v>125</v>
      </c>
      <c r="J299" t="s">
        <v>126</v>
      </c>
      <c r="K299">
        <v>0</v>
      </c>
      <c r="L299">
        <v>3</v>
      </c>
      <c r="M299">
        <v>0</v>
      </c>
      <c r="N299">
        <v>2</v>
      </c>
      <c r="O299">
        <v>1</v>
      </c>
      <c r="P299">
        <v>0</v>
      </c>
      <c r="Q299">
        <v>0</v>
      </c>
      <c r="R299" t="s">
        <v>127</v>
      </c>
      <c r="S299" t="str">
        <f>"15:38:47.734"</f>
        <v>15:38:47.734</v>
      </c>
      <c r="T299" t="str">
        <f>"15:38:47.334"</f>
        <v>15:38:47.334</v>
      </c>
      <c r="U299" t="str">
        <f t="shared" si="24"/>
        <v>A55E09</v>
      </c>
      <c r="V299">
        <v>0</v>
      </c>
      <c r="W299">
        <v>0</v>
      </c>
      <c r="X299">
        <v>2</v>
      </c>
      <c r="Y299">
        <v>0</v>
      </c>
      <c r="AA299">
        <v>0</v>
      </c>
      <c r="AB299">
        <v>9</v>
      </c>
      <c r="AC299">
        <v>3</v>
      </c>
      <c r="AD299">
        <v>0</v>
      </c>
      <c r="AE299">
        <v>9</v>
      </c>
      <c r="AF299" t="s">
        <v>128</v>
      </c>
      <c r="AG299">
        <v>0</v>
      </c>
      <c r="AH299">
        <v>0</v>
      </c>
      <c r="AI299">
        <v>1</v>
      </c>
      <c r="AJ299">
        <v>0</v>
      </c>
      <c r="AK299" t="s">
        <v>282</v>
      </c>
      <c r="AL299">
        <v>33.683244999999999</v>
      </c>
      <c r="AM299" t="s">
        <v>283</v>
      </c>
      <c r="AN299">
        <v>-101.20708500000001</v>
      </c>
      <c r="AO299">
        <v>100</v>
      </c>
      <c r="AP299">
        <v>3300</v>
      </c>
      <c r="AQ299" t="s">
        <v>131</v>
      </c>
      <c r="AR299">
        <v>-15</v>
      </c>
      <c r="AS299">
        <v>84</v>
      </c>
      <c r="AT299">
        <v>192</v>
      </c>
      <c r="BB299" t="str">
        <f t="shared" si="25"/>
        <v>1200</v>
      </c>
      <c r="BC299">
        <v>1</v>
      </c>
      <c r="BD299" t="str">
        <f t="shared" si="26"/>
        <v xml:space="preserve">N445JS  </v>
      </c>
      <c r="BE299">
        <v>7</v>
      </c>
      <c r="BG299">
        <v>0</v>
      </c>
      <c r="BH299">
        <v>0</v>
      </c>
      <c r="BI299">
        <v>0</v>
      </c>
      <c r="BJ299">
        <v>3125</v>
      </c>
      <c r="BK299">
        <v>-175</v>
      </c>
      <c r="BL299" t="s">
        <v>132</v>
      </c>
      <c r="BM299">
        <v>1</v>
      </c>
      <c r="BN299">
        <v>1</v>
      </c>
      <c r="BO299">
        <v>1</v>
      </c>
      <c r="BP299">
        <v>0</v>
      </c>
      <c r="BT299">
        <v>0</v>
      </c>
      <c r="BU299">
        <v>0</v>
      </c>
      <c r="CE299" t="str">
        <f>"15:38:47.736"</f>
        <v>15:38:47.736</v>
      </c>
      <c r="CF299">
        <v>735678970</v>
      </c>
      <c r="CS299">
        <v>0</v>
      </c>
      <c r="CT299">
        <v>2</v>
      </c>
      <c r="CU299">
        <v>0</v>
      </c>
      <c r="CV299">
        <v>2</v>
      </c>
      <c r="CW299">
        <v>0</v>
      </c>
      <c r="CX299">
        <v>7</v>
      </c>
      <c r="CY299">
        <v>7</v>
      </c>
      <c r="CZ299" t="s">
        <v>133</v>
      </c>
      <c r="DA299">
        <v>125</v>
      </c>
      <c r="DB299">
        <v>1</v>
      </c>
      <c r="DC299" t="s">
        <v>134</v>
      </c>
      <c r="DD299" t="s">
        <v>135</v>
      </c>
      <c r="DG299">
        <v>2517334</v>
      </c>
      <c r="DI299">
        <v>0</v>
      </c>
      <c r="DJ299">
        <v>0</v>
      </c>
      <c r="DK299">
        <v>1</v>
      </c>
      <c r="DL299">
        <v>0</v>
      </c>
      <c r="DM299">
        <v>0</v>
      </c>
      <c r="DN299">
        <v>0</v>
      </c>
      <c r="DO299">
        <v>0</v>
      </c>
      <c r="DP299">
        <v>0</v>
      </c>
      <c r="DQ299">
        <v>0</v>
      </c>
      <c r="DR299">
        <v>0</v>
      </c>
      <c r="DS299">
        <v>0</v>
      </c>
    </row>
    <row r="300" spans="1:123" x14ac:dyDescent="0.25">
      <c r="A300" t="str">
        <f>"04/17/2026 15:38:48.009"</f>
        <v>04/17/2026 15:38:48.009</v>
      </c>
      <c r="C300" t="str">
        <f t="shared" si="23"/>
        <v>FFDFD3C0</v>
      </c>
      <c r="D300" t="s">
        <v>139</v>
      </c>
      <c r="E300" t="str">
        <f>"28"</f>
        <v>28</v>
      </c>
      <c r="H300">
        <v>140</v>
      </c>
      <c r="I300" t="s">
        <v>140</v>
      </c>
      <c r="J300" t="s">
        <v>141</v>
      </c>
      <c r="K300">
        <v>0</v>
      </c>
      <c r="L300">
        <v>3</v>
      </c>
      <c r="M300">
        <v>0</v>
      </c>
      <c r="N300">
        <v>2</v>
      </c>
      <c r="O300">
        <v>1</v>
      </c>
      <c r="P300">
        <v>0</v>
      </c>
      <c r="Q300">
        <v>0</v>
      </c>
      <c r="R300" t="s">
        <v>127</v>
      </c>
      <c r="S300" t="str">
        <f>"15:38:47.734"</f>
        <v>15:38:47.734</v>
      </c>
      <c r="T300" t="str">
        <f>"15:38:47.334"</f>
        <v>15:38:47.334</v>
      </c>
      <c r="U300" t="str">
        <f t="shared" si="24"/>
        <v>A55E09</v>
      </c>
      <c r="V300">
        <v>0</v>
      </c>
      <c r="W300">
        <v>0</v>
      </c>
      <c r="X300">
        <v>2</v>
      </c>
      <c r="Y300">
        <v>0</v>
      </c>
      <c r="AA300">
        <v>0</v>
      </c>
      <c r="AB300">
        <v>9</v>
      </c>
      <c r="AC300">
        <v>3</v>
      </c>
      <c r="AD300">
        <v>0</v>
      </c>
      <c r="AE300">
        <v>9</v>
      </c>
      <c r="AF300" t="s">
        <v>128</v>
      </c>
      <c r="AG300">
        <v>0</v>
      </c>
      <c r="AH300">
        <v>0</v>
      </c>
      <c r="AI300">
        <v>1</v>
      </c>
      <c r="AJ300">
        <v>0</v>
      </c>
      <c r="AK300" t="s">
        <v>282</v>
      </c>
      <c r="AL300">
        <v>33.683244999999999</v>
      </c>
      <c r="AM300" t="s">
        <v>283</v>
      </c>
      <c r="AN300">
        <v>-101.20708500000001</v>
      </c>
      <c r="AO300">
        <v>100</v>
      </c>
      <c r="AP300">
        <v>3300</v>
      </c>
      <c r="AQ300" t="s">
        <v>131</v>
      </c>
      <c r="AR300">
        <v>-15</v>
      </c>
      <c r="AS300">
        <v>84</v>
      </c>
      <c r="AT300">
        <v>192</v>
      </c>
      <c r="BB300" t="str">
        <f t="shared" si="25"/>
        <v>1200</v>
      </c>
      <c r="BC300">
        <v>1</v>
      </c>
      <c r="BD300" t="str">
        <f t="shared" si="26"/>
        <v xml:space="preserve">N445JS  </v>
      </c>
      <c r="BE300">
        <v>7</v>
      </c>
      <c r="BG300">
        <v>0</v>
      </c>
      <c r="BH300">
        <v>0</v>
      </c>
      <c r="BI300">
        <v>0</v>
      </c>
      <c r="BJ300">
        <v>3125</v>
      </c>
      <c r="BK300">
        <v>-175</v>
      </c>
      <c r="BL300" t="s">
        <v>132</v>
      </c>
      <c r="BM300">
        <v>1</v>
      </c>
      <c r="BN300">
        <v>1</v>
      </c>
      <c r="BO300">
        <v>1</v>
      </c>
      <c r="BP300">
        <v>0</v>
      </c>
      <c r="BT300">
        <v>0</v>
      </c>
      <c r="BU300">
        <v>0</v>
      </c>
      <c r="CE300" t="str">
        <f>"15:38:47.736"</f>
        <v>15:38:47.736</v>
      </c>
      <c r="CF300">
        <v>735678970</v>
      </c>
      <c r="CS300">
        <v>0</v>
      </c>
      <c r="CT300">
        <v>2</v>
      </c>
      <c r="CU300">
        <v>0</v>
      </c>
      <c r="CV300">
        <v>2</v>
      </c>
      <c r="CW300">
        <v>0</v>
      </c>
      <c r="CX300">
        <v>7</v>
      </c>
      <c r="CY300">
        <v>7</v>
      </c>
      <c r="CZ300" t="s">
        <v>133</v>
      </c>
      <c r="DA300">
        <v>125</v>
      </c>
      <c r="DB300">
        <v>1</v>
      </c>
      <c r="DC300" t="s">
        <v>134</v>
      </c>
      <c r="DD300" t="s">
        <v>135</v>
      </c>
      <c r="DG300">
        <v>2517334</v>
      </c>
      <c r="DI300">
        <v>0</v>
      </c>
      <c r="DJ300">
        <v>0</v>
      </c>
      <c r="DK300">
        <v>1</v>
      </c>
      <c r="DL300">
        <v>0</v>
      </c>
      <c r="DM300">
        <v>0</v>
      </c>
      <c r="DN300">
        <v>0</v>
      </c>
      <c r="DO300">
        <v>0</v>
      </c>
      <c r="DP300">
        <v>0</v>
      </c>
      <c r="DQ300">
        <v>0</v>
      </c>
      <c r="DR300">
        <v>0</v>
      </c>
      <c r="DS300">
        <v>0</v>
      </c>
    </row>
    <row r="301" spans="1:123" x14ac:dyDescent="0.25">
      <c r="A301" t="str">
        <f>"04/17/2026 15:38:48.025"</f>
        <v>04/17/2026 15:38:48.025</v>
      </c>
      <c r="C301" t="str">
        <f t="shared" si="23"/>
        <v>FFDFD3C0</v>
      </c>
      <c r="D301" t="s">
        <v>136</v>
      </c>
      <c r="E301" t="str">
        <f>"0E"</f>
        <v>0E</v>
      </c>
      <c r="F301">
        <v>1014</v>
      </c>
      <c r="G301" t="s">
        <v>125</v>
      </c>
      <c r="J301" t="s">
        <v>137</v>
      </c>
      <c r="K301">
        <v>0</v>
      </c>
      <c r="L301">
        <v>3</v>
      </c>
      <c r="M301">
        <v>0</v>
      </c>
      <c r="N301">
        <v>2</v>
      </c>
      <c r="O301">
        <v>1</v>
      </c>
      <c r="P301">
        <v>0</v>
      </c>
      <c r="Q301">
        <v>0</v>
      </c>
      <c r="R301" t="s">
        <v>127</v>
      </c>
      <c r="S301" t="str">
        <f>"15:38:47.734"</f>
        <v>15:38:47.734</v>
      </c>
      <c r="T301" t="str">
        <f>"15:38:47.334"</f>
        <v>15:38:47.334</v>
      </c>
      <c r="U301" t="str">
        <f t="shared" si="24"/>
        <v>A55E09</v>
      </c>
      <c r="V301">
        <v>0</v>
      </c>
      <c r="W301">
        <v>0</v>
      </c>
      <c r="X301">
        <v>2</v>
      </c>
      <c r="Y301">
        <v>0</v>
      </c>
      <c r="AA301">
        <v>0</v>
      </c>
      <c r="AB301">
        <v>9</v>
      </c>
      <c r="AC301">
        <v>3</v>
      </c>
      <c r="AD301">
        <v>0</v>
      </c>
      <c r="AE301">
        <v>9</v>
      </c>
      <c r="AF301" t="s">
        <v>128</v>
      </c>
      <c r="AG301">
        <v>0</v>
      </c>
      <c r="AH301">
        <v>0</v>
      </c>
      <c r="AI301">
        <v>1</v>
      </c>
      <c r="AJ301">
        <v>0</v>
      </c>
      <c r="AK301" t="s">
        <v>282</v>
      </c>
      <c r="AL301">
        <v>33.683244999999999</v>
      </c>
      <c r="AM301" t="s">
        <v>283</v>
      </c>
      <c r="AN301">
        <v>-101.20708500000001</v>
      </c>
      <c r="AO301">
        <v>100</v>
      </c>
      <c r="AP301">
        <v>3300</v>
      </c>
      <c r="AQ301" t="s">
        <v>131</v>
      </c>
      <c r="AR301">
        <v>-15</v>
      </c>
      <c r="AS301">
        <v>84</v>
      </c>
      <c r="AT301">
        <v>192</v>
      </c>
      <c r="BB301" t="str">
        <f t="shared" si="25"/>
        <v>1200</v>
      </c>
      <c r="BC301">
        <v>1</v>
      </c>
      <c r="BD301" t="str">
        <f t="shared" si="26"/>
        <v xml:space="preserve">N445JS  </v>
      </c>
      <c r="BE301">
        <v>7</v>
      </c>
      <c r="BG301">
        <v>0</v>
      </c>
      <c r="BH301">
        <v>0</v>
      </c>
      <c r="BI301">
        <v>0</v>
      </c>
      <c r="BJ301">
        <v>3125</v>
      </c>
      <c r="BK301">
        <v>-175</v>
      </c>
      <c r="BL301" t="s">
        <v>132</v>
      </c>
      <c r="BM301">
        <v>1</v>
      </c>
      <c r="BN301">
        <v>1</v>
      </c>
      <c r="BO301">
        <v>1</v>
      </c>
      <c r="BP301">
        <v>0</v>
      </c>
      <c r="BT301">
        <v>0</v>
      </c>
      <c r="BU301">
        <v>0</v>
      </c>
      <c r="CE301" t="str">
        <f>"15:38:47.736"</f>
        <v>15:38:47.736</v>
      </c>
      <c r="CF301">
        <v>735678970</v>
      </c>
      <c r="CS301">
        <v>0</v>
      </c>
      <c r="CT301">
        <v>2</v>
      </c>
      <c r="CU301">
        <v>0</v>
      </c>
      <c r="CV301">
        <v>2</v>
      </c>
      <c r="CW301">
        <v>0</v>
      </c>
      <c r="CX301">
        <v>7</v>
      </c>
      <c r="CY301">
        <v>7</v>
      </c>
      <c r="CZ301" t="s">
        <v>133</v>
      </c>
      <c r="DA301">
        <v>125</v>
      </c>
      <c r="DB301">
        <v>1</v>
      </c>
      <c r="DC301" t="s">
        <v>134</v>
      </c>
      <c r="DD301" t="s">
        <v>135</v>
      </c>
      <c r="DG301">
        <v>2517334</v>
      </c>
      <c r="DI301">
        <v>0</v>
      </c>
      <c r="DJ301">
        <v>0</v>
      </c>
      <c r="DK301">
        <v>1</v>
      </c>
      <c r="DL301">
        <v>0</v>
      </c>
      <c r="DM301">
        <v>0</v>
      </c>
      <c r="DN301">
        <v>0</v>
      </c>
      <c r="DO301">
        <v>0</v>
      </c>
      <c r="DP301">
        <v>0</v>
      </c>
      <c r="DQ301">
        <v>0</v>
      </c>
      <c r="DR301">
        <v>0</v>
      </c>
      <c r="DS301">
        <v>0</v>
      </c>
    </row>
    <row r="302" spans="1:123" x14ac:dyDescent="0.25">
      <c r="A302" t="str">
        <f>"04/17/2026 15:38:49.061"</f>
        <v>04/17/2026 15:38:49.061</v>
      </c>
      <c r="C302" t="str">
        <f t="shared" si="23"/>
        <v>FFDFD3C0</v>
      </c>
      <c r="D302" t="s">
        <v>139</v>
      </c>
      <c r="E302" t="str">
        <f>"28"</f>
        <v>28</v>
      </c>
      <c r="H302">
        <v>140</v>
      </c>
      <c r="I302" t="s">
        <v>140</v>
      </c>
      <c r="J302" t="s">
        <v>141</v>
      </c>
      <c r="K302">
        <v>0</v>
      </c>
      <c r="L302">
        <v>3</v>
      </c>
      <c r="M302">
        <v>0</v>
      </c>
      <c r="N302">
        <v>2</v>
      </c>
      <c r="O302">
        <v>1</v>
      </c>
      <c r="P302">
        <v>0</v>
      </c>
      <c r="Q302">
        <v>0</v>
      </c>
      <c r="R302" t="s">
        <v>127</v>
      </c>
      <c r="S302" t="str">
        <f>"15:38:48.813"</f>
        <v>15:38:48.813</v>
      </c>
      <c r="T302" t="str">
        <f>"15:38:48.513"</f>
        <v>15:38:48.513</v>
      </c>
      <c r="U302" t="str">
        <f t="shared" si="24"/>
        <v>A55E09</v>
      </c>
      <c r="V302">
        <v>0</v>
      </c>
      <c r="W302">
        <v>0</v>
      </c>
      <c r="X302">
        <v>2</v>
      </c>
      <c r="Y302">
        <v>0</v>
      </c>
      <c r="AA302">
        <v>0</v>
      </c>
      <c r="AB302">
        <v>9</v>
      </c>
      <c r="AC302">
        <v>3</v>
      </c>
      <c r="AD302">
        <v>0</v>
      </c>
      <c r="AE302">
        <v>9</v>
      </c>
      <c r="AF302" t="s">
        <v>128</v>
      </c>
      <c r="AG302">
        <v>0</v>
      </c>
      <c r="AH302">
        <v>0</v>
      </c>
      <c r="AI302">
        <v>1</v>
      </c>
      <c r="AJ302">
        <v>0</v>
      </c>
      <c r="AK302" t="s">
        <v>284</v>
      </c>
      <c r="AL302">
        <v>33.683653</v>
      </c>
      <c r="AM302" t="s">
        <v>285</v>
      </c>
      <c r="AN302">
        <v>-101.207149</v>
      </c>
      <c r="AO302">
        <v>100</v>
      </c>
      <c r="AP302">
        <v>3300</v>
      </c>
      <c r="AQ302" t="s">
        <v>131</v>
      </c>
      <c r="AR302">
        <v>-14</v>
      </c>
      <c r="AS302">
        <v>85</v>
      </c>
      <c r="AT302">
        <v>128</v>
      </c>
      <c r="BB302" t="str">
        <f t="shared" si="25"/>
        <v>1200</v>
      </c>
      <c r="BC302">
        <v>1</v>
      </c>
      <c r="BD302" t="str">
        <f t="shared" si="26"/>
        <v xml:space="preserve">N445JS  </v>
      </c>
      <c r="BE302">
        <v>7</v>
      </c>
      <c r="BG302">
        <v>0</v>
      </c>
      <c r="BH302">
        <v>0</v>
      </c>
      <c r="BI302">
        <v>0</v>
      </c>
      <c r="BJ302">
        <v>3125</v>
      </c>
      <c r="BK302">
        <v>-175</v>
      </c>
      <c r="BL302" t="s">
        <v>132</v>
      </c>
      <c r="BM302">
        <v>1</v>
      </c>
      <c r="BN302">
        <v>1</v>
      </c>
      <c r="BO302">
        <v>1</v>
      </c>
      <c r="BP302">
        <v>0</v>
      </c>
      <c r="BT302">
        <v>0</v>
      </c>
      <c r="BU302">
        <v>0</v>
      </c>
      <c r="CE302" t="str">
        <f>"15:38:48.816"</f>
        <v>15:38:48.816</v>
      </c>
      <c r="CF302">
        <v>815573108</v>
      </c>
      <c r="CS302">
        <v>0</v>
      </c>
      <c r="CT302">
        <v>2</v>
      </c>
      <c r="CU302">
        <v>0</v>
      </c>
      <c r="CV302">
        <v>2</v>
      </c>
      <c r="CW302">
        <v>0</v>
      </c>
      <c r="CX302">
        <v>7</v>
      </c>
      <c r="CY302">
        <v>7</v>
      </c>
      <c r="CZ302" t="s">
        <v>133</v>
      </c>
      <c r="DA302">
        <v>125</v>
      </c>
      <c r="DB302">
        <v>1</v>
      </c>
      <c r="DC302" t="s">
        <v>134</v>
      </c>
      <c r="DD302" t="s">
        <v>135</v>
      </c>
      <c r="DG302">
        <v>2518392</v>
      </c>
      <c r="DI302">
        <v>0</v>
      </c>
      <c r="DJ302">
        <v>0</v>
      </c>
      <c r="DK302">
        <v>0</v>
      </c>
      <c r="DL302">
        <v>0</v>
      </c>
      <c r="DM302">
        <v>0</v>
      </c>
      <c r="DN302">
        <v>0</v>
      </c>
      <c r="DO302">
        <v>0</v>
      </c>
      <c r="DP302">
        <v>0</v>
      </c>
      <c r="DQ302">
        <v>0</v>
      </c>
      <c r="DR302">
        <v>0</v>
      </c>
      <c r="DS302">
        <v>0</v>
      </c>
    </row>
    <row r="303" spans="1:123" x14ac:dyDescent="0.25">
      <c r="A303" t="str">
        <f>"04/17/2026 15:38:49.077"</f>
        <v>04/17/2026 15:38:49.077</v>
      </c>
      <c r="C303" t="str">
        <f t="shared" si="23"/>
        <v>FFDFD3C0</v>
      </c>
      <c r="D303" t="s">
        <v>136</v>
      </c>
      <c r="E303" t="str">
        <f>"0E"</f>
        <v>0E</v>
      </c>
      <c r="F303">
        <v>1014</v>
      </c>
      <c r="G303" t="s">
        <v>125</v>
      </c>
      <c r="J303" t="s">
        <v>137</v>
      </c>
      <c r="K303">
        <v>0</v>
      </c>
      <c r="L303">
        <v>3</v>
      </c>
      <c r="M303">
        <v>0</v>
      </c>
      <c r="N303">
        <v>2</v>
      </c>
      <c r="O303">
        <v>1</v>
      </c>
      <c r="P303">
        <v>0</v>
      </c>
      <c r="Q303">
        <v>0</v>
      </c>
      <c r="R303" t="s">
        <v>127</v>
      </c>
      <c r="S303" t="str">
        <f>"15:38:48.813"</f>
        <v>15:38:48.813</v>
      </c>
      <c r="T303" t="str">
        <f>"15:38:48.513"</f>
        <v>15:38:48.513</v>
      </c>
      <c r="U303" t="str">
        <f t="shared" si="24"/>
        <v>A55E09</v>
      </c>
      <c r="V303">
        <v>0</v>
      </c>
      <c r="W303">
        <v>0</v>
      </c>
      <c r="X303">
        <v>2</v>
      </c>
      <c r="Y303">
        <v>0</v>
      </c>
      <c r="AA303">
        <v>0</v>
      </c>
      <c r="AB303">
        <v>9</v>
      </c>
      <c r="AC303">
        <v>3</v>
      </c>
      <c r="AD303">
        <v>0</v>
      </c>
      <c r="AE303">
        <v>9</v>
      </c>
      <c r="AF303" t="s">
        <v>128</v>
      </c>
      <c r="AG303">
        <v>0</v>
      </c>
      <c r="AH303">
        <v>0</v>
      </c>
      <c r="AI303">
        <v>1</v>
      </c>
      <c r="AJ303">
        <v>0</v>
      </c>
      <c r="AK303" t="s">
        <v>284</v>
      </c>
      <c r="AL303">
        <v>33.683653</v>
      </c>
      <c r="AM303" t="s">
        <v>285</v>
      </c>
      <c r="AN303">
        <v>-101.207149</v>
      </c>
      <c r="AO303">
        <v>100</v>
      </c>
      <c r="AP303">
        <v>3300</v>
      </c>
      <c r="AQ303" t="s">
        <v>131</v>
      </c>
      <c r="AR303">
        <v>-14</v>
      </c>
      <c r="AS303">
        <v>85</v>
      </c>
      <c r="AT303">
        <v>128</v>
      </c>
      <c r="BB303" t="str">
        <f t="shared" si="25"/>
        <v>1200</v>
      </c>
      <c r="BC303">
        <v>1</v>
      </c>
      <c r="BD303" t="str">
        <f t="shared" si="26"/>
        <v xml:space="preserve">N445JS  </v>
      </c>
      <c r="BE303">
        <v>7</v>
      </c>
      <c r="BG303">
        <v>0</v>
      </c>
      <c r="BH303">
        <v>0</v>
      </c>
      <c r="BI303">
        <v>0</v>
      </c>
      <c r="BJ303">
        <v>3125</v>
      </c>
      <c r="BK303">
        <v>-175</v>
      </c>
      <c r="BL303" t="s">
        <v>132</v>
      </c>
      <c r="BM303">
        <v>1</v>
      </c>
      <c r="BN303">
        <v>1</v>
      </c>
      <c r="BO303">
        <v>1</v>
      </c>
      <c r="BP303">
        <v>0</v>
      </c>
      <c r="BT303">
        <v>0</v>
      </c>
      <c r="BU303">
        <v>0</v>
      </c>
      <c r="CE303" t="str">
        <f>"15:38:48.816"</f>
        <v>15:38:48.816</v>
      </c>
      <c r="CF303">
        <v>815573108</v>
      </c>
      <c r="CS303">
        <v>0</v>
      </c>
      <c r="CT303">
        <v>2</v>
      </c>
      <c r="CU303">
        <v>0</v>
      </c>
      <c r="CV303">
        <v>2</v>
      </c>
      <c r="CW303">
        <v>0</v>
      </c>
      <c r="CX303">
        <v>7</v>
      </c>
      <c r="CY303">
        <v>7</v>
      </c>
      <c r="CZ303" t="s">
        <v>133</v>
      </c>
      <c r="DA303">
        <v>125</v>
      </c>
      <c r="DB303">
        <v>1</v>
      </c>
      <c r="DC303" t="s">
        <v>134</v>
      </c>
      <c r="DD303" t="s">
        <v>135</v>
      </c>
      <c r="DG303">
        <v>2518392</v>
      </c>
      <c r="DI303">
        <v>0</v>
      </c>
      <c r="DJ303">
        <v>0</v>
      </c>
      <c r="DK303">
        <v>1</v>
      </c>
      <c r="DL303">
        <v>0</v>
      </c>
      <c r="DM303">
        <v>0</v>
      </c>
      <c r="DN303">
        <v>0</v>
      </c>
      <c r="DO303">
        <v>0</v>
      </c>
      <c r="DP303">
        <v>0</v>
      </c>
      <c r="DQ303">
        <v>0</v>
      </c>
      <c r="DR303">
        <v>0</v>
      </c>
      <c r="DS303">
        <v>0</v>
      </c>
    </row>
    <row r="304" spans="1:123" x14ac:dyDescent="0.25">
      <c r="A304" t="str">
        <f>"04/17/2026 15:38:49.079"</f>
        <v>04/17/2026 15:38:49.079</v>
      </c>
      <c r="C304" t="str">
        <f t="shared" si="23"/>
        <v>FFDFD3C0</v>
      </c>
      <c r="D304" t="s">
        <v>136</v>
      </c>
      <c r="E304" t="str">
        <f>"0F"</f>
        <v>0F</v>
      </c>
      <c r="F304">
        <v>1015</v>
      </c>
      <c r="G304" t="s">
        <v>138</v>
      </c>
      <c r="J304" t="s">
        <v>137</v>
      </c>
      <c r="K304">
        <v>0</v>
      </c>
      <c r="L304">
        <v>3</v>
      </c>
      <c r="M304">
        <v>0</v>
      </c>
      <c r="N304">
        <v>2</v>
      </c>
      <c r="O304">
        <v>1</v>
      </c>
      <c r="P304">
        <v>0</v>
      </c>
      <c r="Q304">
        <v>0</v>
      </c>
      <c r="R304" t="s">
        <v>127</v>
      </c>
      <c r="S304" t="str">
        <f>"15:38:48.813"</f>
        <v>15:38:48.813</v>
      </c>
      <c r="T304" t="str">
        <f>"15:38:48.513"</f>
        <v>15:38:48.513</v>
      </c>
      <c r="U304" t="str">
        <f t="shared" si="24"/>
        <v>A55E09</v>
      </c>
      <c r="V304">
        <v>0</v>
      </c>
      <c r="W304">
        <v>0</v>
      </c>
      <c r="X304">
        <v>2</v>
      </c>
      <c r="Y304">
        <v>0</v>
      </c>
      <c r="AA304">
        <v>0</v>
      </c>
      <c r="AB304">
        <v>9</v>
      </c>
      <c r="AC304">
        <v>3</v>
      </c>
      <c r="AD304">
        <v>0</v>
      </c>
      <c r="AE304">
        <v>9</v>
      </c>
      <c r="AF304" t="s">
        <v>128</v>
      </c>
      <c r="AG304">
        <v>0</v>
      </c>
      <c r="AH304">
        <v>0</v>
      </c>
      <c r="AI304">
        <v>1</v>
      </c>
      <c r="AJ304">
        <v>0</v>
      </c>
      <c r="AK304" t="s">
        <v>284</v>
      </c>
      <c r="AL304">
        <v>33.683653</v>
      </c>
      <c r="AM304" t="s">
        <v>285</v>
      </c>
      <c r="AN304">
        <v>-101.207149</v>
      </c>
      <c r="AO304">
        <v>100</v>
      </c>
      <c r="AP304">
        <v>3300</v>
      </c>
      <c r="AQ304" t="s">
        <v>131</v>
      </c>
      <c r="AR304">
        <v>-14</v>
      </c>
      <c r="AS304">
        <v>85</v>
      </c>
      <c r="AT304">
        <v>128</v>
      </c>
      <c r="BB304" t="str">
        <f t="shared" si="25"/>
        <v>1200</v>
      </c>
      <c r="BC304">
        <v>1</v>
      </c>
      <c r="BD304" t="str">
        <f t="shared" si="26"/>
        <v xml:space="preserve">N445JS  </v>
      </c>
      <c r="BE304">
        <v>7</v>
      </c>
      <c r="BG304">
        <v>0</v>
      </c>
      <c r="BH304">
        <v>0</v>
      </c>
      <c r="BI304">
        <v>0</v>
      </c>
      <c r="BJ304">
        <v>3125</v>
      </c>
      <c r="BK304">
        <v>-175</v>
      </c>
      <c r="BL304" t="s">
        <v>132</v>
      </c>
      <c r="BM304">
        <v>1</v>
      </c>
      <c r="BN304">
        <v>1</v>
      </c>
      <c r="BO304">
        <v>1</v>
      </c>
      <c r="BP304">
        <v>0</v>
      </c>
      <c r="BT304">
        <v>0</v>
      </c>
      <c r="BU304">
        <v>0</v>
      </c>
      <c r="CE304" t="str">
        <f>"15:38:48.816"</f>
        <v>15:38:48.816</v>
      </c>
      <c r="CF304">
        <v>815573108</v>
      </c>
      <c r="CS304">
        <v>0</v>
      </c>
      <c r="CT304">
        <v>2</v>
      </c>
      <c r="CU304">
        <v>0</v>
      </c>
      <c r="CV304">
        <v>2</v>
      </c>
      <c r="CW304">
        <v>0</v>
      </c>
      <c r="CX304">
        <v>7</v>
      </c>
      <c r="CY304">
        <v>7</v>
      </c>
      <c r="CZ304" t="s">
        <v>133</v>
      </c>
      <c r="DA304">
        <v>125</v>
      </c>
      <c r="DB304">
        <v>1</v>
      </c>
      <c r="DC304" t="s">
        <v>134</v>
      </c>
      <c r="DD304" t="s">
        <v>135</v>
      </c>
      <c r="DG304">
        <v>2518392</v>
      </c>
      <c r="DI304">
        <v>0</v>
      </c>
      <c r="DJ304">
        <v>0</v>
      </c>
      <c r="DK304">
        <v>1</v>
      </c>
      <c r="DL304">
        <v>0</v>
      </c>
      <c r="DM304">
        <v>0</v>
      </c>
      <c r="DN304">
        <v>0</v>
      </c>
      <c r="DO304">
        <v>0</v>
      </c>
      <c r="DP304">
        <v>0</v>
      </c>
      <c r="DQ304">
        <v>0</v>
      </c>
      <c r="DR304">
        <v>0</v>
      </c>
      <c r="DS304">
        <v>0</v>
      </c>
    </row>
    <row r="305" spans="1:123" x14ac:dyDescent="0.25">
      <c r="A305" t="str">
        <f>"04/17/2026 15:38:49.086"</f>
        <v>04/17/2026 15:38:49.086</v>
      </c>
      <c r="C305" t="str">
        <f t="shared" si="23"/>
        <v>FFDFD3C0</v>
      </c>
      <c r="D305" t="s">
        <v>124</v>
      </c>
      <c r="E305" t="str">
        <f>"03"</f>
        <v>03</v>
      </c>
      <c r="H305">
        <v>160</v>
      </c>
      <c r="I305" t="s">
        <v>125</v>
      </c>
      <c r="J305" t="s">
        <v>126</v>
      </c>
      <c r="K305">
        <v>0</v>
      </c>
      <c r="L305">
        <v>3</v>
      </c>
      <c r="M305">
        <v>0</v>
      </c>
      <c r="N305">
        <v>2</v>
      </c>
      <c r="O305">
        <v>1</v>
      </c>
      <c r="P305">
        <v>0</v>
      </c>
      <c r="Q305">
        <v>0</v>
      </c>
      <c r="R305" t="s">
        <v>127</v>
      </c>
      <c r="S305" t="str">
        <f>"15:38:48.813"</f>
        <v>15:38:48.813</v>
      </c>
      <c r="T305" t="str">
        <f>"15:38:48.513"</f>
        <v>15:38:48.513</v>
      </c>
      <c r="U305" t="str">
        <f t="shared" si="24"/>
        <v>A55E09</v>
      </c>
      <c r="V305">
        <v>0</v>
      </c>
      <c r="W305">
        <v>0</v>
      </c>
      <c r="X305">
        <v>2</v>
      </c>
      <c r="Y305">
        <v>0</v>
      </c>
      <c r="AA305">
        <v>0</v>
      </c>
      <c r="AB305">
        <v>9</v>
      </c>
      <c r="AC305">
        <v>3</v>
      </c>
      <c r="AD305">
        <v>0</v>
      </c>
      <c r="AE305">
        <v>9</v>
      </c>
      <c r="AF305" t="s">
        <v>128</v>
      </c>
      <c r="AG305">
        <v>0</v>
      </c>
      <c r="AH305">
        <v>0</v>
      </c>
      <c r="AI305">
        <v>1</v>
      </c>
      <c r="AJ305">
        <v>0</v>
      </c>
      <c r="AK305" t="s">
        <v>284</v>
      </c>
      <c r="AL305">
        <v>33.683653</v>
      </c>
      <c r="AM305" t="s">
        <v>285</v>
      </c>
      <c r="AN305">
        <v>-101.207149</v>
      </c>
      <c r="AO305">
        <v>100</v>
      </c>
      <c r="AP305">
        <v>3300</v>
      </c>
      <c r="AQ305" t="s">
        <v>131</v>
      </c>
      <c r="AR305">
        <v>-14</v>
      </c>
      <c r="AS305">
        <v>85</v>
      </c>
      <c r="AT305">
        <v>128</v>
      </c>
      <c r="BB305" t="str">
        <f t="shared" si="25"/>
        <v>1200</v>
      </c>
      <c r="BC305">
        <v>1</v>
      </c>
      <c r="BD305" t="str">
        <f t="shared" si="26"/>
        <v xml:space="preserve">N445JS  </v>
      </c>
      <c r="BE305">
        <v>7</v>
      </c>
      <c r="BG305">
        <v>0</v>
      </c>
      <c r="BH305">
        <v>0</v>
      </c>
      <c r="BI305">
        <v>0</v>
      </c>
      <c r="BJ305">
        <v>3125</v>
      </c>
      <c r="BK305">
        <v>-175</v>
      </c>
      <c r="BL305" t="s">
        <v>132</v>
      </c>
      <c r="BM305">
        <v>1</v>
      </c>
      <c r="BN305">
        <v>1</v>
      </c>
      <c r="BO305">
        <v>1</v>
      </c>
      <c r="BP305">
        <v>0</v>
      </c>
      <c r="BT305">
        <v>0</v>
      </c>
      <c r="BU305">
        <v>0</v>
      </c>
      <c r="CE305" t="str">
        <f>"15:38:48.816"</f>
        <v>15:38:48.816</v>
      </c>
      <c r="CF305">
        <v>815573108</v>
      </c>
      <c r="CS305">
        <v>0</v>
      </c>
      <c r="CT305">
        <v>2</v>
      </c>
      <c r="CU305">
        <v>0</v>
      </c>
      <c r="CV305">
        <v>2</v>
      </c>
      <c r="CW305">
        <v>0</v>
      </c>
      <c r="CX305">
        <v>7</v>
      </c>
      <c r="CY305">
        <v>7</v>
      </c>
      <c r="CZ305" t="s">
        <v>133</v>
      </c>
      <c r="DA305">
        <v>125</v>
      </c>
      <c r="DB305">
        <v>1</v>
      </c>
      <c r="DC305" t="s">
        <v>134</v>
      </c>
      <c r="DD305" t="s">
        <v>135</v>
      </c>
      <c r="DG305">
        <v>2518392</v>
      </c>
      <c r="DI305">
        <v>0</v>
      </c>
      <c r="DJ305">
        <v>0</v>
      </c>
      <c r="DK305">
        <v>1</v>
      </c>
      <c r="DL305">
        <v>0</v>
      </c>
      <c r="DM305">
        <v>0</v>
      </c>
      <c r="DN305">
        <v>0</v>
      </c>
      <c r="DO305">
        <v>0</v>
      </c>
      <c r="DP305">
        <v>0</v>
      </c>
      <c r="DQ305">
        <v>0</v>
      </c>
      <c r="DR305">
        <v>0</v>
      </c>
      <c r="DS305">
        <v>0</v>
      </c>
    </row>
    <row r="306" spans="1:123" x14ac:dyDescent="0.25">
      <c r="A306" t="str">
        <f>"04/17/2026 15:38:50.029"</f>
        <v>04/17/2026 15:38:50.029</v>
      </c>
      <c r="C306" t="str">
        <f t="shared" si="23"/>
        <v>FFDFD3C0</v>
      </c>
      <c r="D306" t="s">
        <v>136</v>
      </c>
      <c r="E306" t="str">
        <f>"0E"</f>
        <v>0E</v>
      </c>
      <c r="F306">
        <v>1014</v>
      </c>
      <c r="G306" t="s">
        <v>125</v>
      </c>
      <c r="J306" t="s">
        <v>137</v>
      </c>
      <c r="K306">
        <v>0</v>
      </c>
      <c r="L306">
        <v>3</v>
      </c>
      <c r="M306">
        <v>0</v>
      </c>
      <c r="N306">
        <v>2</v>
      </c>
      <c r="O306">
        <v>1</v>
      </c>
      <c r="P306">
        <v>0</v>
      </c>
      <c r="Q306">
        <v>0</v>
      </c>
      <c r="R306" t="s">
        <v>127</v>
      </c>
      <c r="S306" t="str">
        <f>"15:38:49.789"</f>
        <v>15:38:49.789</v>
      </c>
      <c r="T306" t="str">
        <f>"15:38:49.489"</f>
        <v>15:38:49.489</v>
      </c>
      <c r="U306" t="str">
        <f t="shared" si="24"/>
        <v>A55E09</v>
      </c>
      <c r="V306">
        <v>0</v>
      </c>
      <c r="W306">
        <v>0</v>
      </c>
      <c r="X306">
        <v>2</v>
      </c>
      <c r="Y306">
        <v>0</v>
      </c>
      <c r="AA306">
        <v>0</v>
      </c>
      <c r="AB306">
        <v>9</v>
      </c>
      <c r="AC306">
        <v>3</v>
      </c>
      <c r="AD306">
        <v>0</v>
      </c>
      <c r="AE306">
        <v>9</v>
      </c>
      <c r="AF306" t="s">
        <v>128</v>
      </c>
      <c r="AG306">
        <v>0</v>
      </c>
      <c r="AH306">
        <v>0</v>
      </c>
      <c r="AI306">
        <v>1</v>
      </c>
      <c r="AJ306">
        <v>0</v>
      </c>
      <c r="AK306" t="s">
        <v>286</v>
      </c>
      <c r="AL306">
        <v>33.684081999999997</v>
      </c>
      <c r="AM306" t="s">
        <v>287</v>
      </c>
      <c r="AN306">
        <v>-101.207235</v>
      </c>
      <c r="AO306">
        <v>100</v>
      </c>
      <c r="AP306">
        <v>3300</v>
      </c>
      <c r="AQ306" t="s">
        <v>131</v>
      </c>
      <c r="AR306">
        <v>-13</v>
      </c>
      <c r="AS306">
        <v>85</v>
      </c>
      <c r="AT306">
        <v>64</v>
      </c>
      <c r="BB306" t="str">
        <f t="shared" si="25"/>
        <v>1200</v>
      </c>
      <c r="BC306">
        <v>1</v>
      </c>
      <c r="BD306" t="str">
        <f t="shared" si="26"/>
        <v xml:space="preserve">N445JS  </v>
      </c>
      <c r="BE306">
        <v>7</v>
      </c>
      <c r="BG306">
        <v>0</v>
      </c>
      <c r="BH306">
        <v>0</v>
      </c>
      <c r="BI306">
        <v>0</v>
      </c>
      <c r="BJ306">
        <v>3125</v>
      </c>
      <c r="BK306">
        <v>-175</v>
      </c>
      <c r="BL306" t="s">
        <v>132</v>
      </c>
      <c r="BM306">
        <v>1</v>
      </c>
      <c r="BN306">
        <v>1</v>
      </c>
      <c r="BO306">
        <v>1</v>
      </c>
      <c r="BP306">
        <v>0</v>
      </c>
      <c r="BT306">
        <v>0</v>
      </c>
      <c r="BU306">
        <v>0</v>
      </c>
      <c r="CE306" t="str">
        <f>"15:38:49.790"</f>
        <v>15:38:49.790</v>
      </c>
      <c r="CF306">
        <v>790477532</v>
      </c>
      <c r="CS306">
        <v>0</v>
      </c>
      <c r="CT306">
        <v>2</v>
      </c>
      <c r="CU306">
        <v>0</v>
      </c>
      <c r="CV306">
        <v>2</v>
      </c>
      <c r="CW306">
        <v>0</v>
      </c>
      <c r="CX306">
        <v>7</v>
      </c>
      <c r="CY306">
        <v>7</v>
      </c>
      <c r="CZ306" t="s">
        <v>133</v>
      </c>
      <c r="DA306">
        <v>125</v>
      </c>
      <c r="DB306">
        <v>1</v>
      </c>
      <c r="DC306" t="s">
        <v>134</v>
      </c>
      <c r="DD306" t="s">
        <v>135</v>
      </c>
      <c r="DG306">
        <v>2519338</v>
      </c>
      <c r="DI306">
        <v>0</v>
      </c>
      <c r="DJ306">
        <v>0</v>
      </c>
      <c r="DK306">
        <v>0</v>
      </c>
      <c r="DL306">
        <v>0</v>
      </c>
      <c r="DM306">
        <v>0</v>
      </c>
      <c r="DN306">
        <v>0</v>
      </c>
      <c r="DO306">
        <v>0</v>
      </c>
      <c r="DP306">
        <v>0</v>
      </c>
      <c r="DQ306">
        <v>0</v>
      </c>
      <c r="DR306">
        <v>0</v>
      </c>
      <c r="DS306">
        <v>0</v>
      </c>
    </row>
    <row r="307" spans="1:123" x14ac:dyDescent="0.25">
      <c r="A307" t="str">
        <f>"04/17/2026 15:38:50.030"</f>
        <v>04/17/2026 15:38:50.030</v>
      </c>
      <c r="C307" t="str">
        <f t="shared" si="23"/>
        <v>FFDFD3C0</v>
      </c>
      <c r="D307" t="s">
        <v>136</v>
      </c>
      <c r="E307" t="str">
        <f>"0F"</f>
        <v>0F</v>
      </c>
      <c r="F307">
        <v>1015</v>
      </c>
      <c r="G307" t="s">
        <v>138</v>
      </c>
      <c r="J307" t="s">
        <v>137</v>
      </c>
      <c r="K307">
        <v>0</v>
      </c>
      <c r="L307">
        <v>3</v>
      </c>
      <c r="M307">
        <v>0</v>
      </c>
      <c r="N307">
        <v>2</v>
      </c>
      <c r="O307">
        <v>1</v>
      </c>
      <c r="P307">
        <v>0</v>
      </c>
      <c r="Q307">
        <v>0</v>
      </c>
      <c r="R307" t="s">
        <v>127</v>
      </c>
      <c r="S307" t="str">
        <f>"15:38:49.789"</f>
        <v>15:38:49.789</v>
      </c>
      <c r="T307" t="str">
        <f>"15:38:49.489"</f>
        <v>15:38:49.489</v>
      </c>
      <c r="U307" t="str">
        <f t="shared" si="24"/>
        <v>A55E09</v>
      </c>
      <c r="V307">
        <v>0</v>
      </c>
      <c r="W307">
        <v>0</v>
      </c>
      <c r="X307">
        <v>2</v>
      </c>
      <c r="Y307">
        <v>0</v>
      </c>
      <c r="AA307">
        <v>0</v>
      </c>
      <c r="AB307">
        <v>9</v>
      </c>
      <c r="AC307">
        <v>3</v>
      </c>
      <c r="AD307">
        <v>0</v>
      </c>
      <c r="AE307">
        <v>9</v>
      </c>
      <c r="AF307" t="s">
        <v>128</v>
      </c>
      <c r="AG307">
        <v>0</v>
      </c>
      <c r="AH307">
        <v>0</v>
      </c>
      <c r="AI307">
        <v>1</v>
      </c>
      <c r="AJ307">
        <v>0</v>
      </c>
      <c r="AK307" t="s">
        <v>286</v>
      </c>
      <c r="AL307">
        <v>33.684081999999997</v>
      </c>
      <c r="AM307" t="s">
        <v>287</v>
      </c>
      <c r="AN307">
        <v>-101.207235</v>
      </c>
      <c r="AO307">
        <v>100</v>
      </c>
      <c r="AP307">
        <v>3300</v>
      </c>
      <c r="AQ307" t="s">
        <v>131</v>
      </c>
      <c r="AR307">
        <v>-13</v>
      </c>
      <c r="AS307">
        <v>85</v>
      </c>
      <c r="AT307">
        <v>64</v>
      </c>
      <c r="BB307" t="str">
        <f t="shared" si="25"/>
        <v>1200</v>
      </c>
      <c r="BC307">
        <v>1</v>
      </c>
      <c r="BD307" t="str">
        <f t="shared" si="26"/>
        <v xml:space="preserve">N445JS  </v>
      </c>
      <c r="BE307">
        <v>7</v>
      </c>
      <c r="BG307">
        <v>0</v>
      </c>
      <c r="BH307">
        <v>0</v>
      </c>
      <c r="BI307">
        <v>0</v>
      </c>
      <c r="BJ307">
        <v>3125</v>
      </c>
      <c r="BK307">
        <v>-175</v>
      </c>
      <c r="BL307" t="s">
        <v>132</v>
      </c>
      <c r="BM307">
        <v>1</v>
      </c>
      <c r="BN307">
        <v>1</v>
      </c>
      <c r="BO307">
        <v>1</v>
      </c>
      <c r="BP307">
        <v>0</v>
      </c>
      <c r="BT307">
        <v>0</v>
      </c>
      <c r="BU307">
        <v>0</v>
      </c>
      <c r="CE307" t="str">
        <f>"15:38:49.790"</f>
        <v>15:38:49.790</v>
      </c>
      <c r="CF307">
        <v>790477532</v>
      </c>
      <c r="CS307">
        <v>0</v>
      </c>
      <c r="CT307">
        <v>2</v>
      </c>
      <c r="CU307">
        <v>0</v>
      </c>
      <c r="CV307">
        <v>2</v>
      </c>
      <c r="CW307">
        <v>0</v>
      </c>
      <c r="CX307">
        <v>7</v>
      </c>
      <c r="CY307">
        <v>7</v>
      </c>
      <c r="CZ307" t="s">
        <v>133</v>
      </c>
      <c r="DA307">
        <v>125</v>
      </c>
      <c r="DB307">
        <v>1</v>
      </c>
      <c r="DC307" t="s">
        <v>134</v>
      </c>
      <c r="DD307" t="s">
        <v>135</v>
      </c>
      <c r="DG307">
        <v>2519338</v>
      </c>
      <c r="DI307">
        <v>0</v>
      </c>
      <c r="DJ307">
        <v>0</v>
      </c>
      <c r="DK307">
        <v>1</v>
      </c>
      <c r="DL307">
        <v>0</v>
      </c>
      <c r="DM307">
        <v>0</v>
      </c>
      <c r="DN307">
        <v>0</v>
      </c>
      <c r="DO307">
        <v>0</v>
      </c>
      <c r="DP307">
        <v>0</v>
      </c>
      <c r="DQ307">
        <v>0</v>
      </c>
      <c r="DR307">
        <v>0</v>
      </c>
      <c r="DS307">
        <v>0</v>
      </c>
    </row>
    <row r="308" spans="1:123" x14ac:dyDescent="0.25">
      <c r="A308" t="str">
        <f>"04/17/2026 15:38:50.038"</f>
        <v>04/17/2026 15:38:50.038</v>
      </c>
      <c r="C308" t="str">
        <f t="shared" si="23"/>
        <v>FFDFD3C0</v>
      </c>
      <c r="D308" t="s">
        <v>124</v>
      </c>
      <c r="E308" t="str">
        <f>"03"</f>
        <v>03</v>
      </c>
      <c r="H308">
        <v>160</v>
      </c>
      <c r="I308" t="s">
        <v>125</v>
      </c>
      <c r="J308" t="s">
        <v>126</v>
      </c>
      <c r="K308">
        <v>0</v>
      </c>
      <c r="L308">
        <v>3</v>
      </c>
      <c r="M308">
        <v>0</v>
      </c>
      <c r="N308">
        <v>2</v>
      </c>
      <c r="O308">
        <v>1</v>
      </c>
      <c r="P308">
        <v>0</v>
      </c>
      <c r="Q308">
        <v>0</v>
      </c>
      <c r="R308" t="s">
        <v>127</v>
      </c>
      <c r="S308" t="str">
        <f>"15:38:49.789"</f>
        <v>15:38:49.789</v>
      </c>
      <c r="T308" t="str">
        <f>"15:38:49.489"</f>
        <v>15:38:49.489</v>
      </c>
      <c r="U308" t="str">
        <f t="shared" si="24"/>
        <v>A55E09</v>
      </c>
      <c r="V308">
        <v>0</v>
      </c>
      <c r="W308">
        <v>0</v>
      </c>
      <c r="X308">
        <v>2</v>
      </c>
      <c r="Y308">
        <v>0</v>
      </c>
      <c r="AA308">
        <v>0</v>
      </c>
      <c r="AB308">
        <v>9</v>
      </c>
      <c r="AC308">
        <v>3</v>
      </c>
      <c r="AD308">
        <v>0</v>
      </c>
      <c r="AE308">
        <v>9</v>
      </c>
      <c r="AF308" t="s">
        <v>128</v>
      </c>
      <c r="AG308">
        <v>0</v>
      </c>
      <c r="AH308">
        <v>0</v>
      </c>
      <c r="AI308">
        <v>1</v>
      </c>
      <c r="AJ308">
        <v>0</v>
      </c>
      <c r="AK308" t="s">
        <v>286</v>
      </c>
      <c r="AL308">
        <v>33.684081999999997</v>
      </c>
      <c r="AM308" t="s">
        <v>287</v>
      </c>
      <c r="AN308">
        <v>-101.207235</v>
      </c>
      <c r="AO308">
        <v>100</v>
      </c>
      <c r="AP308">
        <v>3300</v>
      </c>
      <c r="AQ308" t="s">
        <v>131</v>
      </c>
      <c r="AR308">
        <v>-13</v>
      </c>
      <c r="AS308">
        <v>85</v>
      </c>
      <c r="AT308">
        <v>64</v>
      </c>
      <c r="BB308" t="str">
        <f t="shared" si="25"/>
        <v>1200</v>
      </c>
      <c r="BC308">
        <v>1</v>
      </c>
      <c r="BD308" t="str">
        <f t="shared" si="26"/>
        <v xml:space="preserve">N445JS  </v>
      </c>
      <c r="BE308">
        <v>7</v>
      </c>
      <c r="BG308">
        <v>0</v>
      </c>
      <c r="BH308">
        <v>0</v>
      </c>
      <c r="BI308">
        <v>0</v>
      </c>
      <c r="BJ308">
        <v>3125</v>
      </c>
      <c r="BK308">
        <v>-175</v>
      </c>
      <c r="BL308" t="s">
        <v>132</v>
      </c>
      <c r="BM308">
        <v>1</v>
      </c>
      <c r="BN308">
        <v>1</v>
      </c>
      <c r="BO308">
        <v>1</v>
      </c>
      <c r="BP308">
        <v>0</v>
      </c>
      <c r="BT308">
        <v>0</v>
      </c>
      <c r="BU308">
        <v>0</v>
      </c>
      <c r="CE308" t="str">
        <f>"15:38:49.790"</f>
        <v>15:38:49.790</v>
      </c>
      <c r="CF308">
        <v>790477532</v>
      </c>
      <c r="CS308">
        <v>0</v>
      </c>
      <c r="CT308">
        <v>2</v>
      </c>
      <c r="CU308">
        <v>0</v>
      </c>
      <c r="CV308">
        <v>2</v>
      </c>
      <c r="CW308">
        <v>0</v>
      </c>
      <c r="CX308">
        <v>7</v>
      </c>
      <c r="CY308">
        <v>7</v>
      </c>
      <c r="CZ308" t="s">
        <v>133</v>
      </c>
      <c r="DA308">
        <v>125</v>
      </c>
      <c r="DB308">
        <v>1</v>
      </c>
      <c r="DC308" t="s">
        <v>134</v>
      </c>
      <c r="DD308" t="s">
        <v>135</v>
      </c>
      <c r="DG308">
        <v>2519338</v>
      </c>
      <c r="DI308">
        <v>0</v>
      </c>
      <c r="DJ308">
        <v>0</v>
      </c>
      <c r="DK308">
        <v>1</v>
      </c>
      <c r="DL308">
        <v>0</v>
      </c>
      <c r="DM308">
        <v>0</v>
      </c>
      <c r="DN308">
        <v>0</v>
      </c>
      <c r="DO308">
        <v>0</v>
      </c>
      <c r="DP308">
        <v>0</v>
      </c>
      <c r="DQ308">
        <v>0</v>
      </c>
      <c r="DR308">
        <v>0</v>
      </c>
      <c r="DS308">
        <v>0</v>
      </c>
    </row>
    <row r="309" spans="1:123" x14ac:dyDescent="0.25">
      <c r="A309" t="str">
        <f>"04/17/2026 15:38:50.063"</f>
        <v>04/17/2026 15:38:50.063</v>
      </c>
      <c r="C309" t="str">
        <f t="shared" si="23"/>
        <v>FFDFD3C0</v>
      </c>
      <c r="D309" t="s">
        <v>139</v>
      </c>
      <c r="E309" t="str">
        <f>"28"</f>
        <v>28</v>
      </c>
      <c r="H309">
        <v>140</v>
      </c>
      <c r="I309" t="s">
        <v>140</v>
      </c>
      <c r="J309" t="s">
        <v>141</v>
      </c>
      <c r="K309">
        <v>0</v>
      </c>
      <c r="L309">
        <v>3</v>
      </c>
      <c r="M309">
        <v>0</v>
      </c>
      <c r="N309">
        <v>2</v>
      </c>
      <c r="O309">
        <v>1</v>
      </c>
      <c r="P309">
        <v>0</v>
      </c>
      <c r="Q309">
        <v>0</v>
      </c>
      <c r="R309" t="s">
        <v>127</v>
      </c>
      <c r="S309" t="str">
        <f>"15:38:49.789"</f>
        <v>15:38:49.789</v>
      </c>
      <c r="T309" t="str">
        <f>"15:38:49.489"</f>
        <v>15:38:49.489</v>
      </c>
      <c r="U309" t="str">
        <f t="shared" si="24"/>
        <v>A55E09</v>
      </c>
      <c r="V309">
        <v>0</v>
      </c>
      <c r="W309">
        <v>0</v>
      </c>
      <c r="X309">
        <v>2</v>
      </c>
      <c r="Y309">
        <v>0</v>
      </c>
      <c r="AA309">
        <v>0</v>
      </c>
      <c r="AB309">
        <v>9</v>
      </c>
      <c r="AC309">
        <v>3</v>
      </c>
      <c r="AD309">
        <v>0</v>
      </c>
      <c r="AE309">
        <v>9</v>
      </c>
      <c r="AF309" t="s">
        <v>128</v>
      </c>
      <c r="AG309">
        <v>0</v>
      </c>
      <c r="AH309">
        <v>0</v>
      </c>
      <c r="AI309">
        <v>1</v>
      </c>
      <c r="AJ309">
        <v>0</v>
      </c>
      <c r="AK309" t="s">
        <v>286</v>
      </c>
      <c r="AL309">
        <v>33.684081999999997</v>
      </c>
      <c r="AM309" t="s">
        <v>287</v>
      </c>
      <c r="AN309">
        <v>-101.207235</v>
      </c>
      <c r="AO309">
        <v>100</v>
      </c>
      <c r="AP309">
        <v>3300</v>
      </c>
      <c r="AQ309" t="s">
        <v>131</v>
      </c>
      <c r="AR309">
        <v>-13</v>
      </c>
      <c r="AS309">
        <v>85</v>
      </c>
      <c r="AT309">
        <v>64</v>
      </c>
      <c r="BB309" t="str">
        <f t="shared" si="25"/>
        <v>1200</v>
      </c>
      <c r="BC309">
        <v>1</v>
      </c>
      <c r="BD309" t="str">
        <f t="shared" si="26"/>
        <v xml:space="preserve">N445JS  </v>
      </c>
      <c r="BE309">
        <v>7</v>
      </c>
      <c r="BG309">
        <v>0</v>
      </c>
      <c r="BH309">
        <v>0</v>
      </c>
      <c r="BI309">
        <v>0</v>
      </c>
      <c r="BJ309">
        <v>3125</v>
      </c>
      <c r="BK309">
        <v>-175</v>
      </c>
      <c r="BL309" t="s">
        <v>132</v>
      </c>
      <c r="BM309">
        <v>1</v>
      </c>
      <c r="BN309">
        <v>1</v>
      </c>
      <c r="BO309">
        <v>1</v>
      </c>
      <c r="BP309">
        <v>0</v>
      </c>
      <c r="BT309">
        <v>0</v>
      </c>
      <c r="BU309">
        <v>0</v>
      </c>
      <c r="CE309" t="str">
        <f>"15:38:49.790"</f>
        <v>15:38:49.790</v>
      </c>
      <c r="CF309">
        <v>790477532</v>
      </c>
      <c r="CS309">
        <v>0</v>
      </c>
      <c r="CT309">
        <v>2</v>
      </c>
      <c r="CU309">
        <v>0</v>
      </c>
      <c r="CV309">
        <v>2</v>
      </c>
      <c r="CW309">
        <v>0</v>
      </c>
      <c r="CX309">
        <v>7</v>
      </c>
      <c r="CY309">
        <v>7</v>
      </c>
      <c r="CZ309" t="s">
        <v>133</v>
      </c>
      <c r="DA309">
        <v>125</v>
      </c>
      <c r="DB309">
        <v>1</v>
      </c>
      <c r="DC309" t="s">
        <v>134</v>
      </c>
      <c r="DD309" t="s">
        <v>135</v>
      </c>
      <c r="DG309">
        <v>2519338</v>
      </c>
      <c r="DI309">
        <v>0</v>
      </c>
      <c r="DJ309">
        <v>0</v>
      </c>
      <c r="DK309">
        <v>1</v>
      </c>
      <c r="DL309">
        <v>0</v>
      </c>
      <c r="DM309">
        <v>0</v>
      </c>
      <c r="DN309">
        <v>0</v>
      </c>
      <c r="DO309">
        <v>0</v>
      </c>
      <c r="DP309">
        <v>0</v>
      </c>
      <c r="DQ309">
        <v>0</v>
      </c>
      <c r="DR309">
        <v>0</v>
      </c>
      <c r="DS309">
        <v>0</v>
      </c>
    </row>
    <row r="310" spans="1:123" x14ac:dyDescent="0.25">
      <c r="A310" t="str">
        <f>"04/17/2026 15:38:50.865"</f>
        <v>04/17/2026 15:38:50.865</v>
      </c>
      <c r="C310" t="str">
        <f t="shared" si="23"/>
        <v>FFDFD3C0</v>
      </c>
      <c r="D310" t="s">
        <v>139</v>
      </c>
      <c r="E310" t="str">
        <f>"28"</f>
        <v>28</v>
      </c>
      <c r="H310">
        <v>140</v>
      </c>
      <c r="I310" t="s">
        <v>140</v>
      </c>
      <c r="J310" t="s">
        <v>141</v>
      </c>
      <c r="K310">
        <v>0</v>
      </c>
      <c r="L310">
        <v>3</v>
      </c>
      <c r="M310">
        <v>0</v>
      </c>
      <c r="N310">
        <v>2</v>
      </c>
      <c r="O310">
        <v>1</v>
      </c>
      <c r="P310">
        <v>0</v>
      </c>
      <c r="Q310">
        <v>0</v>
      </c>
      <c r="R310" t="s">
        <v>127</v>
      </c>
      <c r="S310" t="str">
        <f>"15:38:50.625"</f>
        <v>15:38:50.625</v>
      </c>
      <c r="T310" t="str">
        <f>"15:38:50.425"</f>
        <v>15:38:50.425</v>
      </c>
      <c r="U310" t="str">
        <f t="shared" si="24"/>
        <v>A55E09</v>
      </c>
      <c r="V310">
        <v>0</v>
      </c>
      <c r="W310">
        <v>0</v>
      </c>
      <c r="X310">
        <v>2</v>
      </c>
      <c r="Y310">
        <v>0</v>
      </c>
      <c r="AA310">
        <v>0</v>
      </c>
      <c r="AB310">
        <v>9</v>
      </c>
      <c r="AC310">
        <v>3</v>
      </c>
      <c r="AD310">
        <v>0</v>
      </c>
      <c r="AE310">
        <v>9</v>
      </c>
      <c r="AF310" t="s">
        <v>128</v>
      </c>
      <c r="AG310">
        <v>0</v>
      </c>
      <c r="AH310">
        <v>0</v>
      </c>
      <c r="AI310">
        <v>1</v>
      </c>
      <c r="AJ310">
        <v>0</v>
      </c>
      <c r="AK310" t="s">
        <v>288</v>
      </c>
      <c r="AL310">
        <v>33.684404000000001</v>
      </c>
      <c r="AM310" t="s">
        <v>289</v>
      </c>
      <c r="AN310">
        <v>-101.207278</v>
      </c>
      <c r="AO310">
        <v>100</v>
      </c>
      <c r="AP310">
        <v>3300</v>
      </c>
      <c r="AQ310" t="s">
        <v>131</v>
      </c>
      <c r="AR310">
        <v>-12</v>
      </c>
      <c r="AS310">
        <v>86</v>
      </c>
      <c r="AT310">
        <v>-64</v>
      </c>
      <c r="BB310" t="str">
        <f t="shared" si="25"/>
        <v>1200</v>
      </c>
      <c r="BC310">
        <v>1</v>
      </c>
      <c r="BD310" t="str">
        <f t="shared" si="26"/>
        <v xml:space="preserve">N445JS  </v>
      </c>
      <c r="BE310">
        <v>7</v>
      </c>
      <c r="BG310">
        <v>0</v>
      </c>
      <c r="BH310">
        <v>0</v>
      </c>
      <c r="BI310">
        <v>0</v>
      </c>
      <c r="BJ310">
        <v>3125</v>
      </c>
      <c r="BK310">
        <v>-175</v>
      </c>
      <c r="BL310" t="s">
        <v>132</v>
      </c>
      <c r="BM310">
        <v>1</v>
      </c>
      <c r="BN310">
        <v>1</v>
      </c>
      <c r="BO310">
        <v>1</v>
      </c>
      <c r="BP310">
        <v>0</v>
      </c>
      <c r="BT310">
        <v>0</v>
      </c>
      <c r="BU310">
        <v>0</v>
      </c>
      <c r="CE310" t="str">
        <f>"15:38:50.630"</f>
        <v>15:38:50.630</v>
      </c>
      <c r="CF310">
        <v>630395201</v>
      </c>
      <c r="CS310">
        <v>0</v>
      </c>
      <c r="CT310">
        <v>2</v>
      </c>
      <c r="CU310">
        <v>0</v>
      </c>
      <c r="CV310">
        <v>2</v>
      </c>
      <c r="CW310">
        <v>0</v>
      </c>
      <c r="CX310">
        <v>7</v>
      </c>
      <c r="CY310">
        <v>7</v>
      </c>
      <c r="CZ310" t="s">
        <v>133</v>
      </c>
      <c r="DA310">
        <v>125</v>
      </c>
      <c r="DB310">
        <v>1</v>
      </c>
      <c r="DC310" t="s">
        <v>134</v>
      </c>
      <c r="DD310" t="s">
        <v>135</v>
      </c>
      <c r="DG310">
        <v>2520157</v>
      </c>
      <c r="DI310">
        <v>0</v>
      </c>
      <c r="DJ310">
        <v>0</v>
      </c>
      <c r="DK310">
        <v>0</v>
      </c>
      <c r="DL310">
        <v>0</v>
      </c>
      <c r="DM310">
        <v>0</v>
      </c>
      <c r="DN310">
        <v>0</v>
      </c>
      <c r="DO310">
        <v>0</v>
      </c>
      <c r="DP310">
        <v>0</v>
      </c>
      <c r="DQ310">
        <v>0</v>
      </c>
      <c r="DR310">
        <v>0</v>
      </c>
      <c r="DS310">
        <v>0</v>
      </c>
    </row>
    <row r="311" spans="1:123" x14ac:dyDescent="0.25">
      <c r="A311" t="str">
        <f>"04/17/2026 15:38:50.881"</f>
        <v>04/17/2026 15:38:50.881</v>
      </c>
      <c r="C311" t="str">
        <f t="shared" si="23"/>
        <v>FFDFD3C0</v>
      </c>
      <c r="D311" t="s">
        <v>136</v>
      </c>
      <c r="E311" t="str">
        <f>"0E"</f>
        <v>0E</v>
      </c>
      <c r="F311">
        <v>1014</v>
      </c>
      <c r="G311" t="s">
        <v>125</v>
      </c>
      <c r="J311" t="s">
        <v>137</v>
      </c>
      <c r="K311">
        <v>0</v>
      </c>
      <c r="L311">
        <v>3</v>
      </c>
      <c r="M311">
        <v>0</v>
      </c>
      <c r="N311">
        <v>2</v>
      </c>
      <c r="O311">
        <v>1</v>
      </c>
      <c r="P311">
        <v>0</v>
      </c>
      <c r="Q311">
        <v>0</v>
      </c>
      <c r="R311" t="s">
        <v>127</v>
      </c>
      <c r="S311" t="str">
        <f>"15:38:50.625"</f>
        <v>15:38:50.625</v>
      </c>
      <c r="T311" t="str">
        <f>"15:38:50.425"</f>
        <v>15:38:50.425</v>
      </c>
      <c r="U311" t="str">
        <f t="shared" si="24"/>
        <v>A55E09</v>
      </c>
      <c r="V311">
        <v>0</v>
      </c>
      <c r="W311">
        <v>0</v>
      </c>
      <c r="X311">
        <v>2</v>
      </c>
      <c r="Y311">
        <v>0</v>
      </c>
      <c r="AA311">
        <v>0</v>
      </c>
      <c r="AB311">
        <v>9</v>
      </c>
      <c r="AC311">
        <v>3</v>
      </c>
      <c r="AD311">
        <v>0</v>
      </c>
      <c r="AE311">
        <v>9</v>
      </c>
      <c r="AF311" t="s">
        <v>128</v>
      </c>
      <c r="AG311">
        <v>0</v>
      </c>
      <c r="AH311">
        <v>0</v>
      </c>
      <c r="AI311">
        <v>1</v>
      </c>
      <c r="AJ311">
        <v>0</v>
      </c>
      <c r="AK311" t="s">
        <v>288</v>
      </c>
      <c r="AL311">
        <v>33.684404000000001</v>
      </c>
      <c r="AM311" t="s">
        <v>289</v>
      </c>
      <c r="AN311">
        <v>-101.207278</v>
      </c>
      <c r="AO311">
        <v>100</v>
      </c>
      <c r="AP311">
        <v>3300</v>
      </c>
      <c r="AQ311" t="s">
        <v>131</v>
      </c>
      <c r="AR311">
        <v>-12</v>
      </c>
      <c r="AS311">
        <v>86</v>
      </c>
      <c r="AT311">
        <v>-64</v>
      </c>
      <c r="BB311" t="str">
        <f t="shared" si="25"/>
        <v>1200</v>
      </c>
      <c r="BC311">
        <v>1</v>
      </c>
      <c r="BD311" t="str">
        <f t="shared" si="26"/>
        <v xml:space="preserve">N445JS  </v>
      </c>
      <c r="BE311">
        <v>7</v>
      </c>
      <c r="BG311">
        <v>0</v>
      </c>
      <c r="BH311">
        <v>0</v>
      </c>
      <c r="BI311">
        <v>0</v>
      </c>
      <c r="BJ311">
        <v>3125</v>
      </c>
      <c r="BK311">
        <v>-175</v>
      </c>
      <c r="BL311" t="s">
        <v>132</v>
      </c>
      <c r="BM311">
        <v>1</v>
      </c>
      <c r="BN311">
        <v>1</v>
      </c>
      <c r="BO311">
        <v>1</v>
      </c>
      <c r="BP311">
        <v>0</v>
      </c>
      <c r="BT311">
        <v>0</v>
      </c>
      <c r="BU311">
        <v>0</v>
      </c>
      <c r="CE311" t="str">
        <f>"15:38:50.630"</f>
        <v>15:38:50.630</v>
      </c>
      <c r="CF311">
        <v>630395201</v>
      </c>
      <c r="CS311">
        <v>0</v>
      </c>
      <c r="CT311">
        <v>2</v>
      </c>
      <c r="CU311">
        <v>0</v>
      </c>
      <c r="CV311">
        <v>2</v>
      </c>
      <c r="CW311">
        <v>0</v>
      </c>
      <c r="CX311">
        <v>7</v>
      </c>
      <c r="CY311">
        <v>7</v>
      </c>
      <c r="CZ311" t="s">
        <v>133</v>
      </c>
      <c r="DA311">
        <v>125</v>
      </c>
      <c r="DB311">
        <v>1</v>
      </c>
      <c r="DC311" t="s">
        <v>134</v>
      </c>
      <c r="DD311" t="s">
        <v>135</v>
      </c>
      <c r="DG311">
        <v>2520157</v>
      </c>
      <c r="DI311">
        <v>0</v>
      </c>
      <c r="DJ311">
        <v>0</v>
      </c>
      <c r="DK311">
        <v>1</v>
      </c>
      <c r="DL311">
        <v>0</v>
      </c>
      <c r="DM311">
        <v>0</v>
      </c>
      <c r="DN311">
        <v>0</v>
      </c>
      <c r="DO311">
        <v>0</v>
      </c>
      <c r="DP311">
        <v>0</v>
      </c>
      <c r="DQ311">
        <v>0</v>
      </c>
      <c r="DR311">
        <v>0</v>
      </c>
      <c r="DS311">
        <v>0</v>
      </c>
    </row>
    <row r="312" spans="1:123" x14ac:dyDescent="0.25">
      <c r="A312" t="str">
        <f>"04/17/2026 15:38:50.882"</f>
        <v>04/17/2026 15:38:50.882</v>
      </c>
      <c r="C312" t="str">
        <f t="shared" si="23"/>
        <v>FFDFD3C0</v>
      </c>
      <c r="D312" t="s">
        <v>136</v>
      </c>
      <c r="E312" t="str">
        <f>"0F"</f>
        <v>0F</v>
      </c>
      <c r="F312">
        <v>1015</v>
      </c>
      <c r="G312" t="s">
        <v>138</v>
      </c>
      <c r="J312" t="s">
        <v>137</v>
      </c>
      <c r="K312">
        <v>0</v>
      </c>
      <c r="L312">
        <v>3</v>
      </c>
      <c r="M312">
        <v>0</v>
      </c>
      <c r="N312">
        <v>2</v>
      </c>
      <c r="O312">
        <v>1</v>
      </c>
      <c r="P312">
        <v>0</v>
      </c>
      <c r="Q312">
        <v>0</v>
      </c>
      <c r="R312" t="s">
        <v>127</v>
      </c>
      <c r="S312" t="str">
        <f>"15:38:50.625"</f>
        <v>15:38:50.625</v>
      </c>
      <c r="T312" t="str">
        <f>"15:38:50.425"</f>
        <v>15:38:50.425</v>
      </c>
      <c r="U312" t="str">
        <f t="shared" si="24"/>
        <v>A55E09</v>
      </c>
      <c r="V312">
        <v>0</v>
      </c>
      <c r="W312">
        <v>0</v>
      </c>
      <c r="X312">
        <v>2</v>
      </c>
      <c r="Y312">
        <v>0</v>
      </c>
      <c r="AA312">
        <v>0</v>
      </c>
      <c r="AB312">
        <v>9</v>
      </c>
      <c r="AC312">
        <v>3</v>
      </c>
      <c r="AD312">
        <v>0</v>
      </c>
      <c r="AE312">
        <v>9</v>
      </c>
      <c r="AF312" t="s">
        <v>128</v>
      </c>
      <c r="AG312">
        <v>0</v>
      </c>
      <c r="AH312">
        <v>0</v>
      </c>
      <c r="AI312">
        <v>1</v>
      </c>
      <c r="AJ312">
        <v>0</v>
      </c>
      <c r="AK312" t="s">
        <v>288</v>
      </c>
      <c r="AL312">
        <v>33.684404000000001</v>
      </c>
      <c r="AM312" t="s">
        <v>289</v>
      </c>
      <c r="AN312">
        <v>-101.207278</v>
      </c>
      <c r="AO312">
        <v>100</v>
      </c>
      <c r="AP312">
        <v>3300</v>
      </c>
      <c r="AQ312" t="s">
        <v>131</v>
      </c>
      <c r="AR312">
        <v>-12</v>
      </c>
      <c r="AS312">
        <v>86</v>
      </c>
      <c r="AT312">
        <v>-64</v>
      </c>
      <c r="BB312" t="str">
        <f t="shared" si="25"/>
        <v>1200</v>
      </c>
      <c r="BC312">
        <v>1</v>
      </c>
      <c r="BD312" t="str">
        <f t="shared" si="26"/>
        <v xml:space="preserve">N445JS  </v>
      </c>
      <c r="BE312">
        <v>7</v>
      </c>
      <c r="BG312">
        <v>0</v>
      </c>
      <c r="BH312">
        <v>0</v>
      </c>
      <c r="BI312">
        <v>0</v>
      </c>
      <c r="BJ312">
        <v>3125</v>
      </c>
      <c r="BK312">
        <v>-175</v>
      </c>
      <c r="BL312" t="s">
        <v>132</v>
      </c>
      <c r="BM312">
        <v>1</v>
      </c>
      <c r="BN312">
        <v>1</v>
      </c>
      <c r="BO312">
        <v>1</v>
      </c>
      <c r="BP312">
        <v>0</v>
      </c>
      <c r="BT312">
        <v>0</v>
      </c>
      <c r="BU312">
        <v>0</v>
      </c>
      <c r="CE312" t="str">
        <f>"15:38:50.630"</f>
        <v>15:38:50.630</v>
      </c>
      <c r="CF312">
        <v>630395201</v>
      </c>
      <c r="CS312">
        <v>0</v>
      </c>
      <c r="CT312">
        <v>2</v>
      </c>
      <c r="CU312">
        <v>0</v>
      </c>
      <c r="CV312">
        <v>2</v>
      </c>
      <c r="CW312">
        <v>0</v>
      </c>
      <c r="CX312">
        <v>7</v>
      </c>
      <c r="CY312">
        <v>7</v>
      </c>
      <c r="CZ312" t="s">
        <v>133</v>
      </c>
      <c r="DA312">
        <v>125</v>
      </c>
      <c r="DB312">
        <v>1</v>
      </c>
      <c r="DC312" t="s">
        <v>134</v>
      </c>
      <c r="DD312" t="s">
        <v>135</v>
      </c>
      <c r="DG312">
        <v>2520157</v>
      </c>
      <c r="DI312">
        <v>0</v>
      </c>
      <c r="DJ312">
        <v>0</v>
      </c>
      <c r="DK312">
        <v>1</v>
      </c>
      <c r="DL312">
        <v>0</v>
      </c>
      <c r="DM312">
        <v>0</v>
      </c>
      <c r="DN312">
        <v>0</v>
      </c>
      <c r="DO312">
        <v>0</v>
      </c>
      <c r="DP312">
        <v>0</v>
      </c>
      <c r="DQ312">
        <v>0</v>
      </c>
      <c r="DR312">
        <v>0</v>
      </c>
      <c r="DS312">
        <v>0</v>
      </c>
    </row>
    <row r="313" spans="1:123" x14ac:dyDescent="0.25">
      <c r="A313" t="str">
        <f>"04/17/2026 15:38:50.889"</f>
        <v>04/17/2026 15:38:50.889</v>
      </c>
      <c r="C313" t="str">
        <f t="shared" si="23"/>
        <v>FFDFD3C0</v>
      </c>
      <c r="D313" t="s">
        <v>124</v>
      </c>
      <c r="E313" t="str">
        <f>"03"</f>
        <v>03</v>
      </c>
      <c r="H313">
        <v>160</v>
      </c>
      <c r="I313" t="s">
        <v>125</v>
      </c>
      <c r="J313" t="s">
        <v>126</v>
      </c>
      <c r="K313">
        <v>0</v>
      </c>
      <c r="L313">
        <v>3</v>
      </c>
      <c r="M313">
        <v>0</v>
      </c>
      <c r="N313">
        <v>2</v>
      </c>
      <c r="O313">
        <v>1</v>
      </c>
      <c r="P313">
        <v>0</v>
      </c>
      <c r="Q313">
        <v>0</v>
      </c>
      <c r="R313" t="s">
        <v>127</v>
      </c>
      <c r="S313" t="str">
        <f>"15:38:50.625"</f>
        <v>15:38:50.625</v>
      </c>
      <c r="T313" t="str">
        <f>"15:38:50.425"</f>
        <v>15:38:50.425</v>
      </c>
      <c r="U313" t="str">
        <f t="shared" si="24"/>
        <v>A55E09</v>
      </c>
      <c r="V313">
        <v>0</v>
      </c>
      <c r="W313">
        <v>0</v>
      </c>
      <c r="X313">
        <v>2</v>
      </c>
      <c r="Y313">
        <v>0</v>
      </c>
      <c r="AA313">
        <v>0</v>
      </c>
      <c r="AB313">
        <v>9</v>
      </c>
      <c r="AC313">
        <v>3</v>
      </c>
      <c r="AD313">
        <v>0</v>
      </c>
      <c r="AE313">
        <v>9</v>
      </c>
      <c r="AF313" t="s">
        <v>128</v>
      </c>
      <c r="AG313">
        <v>0</v>
      </c>
      <c r="AH313">
        <v>0</v>
      </c>
      <c r="AI313">
        <v>1</v>
      </c>
      <c r="AJ313">
        <v>0</v>
      </c>
      <c r="AK313" t="s">
        <v>288</v>
      </c>
      <c r="AL313">
        <v>33.684404000000001</v>
      </c>
      <c r="AM313" t="s">
        <v>289</v>
      </c>
      <c r="AN313">
        <v>-101.207278</v>
      </c>
      <c r="AO313">
        <v>100</v>
      </c>
      <c r="AP313">
        <v>3300</v>
      </c>
      <c r="AQ313" t="s">
        <v>131</v>
      </c>
      <c r="AR313">
        <v>-12</v>
      </c>
      <c r="AS313">
        <v>86</v>
      </c>
      <c r="AT313">
        <v>-64</v>
      </c>
      <c r="BB313" t="str">
        <f t="shared" si="25"/>
        <v>1200</v>
      </c>
      <c r="BC313">
        <v>1</v>
      </c>
      <c r="BD313" t="str">
        <f t="shared" si="26"/>
        <v xml:space="preserve">N445JS  </v>
      </c>
      <c r="BE313">
        <v>7</v>
      </c>
      <c r="BG313">
        <v>0</v>
      </c>
      <c r="BH313">
        <v>0</v>
      </c>
      <c r="BI313">
        <v>0</v>
      </c>
      <c r="BJ313">
        <v>3125</v>
      </c>
      <c r="BK313">
        <v>-175</v>
      </c>
      <c r="BL313" t="s">
        <v>132</v>
      </c>
      <c r="BM313">
        <v>1</v>
      </c>
      <c r="BN313">
        <v>1</v>
      </c>
      <c r="BO313">
        <v>1</v>
      </c>
      <c r="BP313">
        <v>0</v>
      </c>
      <c r="BT313">
        <v>0</v>
      </c>
      <c r="BU313">
        <v>0</v>
      </c>
      <c r="CE313" t="str">
        <f>"15:38:50.630"</f>
        <v>15:38:50.630</v>
      </c>
      <c r="CF313">
        <v>630395201</v>
      </c>
      <c r="CS313">
        <v>0</v>
      </c>
      <c r="CT313">
        <v>2</v>
      </c>
      <c r="CU313">
        <v>0</v>
      </c>
      <c r="CV313">
        <v>2</v>
      </c>
      <c r="CW313">
        <v>0</v>
      </c>
      <c r="CX313">
        <v>7</v>
      </c>
      <c r="CY313">
        <v>7</v>
      </c>
      <c r="CZ313" t="s">
        <v>133</v>
      </c>
      <c r="DA313">
        <v>125</v>
      </c>
      <c r="DB313">
        <v>1</v>
      </c>
      <c r="DC313" t="s">
        <v>134</v>
      </c>
      <c r="DD313" t="s">
        <v>135</v>
      </c>
      <c r="DG313">
        <v>2520157</v>
      </c>
      <c r="DI313">
        <v>0</v>
      </c>
      <c r="DJ313">
        <v>0</v>
      </c>
      <c r="DK313">
        <v>1</v>
      </c>
      <c r="DL313">
        <v>0</v>
      </c>
      <c r="DM313">
        <v>0</v>
      </c>
      <c r="DN313">
        <v>0</v>
      </c>
      <c r="DO313">
        <v>0</v>
      </c>
      <c r="DP313">
        <v>0</v>
      </c>
      <c r="DQ313">
        <v>0</v>
      </c>
      <c r="DR313">
        <v>0</v>
      </c>
      <c r="DS313">
        <v>0</v>
      </c>
    </row>
    <row r="314" spans="1:123" x14ac:dyDescent="0.25">
      <c r="A314" t="str">
        <f>"04/17/2026 15:38:51.867"</f>
        <v>04/17/2026 15:38:51.867</v>
      </c>
      <c r="C314" t="str">
        <f t="shared" si="23"/>
        <v>FFDFD3C0</v>
      </c>
      <c r="D314" t="s">
        <v>139</v>
      </c>
      <c r="E314" t="str">
        <f>"28"</f>
        <v>28</v>
      </c>
      <c r="H314">
        <v>140</v>
      </c>
      <c r="I314" t="s">
        <v>140</v>
      </c>
      <c r="J314" t="s">
        <v>141</v>
      </c>
      <c r="K314">
        <v>0</v>
      </c>
      <c r="L314">
        <v>3</v>
      </c>
      <c r="M314">
        <v>0</v>
      </c>
      <c r="N314">
        <v>2</v>
      </c>
      <c r="O314">
        <v>1</v>
      </c>
      <c r="P314">
        <v>0</v>
      </c>
      <c r="Q314">
        <v>0</v>
      </c>
      <c r="R314" t="s">
        <v>127</v>
      </c>
      <c r="S314" t="str">
        <f>"15:38:51.602"</f>
        <v>15:38:51.602</v>
      </c>
      <c r="T314" t="str">
        <f>"15:38:51.402"</f>
        <v>15:38:51.402</v>
      </c>
      <c r="U314" t="str">
        <f t="shared" si="24"/>
        <v>A55E09</v>
      </c>
      <c r="V314">
        <v>0</v>
      </c>
      <c r="W314">
        <v>0</v>
      </c>
      <c r="X314">
        <v>2</v>
      </c>
      <c r="Y314">
        <v>0</v>
      </c>
      <c r="AA314">
        <v>0</v>
      </c>
      <c r="AB314">
        <v>9</v>
      </c>
      <c r="AC314">
        <v>3</v>
      </c>
      <c r="AD314">
        <v>0</v>
      </c>
      <c r="AE314">
        <v>9</v>
      </c>
      <c r="AF314" t="s">
        <v>128</v>
      </c>
      <c r="AG314">
        <v>0</v>
      </c>
      <c r="AH314">
        <v>0</v>
      </c>
      <c r="AI314">
        <v>1</v>
      </c>
      <c r="AJ314">
        <v>0</v>
      </c>
      <c r="AK314" t="s">
        <v>290</v>
      </c>
      <c r="AL314">
        <v>33.68479</v>
      </c>
      <c r="AM314" t="s">
        <v>291</v>
      </c>
      <c r="AN314">
        <v>-101.207364</v>
      </c>
      <c r="AO314">
        <v>100</v>
      </c>
      <c r="AP314">
        <v>3300</v>
      </c>
      <c r="AQ314" t="s">
        <v>131</v>
      </c>
      <c r="AR314">
        <v>-12</v>
      </c>
      <c r="AS314">
        <v>87</v>
      </c>
      <c r="AT314">
        <v>-128</v>
      </c>
      <c r="BB314" t="str">
        <f t="shared" si="25"/>
        <v>1200</v>
      </c>
      <c r="BC314">
        <v>1</v>
      </c>
      <c r="BD314" t="str">
        <f t="shared" si="26"/>
        <v xml:space="preserve">N445JS  </v>
      </c>
      <c r="BE314">
        <v>7</v>
      </c>
      <c r="BG314">
        <v>0</v>
      </c>
      <c r="BH314">
        <v>0</v>
      </c>
      <c r="BI314">
        <v>0</v>
      </c>
      <c r="BJ314">
        <v>3125</v>
      </c>
      <c r="BK314">
        <v>-175</v>
      </c>
      <c r="BL314" t="s">
        <v>132</v>
      </c>
      <c r="BM314">
        <v>1</v>
      </c>
      <c r="BN314">
        <v>1</v>
      </c>
      <c r="BO314">
        <v>1</v>
      </c>
      <c r="BP314">
        <v>0</v>
      </c>
      <c r="BT314">
        <v>0</v>
      </c>
      <c r="BU314">
        <v>0</v>
      </c>
      <c r="CE314" t="str">
        <f>"15:38:51.605"</f>
        <v>15:38:51.605</v>
      </c>
      <c r="CF314">
        <v>605299634</v>
      </c>
      <c r="CS314">
        <v>0</v>
      </c>
      <c r="CT314">
        <v>2</v>
      </c>
      <c r="CU314">
        <v>0</v>
      </c>
      <c r="CV314">
        <v>2</v>
      </c>
      <c r="CW314">
        <v>0</v>
      </c>
      <c r="CX314">
        <v>7</v>
      </c>
      <c r="CY314">
        <v>7</v>
      </c>
      <c r="CZ314" t="s">
        <v>133</v>
      </c>
      <c r="DA314">
        <v>125</v>
      </c>
      <c r="DB314">
        <v>1</v>
      </c>
      <c r="DC314" t="s">
        <v>134</v>
      </c>
      <c r="DD314" t="s">
        <v>135</v>
      </c>
      <c r="DG314">
        <v>2521160</v>
      </c>
      <c r="DI314">
        <v>0</v>
      </c>
      <c r="DJ314">
        <v>0</v>
      </c>
      <c r="DK314">
        <v>0</v>
      </c>
      <c r="DL314">
        <v>0</v>
      </c>
      <c r="DM314">
        <v>0</v>
      </c>
      <c r="DN314">
        <v>0</v>
      </c>
      <c r="DO314">
        <v>0</v>
      </c>
      <c r="DP314">
        <v>0</v>
      </c>
      <c r="DQ314">
        <v>0</v>
      </c>
      <c r="DR314">
        <v>0</v>
      </c>
      <c r="DS314">
        <v>0</v>
      </c>
    </row>
    <row r="315" spans="1:123" x14ac:dyDescent="0.25">
      <c r="A315" t="str">
        <f>"04/17/2026 15:38:51.882"</f>
        <v>04/17/2026 15:38:51.882</v>
      </c>
      <c r="C315" t="str">
        <f t="shared" si="23"/>
        <v>FFDFD3C0</v>
      </c>
      <c r="D315" t="s">
        <v>136</v>
      </c>
      <c r="E315" t="str">
        <f>"0E"</f>
        <v>0E</v>
      </c>
      <c r="F315">
        <v>1014</v>
      </c>
      <c r="G315" t="s">
        <v>125</v>
      </c>
      <c r="J315" t="s">
        <v>137</v>
      </c>
      <c r="K315">
        <v>0</v>
      </c>
      <c r="L315">
        <v>3</v>
      </c>
      <c r="M315">
        <v>0</v>
      </c>
      <c r="N315">
        <v>2</v>
      </c>
      <c r="O315">
        <v>1</v>
      </c>
      <c r="P315">
        <v>0</v>
      </c>
      <c r="Q315">
        <v>0</v>
      </c>
      <c r="R315" t="s">
        <v>127</v>
      </c>
      <c r="S315" t="str">
        <f>"15:38:51.602"</f>
        <v>15:38:51.602</v>
      </c>
      <c r="T315" t="str">
        <f>"15:38:51.402"</f>
        <v>15:38:51.402</v>
      </c>
      <c r="U315" t="str">
        <f t="shared" si="24"/>
        <v>A55E09</v>
      </c>
      <c r="V315">
        <v>0</v>
      </c>
      <c r="W315">
        <v>0</v>
      </c>
      <c r="X315">
        <v>2</v>
      </c>
      <c r="Y315">
        <v>0</v>
      </c>
      <c r="AA315">
        <v>0</v>
      </c>
      <c r="AB315">
        <v>9</v>
      </c>
      <c r="AC315">
        <v>3</v>
      </c>
      <c r="AD315">
        <v>0</v>
      </c>
      <c r="AE315">
        <v>9</v>
      </c>
      <c r="AF315" t="s">
        <v>128</v>
      </c>
      <c r="AG315">
        <v>0</v>
      </c>
      <c r="AH315">
        <v>0</v>
      </c>
      <c r="AI315">
        <v>1</v>
      </c>
      <c r="AJ315">
        <v>0</v>
      </c>
      <c r="AK315" t="s">
        <v>290</v>
      </c>
      <c r="AL315">
        <v>33.68479</v>
      </c>
      <c r="AM315" t="s">
        <v>291</v>
      </c>
      <c r="AN315">
        <v>-101.207364</v>
      </c>
      <c r="AO315">
        <v>100</v>
      </c>
      <c r="AP315">
        <v>3300</v>
      </c>
      <c r="AQ315" t="s">
        <v>131</v>
      </c>
      <c r="AR315">
        <v>-12</v>
      </c>
      <c r="AS315">
        <v>87</v>
      </c>
      <c r="AT315">
        <v>-128</v>
      </c>
      <c r="BB315" t="str">
        <f t="shared" si="25"/>
        <v>1200</v>
      </c>
      <c r="BC315">
        <v>1</v>
      </c>
      <c r="BD315" t="str">
        <f t="shared" si="26"/>
        <v xml:space="preserve">N445JS  </v>
      </c>
      <c r="BE315">
        <v>7</v>
      </c>
      <c r="BG315">
        <v>0</v>
      </c>
      <c r="BH315">
        <v>0</v>
      </c>
      <c r="BI315">
        <v>0</v>
      </c>
      <c r="BJ315">
        <v>3125</v>
      </c>
      <c r="BK315">
        <v>-175</v>
      </c>
      <c r="BL315" t="s">
        <v>132</v>
      </c>
      <c r="BM315">
        <v>1</v>
      </c>
      <c r="BN315">
        <v>1</v>
      </c>
      <c r="BO315">
        <v>1</v>
      </c>
      <c r="BP315">
        <v>0</v>
      </c>
      <c r="BT315">
        <v>0</v>
      </c>
      <c r="BU315">
        <v>0</v>
      </c>
      <c r="CE315" t="str">
        <f>"15:38:51.605"</f>
        <v>15:38:51.605</v>
      </c>
      <c r="CF315">
        <v>605299634</v>
      </c>
      <c r="CS315">
        <v>0</v>
      </c>
      <c r="CT315">
        <v>2</v>
      </c>
      <c r="CU315">
        <v>0</v>
      </c>
      <c r="CV315">
        <v>2</v>
      </c>
      <c r="CW315">
        <v>0</v>
      </c>
      <c r="CX315">
        <v>7</v>
      </c>
      <c r="CY315">
        <v>7</v>
      </c>
      <c r="CZ315" t="s">
        <v>133</v>
      </c>
      <c r="DA315">
        <v>125</v>
      </c>
      <c r="DB315">
        <v>1</v>
      </c>
      <c r="DC315" t="s">
        <v>134</v>
      </c>
      <c r="DD315" t="s">
        <v>135</v>
      </c>
      <c r="DG315">
        <v>2521160</v>
      </c>
      <c r="DI315">
        <v>0</v>
      </c>
      <c r="DJ315">
        <v>0</v>
      </c>
      <c r="DK315">
        <v>1</v>
      </c>
      <c r="DL315">
        <v>0</v>
      </c>
      <c r="DM315">
        <v>0</v>
      </c>
      <c r="DN315">
        <v>0</v>
      </c>
      <c r="DO315">
        <v>0</v>
      </c>
      <c r="DP315">
        <v>0</v>
      </c>
      <c r="DQ315">
        <v>0</v>
      </c>
      <c r="DR315">
        <v>0</v>
      </c>
      <c r="DS315">
        <v>0</v>
      </c>
    </row>
    <row r="316" spans="1:123" x14ac:dyDescent="0.25">
      <c r="A316" t="str">
        <f>"04/17/2026 15:38:51.884"</f>
        <v>04/17/2026 15:38:51.884</v>
      </c>
      <c r="C316" t="str">
        <f t="shared" si="23"/>
        <v>FFDFD3C0</v>
      </c>
      <c r="D316" t="s">
        <v>136</v>
      </c>
      <c r="E316" t="str">
        <f>"0F"</f>
        <v>0F</v>
      </c>
      <c r="F316">
        <v>1015</v>
      </c>
      <c r="G316" t="s">
        <v>138</v>
      </c>
      <c r="J316" t="s">
        <v>137</v>
      </c>
      <c r="K316">
        <v>0</v>
      </c>
      <c r="L316">
        <v>3</v>
      </c>
      <c r="M316">
        <v>0</v>
      </c>
      <c r="N316">
        <v>2</v>
      </c>
      <c r="O316">
        <v>1</v>
      </c>
      <c r="P316">
        <v>0</v>
      </c>
      <c r="Q316">
        <v>0</v>
      </c>
      <c r="R316" t="s">
        <v>127</v>
      </c>
      <c r="S316" t="str">
        <f>"15:38:51.602"</f>
        <v>15:38:51.602</v>
      </c>
      <c r="T316" t="str">
        <f>"15:38:51.402"</f>
        <v>15:38:51.402</v>
      </c>
      <c r="U316" t="str">
        <f t="shared" si="24"/>
        <v>A55E09</v>
      </c>
      <c r="V316">
        <v>0</v>
      </c>
      <c r="W316">
        <v>0</v>
      </c>
      <c r="X316">
        <v>2</v>
      </c>
      <c r="Y316">
        <v>0</v>
      </c>
      <c r="AA316">
        <v>0</v>
      </c>
      <c r="AB316">
        <v>9</v>
      </c>
      <c r="AC316">
        <v>3</v>
      </c>
      <c r="AD316">
        <v>0</v>
      </c>
      <c r="AE316">
        <v>9</v>
      </c>
      <c r="AF316" t="s">
        <v>128</v>
      </c>
      <c r="AG316">
        <v>0</v>
      </c>
      <c r="AH316">
        <v>0</v>
      </c>
      <c r="AI316">
        <v>1</v>
      </c>
      <c r="AJ316">
        <v>0</v>
      </c>
      <c r="AK316" t="s">
        <v>290</v>
      </c>
      <c r="AL316">
        <v>33.68479</v>
      </c>
      <c r="AM316" t="s">
        <v>291</v>
      </c>
      <c r="AN316">
        <v>-101.207364</v>
      </c>
      <c r="AO316">
        <v>100</v>
      </c>
      <c r="AP316">
        <v>3300</v>
      </c>
      <c r="AQ316" t="s">
        <v>131</v>
      </c>
      <c r="AR316">
        <v>-12</v>
      </c>
      <c r="AS316">
        <v>87</v>
      </c>
      <c r="AT316">
        <v>-128</v>
      </c>
      <c r="BB316" t="str">
        <f t="shared" si="25"/>
        <v>1200</v>
      </c>
      <c r="BC316">
        <v>1</v>
      </c>
      <c r="BD316" t="str">
        <f t="shared" si="26"/>
        <v xml:space="preserve">N445JS  </v>
      </c>
      <c r="BE316">
        <v>7</v>
      </c>
      <c r="BG316">
        <v>0</v>
      </c>
      <c r="BH316">
        <v>0</v>
      </c>
      <c r="BI316">
        <v>0</v>
      </c>
      <c r="BJ316">
        <v>3125</v>
      </c>
      <c r="BK316">
        <v>-175</v>
      </c>
      <c r="BL316" t="s">
        <v>132</v>
      </c>
      <c r="BM316">
        <v>1</v>
      </c>
      <c r="BN316">
        <v>1</v>
      </c>
      <c r="BO316">
        <v>1</v>
      </c>
      <c r="BP316">
        <v>0</v>
      </c>
      <c r="BT316">
        <v>0</v>
      </c>
      <c r="BU316">
        <v>0</v>
      </c>
      <c r="CE316" t="str">
        <f>"15:38:51.605"</f>
        <v>15:38:51.605</v>
      </c>
      <c r="CF316">
        <v>605299634</v>
      </c>
      <c r="CS316">
        <v>0</v>
      </c>
      <c r="CT316">
        <v>2</v>
      </c>
      <c r="CU316">
        <v>0</v>
      </c>
      <c r="CV316">
        <v>2</v>
      </c>
      <c r="CW316">
        <v>0</v>
      </c>
      <c r="CX316">
        <v>7</v>
      </c>
      <c r="CY316">
        <v>7</v>
      </c>
      <c r="CZ316" t="s">
        <v>133</v>
      </c>
      <c r="DA316">
        <v>125</v>
      </c>
      <c r="DB316">
        <v>1</v>
      </c>
      <c r="DC316" t="s">
        <v>134</v>
      </c>
      <c r="DD316" t="s">
        <v>135</v>
      </c>
      <c r="DG316">
        <v>2521160</v>
      </c>
      <c r="DI316">
        <v>0</v>
      </c>
      <c r="DJ316">
        <v>0</v>
      </c>
      <c r="DK316">
        <v>1</v>
      </c>
      <c r="DL316">
        <v>0</v>
      </c>
      <c r="DM316">
        <v>0</v>
      </c>
      <c r="DN316">
        <v>0</v>
      </c>
      <c r="DO316">
        <v>0</v>
      </c>
      <c r="DP316">
        <v>0</v>
      </c>
      <c r="DQ316">
        <v>0</v>
      </c>
      <c r="DR316">
        <v>0</v>
      </c>
      <c r="DS316">
        <v>0</v>
      </c>
    </row>
    <row r="317" spans="1:123" x14ac:dyDescent="0.25">
      <c r="A317" t="str">
        <f>"04/17/2026 15:38:51.891"</f>
        <v>04/17/2026 15:38:51.891</v>
      </c>
      <c r="C317" t="str">
        <f t="shared" si="23"/>
        <v>FFDFD3C0</v>
      </c>
      <c r="D317" t="s">
        <v>124</v>
      </c>
      <c r="E317" t="str">
        <f>"03"</f>
        <v>03</v>
      </c>
      <c r="H317">
        <v>160</v>
      </c>
      <c r="I317" t="s">
        <v>125</v>
      </c>
      <c r="J317" t="s">
        <v>126</v>
      </c>
      <c r="K317">
        <v>0</v>
      </c>
      <c r="L317">
        <v>3</v>
      </c>
      <c r="M317">
        <v>0</v>
      </c>
      <c r="N317">
        <v>2</v>
      </c>
      <c r="O317">
        <v>1</v>
      </c>
      <c r="P317">
        <v>0</v>
      </c>
      <c r="Q317">
        <v>0</v>
      </c>
      <c r="R317" t="s">
        <v>127</v>
      </c>
      <c r="S317" t="str">
        <f>"15:38:51.602"</f>
        <v>15:38:51.602</v>
      </c>
      <c r="T317" t="str">
        <f>"15:38:51.402"</f>
        <v>15:38:51.402</v>
      </c>
      <c r="U317" t="str">
        <f t="shared" si="24"/>
        <v>A55E09</v>
      </c>
      <c r="V317">
        <v>0</v>
      </c>
      <c r="W317">
        <v>0</v>
      </c>
      <c r="X317">
        <v>2</v>
      </c>
      <c r="Y317">
        <v>0</v>
      </c>
      <c r="AA317">
        <v>0</v>
      </c>
      <c r="AB317">
        <v>9</v>
      </c>
      <c r="AC317">
        <v>3</v>
      </c>
      <c r="AD317">
        <v>0</v>
      </c>
      <c r="AE317">
        <v>9</v>
      </c>
      <c r="AF317" t="s">
        <v>128</v>
      </c>
      <c r="AG317">
        <v>0</v>
      </c>
      <c r="AH317">
        <v>0</v>
      </c>
      <c r="AI317">
        <v>1</v>
      </c>
      <c r="AJ317">
        <v>0</v>
      </c>
      <c r="AK317" t="s">
        <v>290</v>
      </c>
      <c r="AL317">
        <v>33.68479</v>
      </c>
      <c r="AM317" t="s">
        <v>291</v>
      </c>
      <c r="AN317">
        <v>-101.207364</v>
      </c>
      <c r="AO317">
        <v>100</v>
      </c>
      <c r="AP317">
        <v>3300</v>
      </c>
      <c r="AQ317" t="s">
        <v>131</v>
      </c>
      <c r="AR317">
        <v>-12</v>
      </c>
      <c r="AS317">
        <v>87</v>
      </c>
      <c r="AT317">
        <v>-128</v>
      </c>
      <c r="BB317" t="str">
        <f t="shared" si="25"/>
        <v>1200</v>
      </c>
      <c r="BC317">
        <v>1</v>
      </c>
      <c r="BD317" t="str">
        <f t="shared" si="26"/>
        <v xml:space="preserve">N445JS  </v>
      </c>
      <c r="BE317">
        <v>7</v>
      </c>
      <c r="BG317">
        <v>0</v>
      </c>
      <c r="BH317">
        <v>0</v>
      </c>
      <c r="BI317">
        <v>0</v>
      </c>
      <c r="BJ317">
        <v>3125</v>
      </c>
      <c r="BK317">
        <v>-175</v>
      </c>
      <c r="BL317" t="s">
        <v>132</v>
      </c>
      <c r="BM317">
        <v>1</v>
      </c>
      <c r="BN317">
        <v>1</v>
      </c>
      <c r="BO317">
        <v>1</v>
      </c>
      <c r="BP317">
        <v>0</v>
      </c>
      <c r="BT317">
        <v>0</v>
      </c>
      <c r="BU317">
        <v>0</v>
      </c>
      <c r="CE317" t="str">
        <f>"15:38:51.605"</f>
        <v>15:38:51.605</v>
      </c>
      <c r="CF317">
        <v>605299634</v>
      </c>
      <c r="CS317">
        <v>0</v>
      </c>
      <c r="CT317">
        <v>2</v>
      </c>
      <c r="CU317">
        <v>0</v>
      </c>
      <c r="CV317">
        <v>2</v>
      </c>
      <c r="CW317">
        <v>0</v>
      </c>
      <c r="CX317">
        <v>7</v>
      </c>
      <c r="CY317">
        <v>7</v>
      </c>
      <c r="CZ317" t="s">
        <v>133</v>
      </c>
      <c r="DA317">
        <v>125</v>
      </c>
      <c r="DB317">
        <v>1</v>
      </c>
      <c r="DC317" t="s">
        <v>134</v>
      </c>
      <c r="DD317" t="s">
        <v>135</v>
      </c>
      <c r="DG317">
        <v>2521160</v>
      </c>
      <c r="DI317">
        <v>0</v>
      </c>
      <c r="DJ317">
        <v>0</v>
      </c>
      <c r="DK317">
        <v>1</v>
      </c>
      <c r="DL317">
        <v>0</v>
      </c>
      <c r="DM317">
        <v>0</v>
      </c>
      <c r="DN317">
        <v>0</v>
      </c>
      <c r="DO317">
        <v>0</v>
      </c>
      <c r="DP317">
        <v>0</v>
      </c>
      <c r="DQ317">
        <v>0</v>
      </c>
      <c r="DR317">
        <v>0</v>
      </c>
      <c r="DS317">
        <v>0</v>
      </c>
    </row>
    <row r="318" spans="1:123" x14ac:dyDescent="0.25">
      <c r="A318" t="str">
        <f>"04/17/2026 15:38:52.835"</f>
        <v>04/17/2026 15:38:52.835</v>
      </c>
      <c r="C318" t="str">
        <f t="shared" si="23"/>
        <v>FFDFD3C0</v>
      </c>
      <c r="D318" t="s">
        <v>136</v>
      </c>
      <c r="E318" t="str">
        <f>"0F"</f>
        <v>0F</v>
      </c>
      <c r="F318">
        <v>1015</v>
      </c>
      <c r="G318" t="s">
        <v>138</v>
      </c>
      <c r="J318" t="s">
        <v>137</v>
      </c>
      <c r="K318">
        <v>0</v>
      </c>
      <c r="L318">
        <v>3</v>
      </c>
      <c r="M318">
        <v>0</v>
      </c>
      <c r="N318">
        <v>2</v>
      </c>
      <c r="O318">
        <v>1</v>
      </c>
      <c r="P318">
        <v>0</v>
      </c>
      <c r="Q318">
        <v>0</v>
      </c>
      <c r="R318" t="s">
        <v>127</v>
      </c>
      <c r="S318" t="str">
        <f>"15:38:52.578"</f>
        <v>15:38:52.578</v>
      </c>
      <c r="T318" t="str">
        <f>"15:38:52.378"</f>
        <v>15:38:52.378</v>
      </c>
      <c r="U318" t="str">
        <f t="shared" si="24"/>
        <v>A55E09</v>
      </c>
      <c r="V318">
        <v>0</v>
      </c>
      <c r="W318">
        <v>0</v>
      </c>
      <c r="X318">
        <v>2</v>
      </c>
      <c r="Y318">
        <v>0</v>
      </c>
      <c r="AA318">
        <v>0</v>
      </c>
      <c r="AB318">
        <v>9</v>
      </c>
      <c r="AC318">
        <v>3</v>
      </c>
      <c r="AD318">
        <v>0</v>
      </c>
      <c r="AE318">
        <v>9</v>
      </c>
      <c r="AF318" t="s">
        <v>128</v>
      </c>
      <c r="AG318">
        <v>0</v>
      </c>
      <c r="AH318">
        <v>0</v>
      </c>
      <c r="AI318">
        <v>1</v>
      </c>
      <c r="AJ318">
        <v>0</v>
      </c>
      <c r="AK318" t="s">
        <v>292</v>
      </c>
      <c r="AL318">
        <v>33.685175999999998</v>
      </c>
      <c r="AM318" t="s">
        <v>293</v>
      </c>
      <c r="AN318">
        <v>-101.207407</v>
      </c>
      <c r="AO318">
        <v>100</v>
      </c>
      <c r="AP318">
        <v>3300</v>
      </c>
      <c r="AQ318" t="s">
        <v>131</v>
      </c>
      <c r="AR318">
        <v>-12</v>
      </c>
      <c r="AS318">
        <v>87</v>
      </c>
      <c r="AT318">
        <v>-192</v>
      </c>
      <c r="BB318" t="str">
        <f t="shared" si="25"/>
        <v>1200</v>
      </c>
      <c r="BC318">
        <v>1</v>
      </c>
      <c r="BD318" t="str">
        <f t="shared" si="26"/>
        <v xml:space="preserve">N445JS  </v>
      </c>
      <c r="BE318">
        <v>7</v>
      </c>
      <c r="BG318">
        <v>0</v>
      </c>
      <c r="BH318">
        <v>0</v>
      </c>
      <c r="BI318">
        <v>0</v>
      </c>
      <c r="BJ318">
        <v>3125</v>
      </c>
      <c r="BK318">
        <v>-175</v>
      </c>
      <c r="BL318" t="s">
        <v>132</v>
      </c>
      <c r="BM318">
        <v>1</v>
      </c>
      <c r="BN318">
        <v>1</v>
      </c>
      <c r="BO318">
        <v>1</v>
      </c>
      <c r="BP318">
        <v>0</v>
      </c>
      <c r="BT318">
        <v>0</v>
      </c>
      <c r="BU318">
        <v>0</v>
      </c>
      <c r="CE318" t="str">
        <f>"15:38:52.580"</f>
        <v>15:38:52.580</v>
      </c>
      <c r="CF318">
        <v>580204064</v>
      </c>
      <c r="CS318">
        <v>0</v>
      </c>
      <c r="CT318">
        <v>2</v>
      </c>
      <c r="CU318">
        <v>0</v>
      </c>
      <c r="CV318">
        <v>2</v>
      </c>
      <c r="CW318">
        <v>0</v>
      </c>
      <c r="CX318">
        <v>7</v>
      </c>
      <c r="CY318">
        <v>7</v>
      </c>
      <c r="CZ318" t="s">
        <v>133</v>
      </c>
      <c r="DA318">
        <v>125</v>
      </c>
      <c r="DB318">
        <v>1</v>
      </c>
      <c r="DC318" t="s">
        <v>134</v>
      </c>
      <c r="DD318" t="s">
        <v>135</v>
      </c>
      <c r="DG318">
        <v>2522070</v>
      </c>
      <c r="DI318">
        <v>0</v>
      </c>
      <c r="DJ318">
        <v>0</v>
      </c>
      <c r="DK318">
        <v>0</v>
      </c>
      <c r="DL318">
        <v>0</v>
      </c>
      <c r="DM318">
        <v>0</v>
      </c>
      <c r="DN318">
        <v>0</v>
      </c>
      <c r="DO318">
        <v>0</v>
      </c>
      <c r="DP318">
        <v>0</v>
      </c>
      <c r="DQ318">
        <v>0</v>
      </c>
      <c r="DR318">
        <v>0</v>
      </c>
      <c r="DS318">
        <v>0</v>
      </c>
    </row>
    <row r="319" spans="1:123" x14ac:dyDescent="0.25">
      <c r="A319" t="str">
        <f>"04/17/2026 15:38:52.834"</f>
        <v>04/17/2026 15:38:52.834</v>
      </c>
      <c r="C319" t="str">
        <f t="shared" si="23"/>
        <v>FFDFD3C0</v>
      </c>
      <c r="D319" t="s">
        <v>136</v>
      </c>
      <c r="E319" t="str">
        <f>"0E"</f>
        <v>0E</v>
      </c>
      <c r="F319">
        <v>1014</v>
      </c>
      <c r="G319" t="s">
        <v>125</v>
      </c>
      <c r="J319" t="s">
        <v>137</v>
      </c>
      <c r="K319">
        <v>0</v>
      </c>
      <c r="L319">
        <v>3</v>
      </c>
      <c r="M319">
        <v>0</v>
      </c>
      <c r="N319">
        <v>2</v>
      </c>
      <c r="O319">
        <v>1</v>
      </c>
      <c r="P319">
        <v>0</v>
      </c>
      <c r="Q319">
        <v>0</v>
      </c>
      <c r="R319" t="s">
        <v>127</v>
      </c>
      <c r="S319" t="str">
        <f>"15:38:52.578"</f>
        <v>15:38:52.578</v>
      </c>
      <c r="T319" t="str">
        <f>"15:38:52.378"</f>
        <v>15:38:52.378</v>
      </c>
      <c r="U319" t="str">
        <f t="shared" si="24"/>
        <v>A55E09</v>
      </c>
      <c r="V319">
        <v>0</v>
      </c>
      <c r="W319">
        <v>0</v>
      </c>
      <c r="X319">
        <v>2</v>
      </c>
      <c r="Y319">
        <v>0</v>
      </c>
      <c r="AA319">
        <v>0</v>
      </c>
      <c r="AB319">
        <v>9</v>
      </c>
      <c r="AC319">
        <v>3</v>
      </c>
      <c r="AD319">
        <v>0</v>
      </c>
      <c r="AE319">
        <v>9</v>
      </c>
      <c r="AF319" t="s">
        <v>128</v>
      </c>
      <c r="AG319">
        <v>0</v>
      </c>
      <c r="AH319">
        <v>0</v>
      </c>
      <c r="AI319">
        <v>1</v>
      </c>
      <c r="AJ319">
        <v>0</v>
      </c>
      <c r="AK319" t="s">
        <v>292</v>
      </c>
      <c r="AL319">
        <v>33.685175999999998</v>
      </c>
      <c r="AM319" t="s">
        <v>293</v>
      </c>
      <c r="AN319">
        <v>-101.207407</v>
      </c>
      <c r="AO319">
        <v>100</v>
      </c>
      <c r="AP319">
        <v>3300</v>
      </c>
      <c r="AQ319" t="s">
        <v>131</v>
      </c>
      <c r="AR319">
        <v>-12</v>
      </c>
      <c r="AS319">
        <v>87</v>
      </c>
      <c r="AT319">
        <v>-192</v>
      </c>
      <c r="BB319" t="str">
        <f t="shared" si="25"/>
        <v>1200</v>
      </c>
      <c r="BC319">
        <v>1</v>
      </c>
      <c r="BD319" t="str">
        <f t="shared" si="26"/>
        <v xml:space="preserve">N445JS  </v>
      </c>
      <c r="BE319">
        <v>7</v>
      </c>
      <c r="BG319">
        <v>0</v>
      </c>
      <c r="BH319">
        <v>0</v>
      </c>
      <c r="BI319">
        <v>0</v>
      </c>
      <c r="BJ319">
        <v>3125</v>
      </c>
      <c r="BK319">
        <v>-175</v>
      </c>
      <c r="BL319" t="s">
        <v>132</v>
      </c>
      <c r="BM319">
        <v>1</v>
      </c>
      <c r="BN319">
        <v>1</v>
      </c>
      <c r="BO319">
        <v>1</v>
      </c>
      <c r="BP319">
        <v>0</v>
      </c>
      <c r="BT319">
        <v>0</v>
      </c>
      <c r="BU319">
        <v>0</v>
      </c>
      <c r="CE319" t="str">
        <f>"15:38:52.580"</f>
        <v>15:38:52.580</v>
      </c>
      <c r="CF319">
        <v>580204064</v>
      </c>
      <c r="CS319">
        <v>0</v>
      </c>
      <c r="CT319">
        <v>2</v>
      </c>
      <c r="CU319">
        <v>0</v>
      </c>
      <c r="CV319">
        <v>2</v>
      </c>
      <c r="CW319">
        <v>0</v>
      </c>
      <c r="CX319">
        <v>7</v>
      </c>
      <c r="CY319">
        <v>7</v>
      </c>
      <c r="CZ319" t="s">
        <v>133</v>
      </c>
      <c r="DA319">
        <v>125</v>
      </c>
      <c r="DB319">
        <v>1</v>
      </c>
      <c r="DC319" t="s">
        <v>134</v>
      </c>
      <c r="DD319" t="s">
        <v>135</v>
      </c>
      <c r="DG319">
        <v>2522070</v>
      </c>
      <c r="DI319">
        <v>0</v>
      </c>
      <c r="DJ319">
        <v>0</v>
      </c>
      <c r="DK319">
        <v>1</v>
      </c>
      <c r="DL319">
        <v>0</v>
      </c>
      <c r="DM319">
        <v>0</v>
      </c>
      <c r="DN319">
        <v>0</v>
      </c>
      <c r="DO319">
        <v>0</v>
      </c>
      <c r="DP319">
        <v>0</v>
      </c>
      <c r="DQ319">
        <v>0</v>
      </c>
      <c r="DR319">
        <v>0</v>
      </c>
      <c r="DS319">
        <v>0</v>
      </c>
    </row>
    <row r="320" spans="1:123" x14ac:dyDescent="0.25">
      <c r="A320" t="str">
        <f>"04/17/2026 15:38:52.843"</f>
        <v>04/17/2026 15:38:52.843</v>
      </c>
      <c r="C320" t="str">
        <f t="shared" si="23"/>
        <v>FFDFD3C0</v>
      </c>
      <c r="D320" t="s">
        <v>124</v>
      </c>
      <c r="E320" t="str">
        <f>"03"</f>
        <v>03</v>
      </c>
      <c r="H320">
        <v>160</v>
      </c>
      <c r="I320" t="s">
        <v>125</v>
      </c>
      <c r="J320" t="s">
        <v>126</v>
      </c>
      <c r="K320">
        <v>0</v>
      </c>
      <c r="L320">
        <v>3</v>
      </c>
      <c r="M320">
        <v>0</v>
      </c>
      <c r="N320">
        <v>2</v>
      </c>
      <c r="O320">
        <v>1</v>
      </c>
      <c r="P320">
        <v>0</v>
      </c>
      <c r="Q320">
        <v>0</v>
      </c>
      <c r="R320" t="s">
        <v>127</v>
      </c>
      <c r="S320" t="str">
        <f>"15:38:52.578"</f>
        <v>15:38:52.578</v>
      </c>
      <c r="T320" t="str">
        <f>"15:38:52.378"</f>
        <v>15:38:52.378</v>
      </c>
      <c r="U320" t="str">
        <f t="shared" si="24"/>
        <v>A55E09</v>
      </c>
      <c r="V320">
        <v>0</v>
      </c>
      <c r="W320">
        <v>0</v>
      </c>
      <c r="X320">
        <v>2</v>
      </c>
      <c r="Y320">
        <v>0</v>
      </c>
      <c r="AA320">
        <v>0</v>
      </c>
      <c r="AB320">
        <v>9</v>
      </c>
      <c r="AC320">
        <v>3</v>
      </c>
      <c r="AD320">
        <v>0</v>
      </c>
      <c r="AE320">
        <v>9</v>
      </c>
      <c r="AF320" t="s">
        <v>128</v>
      </c>
      <c r="AG320">
        <v>0</v>
      </c>
      <c r="AH320">
        <v>0</v>
      </c>
      <c r="AI320">
        <v>1</v>
      </c>
      <c r="AJ320">
        <v>0</v>
      </c>
      <c r="AK320" t="s">
        <v>292</v>
      </c>
      <c r="AL320">
        <v>33.685175999999998</v>
      </c>
      <c r="AM320" t="s">
        <v>293</v>
      </c>
      <c r="AN320">
        <v>-101.207407</v>
      </c>
      <c r="AO320">
        <v>100</v>
      </c>
      <c r="AP320">
        <v>3300</v>
      </c>
      <c r="AQ320" t="s">
        <v>131</v>
      </c>
      <c r="AR320">
        <v>-12</v>
      </c>
      <c r="AS320">
        <v>87</v>
      </c>
      <c r="AT320">
        <v>-192</v>
      </c>
      <c r="BB320" t="str">
        <f t="shared" si="25"/>
        <v>1200</v>
      </c>
      <c r="BC320">
        <v>1</v>
      </c>
      <c r="BD320" t="str">
        <f t="shared" si="26"/>
        <v xml:space="preserve">N445JS  </v>
      </c>
      <c r="BE320">
        <v>7</v>
      </c>
      <c r="BG320">
        <v>0</v>
      </c>
      <c r="BH320">
        <v>0</v>
      </c>
      <c r="BI320">
        <v>0</v>
      </c>
      <c r="BJ320">
        <v>3125</v>
      </c>
      <c r="BK320">
        <v>-175</v>
      </c>
      <c r="BL320" t="s">
        <v>132</v>
      </c>
      <c r="BM320">
        <v>1</v>
      </c>
      <c r="BN320">
        <v>1</v>
      </c>
      <c r="BO320">
        <v>1</v>
      </c>
      <c r="BP320">
        <v>0</v>
      </c>
      <c r="BT320">
        <v>0</v>
      </c>
      <c r="BU320">
        <v>0</v>
      </c>
      <c r="CE320" t="str">
        <f>"15:38:52.580"</f>
        <v>15:38:52.580</v>
      </c>
      <c r="CF320">
        <v>580204064</v>
      </c>
      <c r="CS320">
        <v>0</v>
      </c>
      <c r="CT320">
        <v>2</v>
      </c>
      <c r="CU320">
        <v>0</v>
      </c>
      <c r="CV320">
        <v>2</v>
      </c>
      <c r="CW320">
        <v>0</v>
      </c>
      <c r="CX320">
        <v>7</v>
      </c>
      <c r="CY320">
        <v>7</v>
      </c>
      <c r="CZ320" t="s">
        <v>133</v>
      </c>
      <c r="DA320">
        <v>125</v>
      </c>
      <c r="DB320">
        <v>1</v>
      </c>
      <c r="DC320" t="s">
        <v>134</v>
      </c>
      <c r="DD320" t="s">
        <v>135</v>
      </c>
      <c r="DG320">
        <v>2522070</v>
      </c>
      <c r="DI320">
        <v>0</v>
      </c>
      <c r="DJ320">
        <v>0</v>
      </c>
      <c r="DK320">
        <v>1</v>
      </c>
      <c r="DL320">
        <v>0</v>
      </c>
      <c r="DM320">
        <v>0</v>
      </c>
      <c r="DN320">
        <v>0</v>
      </c>
      <c r="DO320">
        <v>0</v>
      </c>
      <c r="DP320">
        <v>0</v>
      </c>
      <c r="DQ320">
        <v>0</v>
      </c>
      <c r="DR320">
        <v>0</v>
      </c>
      <c r="DS320">
        <v>0</v>
      </c>
    </row>
    <row r="321" spans="1:123" x14ac:dyDescent="0.25">
      <c r="A321" t="str">
        <f>"04/17/2026 15:38:52.869"</f>
        <v>04/17/2026 15:38:52.869</v>
      </c>
      <c r="C321" t="str">
        <f t="shared" si="23"/>
        <v>FFDFD3C0</v>
      </c>
      <c r="D321" t="s">
        <v>139</v>
      </c>
      <c r="E321" t="str">
        <f>"28"</f>
        <v>28</v>
      </c>
      <c r="H321">
        <v>140</v>
      </c>
      <c r="I321" t="s">
        <v>140</v>
      </c>
      <c r="J321" t="s">
        <v>141</v>
      </c>
      <c r="K321">
        <v>0</v>
      </c>
      <c r="L321">
        <v>3</v>
      </c>
      <c r="M321">
        <v>0</v>
      </c>
      <c r="N321">
        <v>2</v>
      </c>
      <c r="O321">
        <v>1</v>
      </c>
      <c r="P321">
        <v>0</v>
      </c>
      <c r="Q321">
        <v>0</v>
      </c>
      <c r="R321" t="s">
        <v>127</v>
      </c>
      <c r="S321" t="str">
        <f>"15:38:52.578"</f>
        <v>15:38:52.578</v>
      </c>
      <c r="T321" t="str">
        <f>"15:38:52.378"</f>
        <v>15:38:52.378</v>
      </c>
      <c r="U321" t="str">
        <f t="shared" si="24"/>
        <v>A55E09</v>
      </c>
      <c r="V321">
        <v>0</v>
      </c>
      <c r="W321">
        <v>0</v>
      </c>
      <c r="X321">
        <v>2</v>
      </c>
      <c r="Y321">
        <v>0</v>
      </c>
      <c r="AA321">
        <v>0</v>
      </c>
      <c r="AB321">
        <v>9</v>
      </c>
      <c r="AC321">
        <v>3</v>
      </c>
      <c r="AD321">
        <v>0</v>
      </c>
      <c r="AE321">
        <v>9</v>
      </c>
      <c r="AF321" t="s">
        <v>128</v>
      </c>
      <c r="AG321">
        <v>0</v>
      </c>
      <c r="AH321">
        <v>0</v>
      </c>
      <c r="AI321">
        <v>1</v>
      </c>
      <c r="AJ321">
        <v>0</v>
      </c>
      <c r="AK321" t="s">
        <v>292</v>
      </c>
      <c r="AL321">
        <v>33.685175999999998</v>
      </c>
      <c r="AM321" t="s">
        <v>293</v>
      </c>
      <c r="AN321">
        <v>-101.207407</v>
      </c>
      <c r="AO321">
        <v>100</v>
      </c>
      <c r="AP321">
        <v>3300</v>
      </c>
      <c r="AQ321" t="s">
        <v>131</v>
      </c>
      <c r="AR321">
        <v>-12</v>
      </c>
      <c r="AS321">
        <v>87</v>
      </c>
      <c r="AT321">
        <v>-192</v>
      </c>
      <c r="BB321" t="str">
        <f t="shared" si="25"/>
        <v>1200</v>
      </c>
      <c r="BC321">
        <v>1</v>
      </c>
      <c r="BD321" t="str">
        <f t="shared" si="26"/>
        <v xml:space="preserve">N445JS  </v>
      </c>
      <c r="BE321">
        <v>7</v>
      </c>
      <c r="BG321">
        <v>0</v>
      </c>
      <c r="BH321">
        <v>0</v>
      </c>
      <c r="BI321">
        <v>0</v>
      </c>
      <c r="BJ321">
        <v>3125</v>
      </c>
      <c r="BK321">
        <v>-175</v>
      </c>
      <c r="BL321" t="s">
        <v>132</v>
      </c>
      <c r="BM321">
        <v>1</v>
      </c>
      <c r="BN321">
        <v>1</v>
      </c>
      <c r="BO321">
        <v>1</v>
      </c>
      <c r="BP321">
        <v>0</v>
      </c>
      <c r="BT321">
        <v>0</v>
      </c>
      <c r="BU321">
        <v>0</v>
      </c>
      <c r="CE321" t="str">
        <f>"15:38:52.580"</f>
        <v>15:38:52.580</v>
      </c>
      <c r="CF321">
        <v>580204064</v>
      </c>
      <c r="CS321">
        <v>0</v>
      </c>
      <c r="CT321">
        <v>2</v>
      </c>
      <c r="CU321">
        <v>0</v>
      </c>
      <c r="CV321">
        <v>2</v>
      </c>
      <c r="CW321">
        <v>0</v>
      </c>
      <c r="CX321">
        <v>7</v>
      </c>
      <c r="CY321">
        <v>7</v>
      </c>
      <c r="CZ321" t="s">
        <v>133</v>
      </c>
      <c r="DA321">
        <v>125</v>
      </c>
      <c r="DB321">
        <v>1</v>
      </c>
      <c r="DC321" t="s">
        <v>134</v>
      </c>
      <c r="DD321" t="s">
        <v>135</v>
      </c>
      <c r="DG321">
        <v>2522070</v>
      </c>
      <c r="DI321">
        <v>0</v>
      </c>
      <c r="DJ321">
        <v>0</v>
      </c>
      <c r="DK321">
        <v>1</v>
      </c>
      <c r="DL321">
        <v>0</v>
      </c>
      <c r="DM321">
        <v>0</v>
      </c>
      <c r="DN321">
        <v>0</v>
      </c>
      <c r="DO321">
        <v>0</v>
      </c>
      <c r="DP321">
        <v>0</v>
      </c>
      <c r="DQ321">
        <v>0</v>
      </c>
      <c r="DR321">
        <v>0</v>
      </c>
      <c r="DS321">
        <v>0</v>
      </c>
    </row>
    <row r="322" spans="1:123" x14ac:dyDescent="0.25">
      <c r="A322" t="str">
        <f>"04/17/2026 15:38:53.735"</f>
        <v>04/17/2026 15:38:53.735</v>
      </c>
      <c r="C322" t="str">
        <f t="shared" ref="C322:C385" si="28">"FFDFD3C0"</f>
        <v>FFDFD3C0</v>
      </c>
      <c r="D322" t="s">
        <v>136</v>
      </c>
      <c r="E322" t="str">
        <f>"0E"</f>
        <v>0E</v>
      </c>
      <c r="F322">
        <v>1014</v>
      </c>
      <c r="G322" t="s">
        <v>125</v>
      </c>
      <c r="J322" t="s">
        <v>137</v>
      </c>
      <c r="K322">
        <v>0</v>
      </c>
      <c r="L322">
        <v>3</v>
      </c>
      <c r="M322">
        <v>0</v>
      </c>
      <c r="N322">
        <v>2</v>
      </c>
      <c r="O322">
        <v>1</v>
      </c>
      <c r="P322">
        <v>0</v>
      </c>
      <c r="Q322">
        <v>0</v>
      </c>
      <c r="R322" t="s">
        <v>127</v>
      </c>
      <c r="S322" t="str">
        <f>"15:38:53.477"</f>
        <v>15:38:53.477</v>
      </c>
      <c r="T322" t="str">
        <f>"15:38:53.277"</f>
        <v>15:38:53.277</v>
      </c>
      <c r="U322" t="str">
        <f t="shared" ref="U322:U385" si="29">"A55E09"</f>
        <v>A55E09</v>
      </c>
      <c r="V322">
        <v>0</v>
      </c>
      <c r="W322">
        <v>0</v>
      </c>
      <c r="X322">
        <v>2</v>
      </c>
      <c r="Y322">
        <v>0</v>
      </c>
      <c r="AA322">
        <v>0</v>
      </c>
      <c r="AB322">
        <v>9</v>
      </c>
      <c r="AC322">
        <v>3</v>
      </c>
      <c r="AD322">
        <v>0</v>
      </c>
      <c r="AE322">
        <v>9</v>
      </c>
      <c r="AF322" t="s">
        <v>128</v>
      </c>
      <c r="AG322">
        <v>0</v>
      </c>
      <c r="AH322">
        <v>0</v>
      </c>
      <c r="AI322">
        <v>1</v>
      </c>
      <c r="AJ322">
        <v>0</v>
      </c>
      <c r="AK322" t="s">
        <v>294</v>
      </c>
      <c r="AL322">
        <v>33.685541000000001</v>
      </c>
      <c r="AM322" t="s">
        <v>295</v>
      </c>
      <c r="AN322">
        <v>-101.207514</v>
      </c>
      <c r="AO322">
        <v>100</v>
      </c>
      <c r="AP322">
        <v>3300</v>
      </c>
      <c r="AQ322" t="s">
        <v>131</v>
      </c>
      <c r="AR322">
        <v>-13</v>
      </c>
      <c r="AS322">
        <v>87</v>
      </c>
      <c r="AT322">
        <v>-192</v>
      </c>
      <c r="BB322" t="str">
        <f t="shared" ref="BB322:BB385" si="30">"1200"</f>
        <v>1200</v>
      </c>
      <c r="BC322">
        <v>1</v>
      </c>
      <c r="BD322" t="str">
        <f t="shared" ref="BD322:BD385" si="31">"N445JS  "</f>
        <v xml:space="preserve">N445JS  </v>
      </c>
      <c r="BE322">
        <v>7</v>
      </c>
      <c r="BG322">
        <v>0</v>
      </c>
      <c r="BH322">
        <v>0</v>
      </c>
      <c r="BI322">
        <v>0</v>
      </c>
      <c r="BJ322">
        <v>3100</v>
      </c>
      <c r="BK322">
        <v>-200</v>
      </c>
      <c r="BL322" t="s">
        <v>132</v>
      </c>
      <c r="BM322">
        <v>1</v>
      </c>
      <c r="BN322">
        <v>1</v>
      </c>
      <c r="BO322">
        <v>1</v>
      </c>
      <c r="BP322">
        <v>0</v>
      </c>
      <c r="BT322">
        <v>0</v>
      </c>
      <c r="BU322">
        <v>0</v>
      </c>
      <c r="CE322" t="str">
        <f>"15:38:53.480"</f>
        <v>15:38:53.480</v>
      </c>
      <c r="CF322">
        <v>480115852</v>
      </c>
      <c r="CS322">
        <v>0</v>
      </c>
      <c r="CT322">
        <v>2</v>
      </c>
      <c r="CU322">
        <v>0</v>
      </c>
      <c r="CV322">
        <v>2</v>
      </c>
      <c r="CW322">
        <v>0</v>
      </c>
      <c r="CX322">
        <v>7</v>
      </c>
      <c r="CY322">
        <v>7</v>
      </c>
      <c r="CZ322" t="s">
        <v>133</v>
      </c>
      <c r="DA322">
        <v>125</v>
      </c>
      <c r="DB322">
        <v>1</v>
      </c>
      <c r="DC322" t="s">
        <v>134</v>
      </c>
      <c r="DD322" t="s">
        <v>135</v>
      </c>
      <c r="DG322">
        <v>2522965</v>
      </c>
      <c r="DI322">
        <v>0</v>
      </c>
      <c r="DJ322">
        <v>0</v>
      </c>
      <c r="DK322">
        <v>0</v>
      </c>
      <c r="DL322">
        <v>0</v>
      </c>
      <c r="DM322">
        <v>0</v>
      </c>
      <c r="DN322">
        <v>0</v>
      </c>
      <c r="DO322">
        <v>0</v>
      </c>
      <c r="DP322">
        <v>0</v>
      </c>
      <c r="DQ322">
        <v>0</v>
      </c>
      <c r="DR322">
        <v>0</v>
      </c>
      <c r="DS322">
        <v>0</v>
      </c>
    </row>
    <row r="323" spans="1:123" x14ac:dyDescent="0.25">
      <c r="A323" t="str">
        <f>"04/17/2026 15:38:53.737"</f>
        <v>04/17/2026 15:38:53.737</v>
      </c>
      <c r="C323" t="str">
        <f t="shared" si="28"/>
        <v>FFDFD3C0</v>
      </c>
      <c r="D323" t="s">
        <v>136</v>
      </c>
      <c r="E323" t="str">
        <f>"0F"</f>
        <v>0F</v>
      </c>
      <c r="F323">
        <v>1015</v>
      </c>
      <c r="G323" t="s">
        <v>138</v>
      </c>
      <c r="J323" t="s">
        <v>137</v>
      </c>
      <c r="K323">
        <v>0</v>
      </c>
      <c r="L323">
        <v>3</v>
      </c>
      <c r="M323">
        <v>0</v>
      </c>
      <c r="N323">
        <v>2</v>
      </c>
      <c r="O323">
        <v>1</v>
      </c>
      <c r="P323">
        <v>0</v>
      </c>
      <c r="Q323">
        <v>0</v>
      </c>
      <c r="R323" t="s">
        <v>127</v>
      </c>
      <c r="S323" t="str">
        <f>"15:38:53.477"</f>
        <v>15:38:53.477</v>
      </c>
      <c r="T323" t="str">
        <f>"15:38:53.277"</f>
        <v>15:38:53.277</v>
      </c>
      <c r="U323" t="str">
        <f t="shared" si="29"/>
        <v>A55E09</v>
      </c>
      <c r="V323">
        <v>0</v>
      </c>
      <c r="W323">
        <v>0</v>
      </c>
      <c r="X323">
        <v>2</v>
      </c>
      <c r="Y323">
        <v>0</v>
      </c>
      <c r="AA323">
        <v>0</v>
      </c>
      <c r="AB323">
        <v>9</v>
      </c>
      <c r="AC323">
        <v>3</v>
      </c>
      <c r="AD323">
        <v>0</v>
      </c>
      <c r="AE323">
        <v>9</v>
      </c>
      <c r="AF323" t="s">
        <v>128</v>
      </c>
      <c r="AG323">
        <v>0</v>
      </c>
      <c r="AH323">
        <v>0</v>
      </c>
      <c r="AI323">
        <v>1</v>
      </c>
      <c r="AJ323">
        <v>0</v>
      </c>
      <c r="AK323" t="s">
        <v>294</v>
      </c>
      <c r="AL323">
        <v>33.685541000000001</v>
      </c>
      <c r="AM323" t="s">
        <v>295</v>
      </c>
      <c r="AN323">
        <v>-101.207514</v>
      </c>
      <c r="AO323">
        <v>100</v>
      </c>
      <c r="AP323">
        <v>3300</v>
      </c>
      <c r="AQ323" t="s">
        <v>131</v>
      </c>
      <c r="AR323">
        <v>-13</v>
      </c>
      <c r="AS323">
        <v>87</v>
      </c>
      <c r="AT323">
        <v>-192</v>
      </c>
      <c r="BB323" t="str">
        <f t="shared" si="30"/>
        <v>1200</v>
      </c>
      <c r="BC323">
        <v>1</v>
      </c>
      <c r="BD323" t="str">
        <f t="shared" si="31"/>
        <v xml:space="preserve">N445JS  </v>
      </c>
      <c r="BE323">
        <v>7</v>
      </c>
      <c r="BG323">
        <v>0</v>
      </c>
      <c r="BH323">
        <v>0</v>
      </c>
      <c r="BI323">
        <v>0</v>
      </c>
      <c r="BJ323">
        <v>3100</v>
      </c>
      <c r="BK323">
        <v>-200</v>
      </c>
      <c r="BL323" t="s">
        <v>132</v>
      </c>
      <c r="BM323">
        <v>1</v>
      </c>
      <c r="BN323">
        <v>1</v>
      </c>
      <c r="BO323">
        <v>1</v>
      </c>
      <c r="BP323">
        <v>0</v>
      </c>
      <c r="BT323">
        <v>0</v>
      </c>
      <c r="BU323">
        <v>0</v>
      </c>
      <c r="CE323" t="str">
        <f>"15:38:53.480"</f>
        <v>15:38:53.480</v>
      </c>
      <c r="CF323">
        <v>480115852</v>
      </c>
      <c r="CS323">
        <v>0</v>
      </c>
      <c r="CT323">
        <v>2</v>
      </c>
      <c r="CU323">
        <v>0</v>
      </c>
      <c r="CV323">
        <v>2</v>
      </c>
      <c r="CW323">
        <v>0</v>
      </c>
      <c r="CX323">
        <v>7</v>
      </c>
      <c r="CY323">
        <v>7</v>
      </c>
      <c r="CZ323" t="s">
        <v>133</v>
      </c>
      <c r="DA323">
        <v>125</v>
      </c>
      <c r="DB323">
        <v>1</v>
      </c>
      <c r="DC323" t="s">
        <v>134</v>
      </c>
      <c r="DD323" t="s">
        <v>135</v>
      </c>
      <c r="DG323">
        <v>2522965</v>
      </c>
      <c r="DI323">
        <v>0</v>
      </c>
      <c r="DJ323">
        <v>0</v>
      </c>
      <c r="DK323">
        <v>1</v>
      </c>
      <c r="DL323">
        <v>0</v>
      </c>
      <c r="DM323">
        <v>0</v>
      </c>
      <c r="DN323">
        <v>0</v>
      </c>
      <c r="DO323">
        <v>0</v>
      </c>
      <c r="DP323">
        <v>0</v>
      </c>
      <c r="DQ323">
        <v>0</v>
      </c>
      <c r="DR323">
        <v>0</v>
      </c>
      <c r="DS323">
        <v>0</v>
      </c>
    </row>
    <row r="324" spans="1:123" x14ac:dyDescent="0.25">
      <c r="A324" t="str">
        <f>"04/17/2026 15:38:53.744"</f>
        <v>04/17/2026 15:38:53.744</v>
      </c>
      <c r="C324" t="str">
        <f t="shared" si="28"/>
        <v>FFDFD3C0</v>
      </c>
      <c r="D324" t="s">
        <v>124</v>
      </c>
      <c r="E324" t="str">
        <f>"03"</f>
        <v>03</v>
      </c>
      <c r="H324">
        <v>160</v>
      </c>
      <c r="I324" t="s">
        <v>125</v>
      </c>
      <c r="J324" t="s">
        <v>126</v>
      </c>
      <c r="K324">
        <v>0</v>
      </c>
      <c r="L324">
        <v>3</v>
      </c>
      <c r="M324">
        <v>0</v>
      </c>
      <c r="N324">
        <v>2</v>
      </c>
      <c r="O324">
        <v>1</v>
      </c>
      <c r="P324">
        <v>0</v>
      </c>
      <c r="Q324">
        <v>0</v>
      </c>
      <c r="R324" t="s">
        <v>127</v>
      </c>
      <c r="S324" t="str">
        <f>"15:38:53.477"</f>
        <v>15:38:53.477</v>
      </c>
      <c r="T324" t="str">
        <f>"15:38:53.277"</f>
        <v>15:38:53.277</v>
      </c>
      <c r="U324" t="str">
        <f t="shared" si="29"/>
        <v>A55E09</v>
      </c>
      <c r="V324">
        <v>0</v>
      </c>
      <c r="W324">
        <v>0</v>
      </c>
      <c r="X324">
        <v>2</v>
      </c>
      <c r="Y324">
        <v>0</v>
      </c>
      <c r="AA324">
        <v>0</v>
      </c>
      <c r="AB324">
        <v>9</v>
      </c>
      <c r="AC324">
        <v>3</v>
      </c>
      <c r="AD324">
        <v>0</v>
      </c>
      <c r="AE324">
        <v>9</v>
      </c>
      <c r="AF324" t="s">
        <v>128</v>
      </c>
      <c r="AG324">
        <v>0</v>
      </c>
      <c r="AH324">
        <v>0</v>
      </c>
      <c r="AI324">
        <v>1</v>
      </c>
      <c r="AJ324">
        <v>0</v>
      </c>
      <c r="AK324" t="s">
        <v>294</v>
      </c>
      <c r="AL324">
        <v>33.685541000000001</v>
      </c>
      <c r="AM324" t="s">
        <v>295</v>
      </c>
      <c r="AN324">
        <v>-101.207514</v>
      </c>
      <c r="AO324">
        <v>100</v>
      </c>
      <c r="AP324">
        <v>3300</v>
      </c>
      <c r="AQ324" t="s">
        <v>131</v>
      </c>
      <c r="AR324">
        <v>-13</v>
      </c>
      <c r="AS324">
        <v>87</v>
      </c>
      <c r="AT324">
        <v>-192</v>
      </c>
      <c r="BB324" t="str">
        <f t="shared" si="30"/>
        <v>1200</v>
      </c>
      <c r="BC324">
        <v>1</v>
      </c>
      <c r="BD324" t="str">
        <f t="shared" si="31"/>
        <v xml:space="preserve">N445JS  </v>
      </c>
      <c r="BE324">
        <v>7</v>
      </c>
      <c r="BG324">
        <v>0</v>
      </c>
      <c r="BH324">
        <v>0</v>
      </c>
      <c r="BI324">
        <v>0</v>
      </c>
      <c r="BJ324">
        <v>3100</v>
      </c>
      <c r="BK324">
        <v>-200</v>
      </c>
      <c r="BL324" t="s">
        <v>132</v>
      </c>
      <c r="BM324">
        <v>1</v>
      </c>
      <c r="BN324">
        <v>1</v>
      </c>
      <c r="BO324">
        <v>1</v>
      </c>
      <c r="BP324">
        <v>0</v>
      </c>
      <c r="BT324">
        <v>0</v>
      </c>
      <c r="BU324">
        <v>0</v>
      </c>
      <c r="CE324" t="str">
        <f>"15:38:53.480"</f>
        <v>15:38:53.480</v>
      </c>
      <c r="CF324">
        <v>480115852</v>
      </c>
      <c r="CS324">
        <v>0</v>
      </c>
      <c r="CT324">
        <v>2</v>
      </c>
      <c r="CU324">
        <v>0</v>
      </c>
      <c r="CV324">
        <v>2</v>
      </c>
      <c r="CW324">
        <v>0</v>
      </c>
      <c r="CX324">
        <v>7</v>
      </c>
      <c r="CY324">
        <v>7</v>
      </c>
      <c r="CZ324" t="s">
        <v>133</v>
      </c>
      <c r="DA324">
        <v>125</v>
      </c>
      <c r="DB324">
        <v>1</v>
      </c>
      <c r="DC324" t="s">
        <v>134</v>
      </c>
      <c r="DD324" t="s">
        <v>135</v>
      </c>
      <c r="DG324">
        <v>2522965</v>
      </c>
      <c r="DI324">
        <v>0</v>
      </c>
      <c r="DJ324">
        <v>0</v>
      </c>
      <c r="DK324">
        <v>1</v>
      </c>
      <c r="DL324">
        <v>0</v>
      </c>
      <c r="DM324">
        <v>0</v>
      </c>
      <c r="DN324">
        <v>0</v>
      </c>
      <c r="DO324">
        <v>0</v>
      </c>
      <c r="DP324">
        <v>0</v>
      </c>
      <c r="DQ324">
        <v>0</v>
      </c>
      <c r="DR324">
        <v>0</v>
      </c>
      <c r="DS324">
        <v>0</v>
      </c>
    </row>
    <row r="325" spans="1:123" x14ac:dyDescent="0.25">
      <c r="A325" t="str">
        <f>"04/17/2026 15:38:53.770"</f>
        <v>04/17/2026 15:38:53.770</v>
      </c>
      <c r="C325" t="str">
        <f t="shared" si="28"/>
        <v>FFDFD3C0</v>
      </c>
      <c r="D325" t="s">
        <v>139</v>
      </c>
      <c r="E325" t="str">
        <f>"28"</f>
        <v>28</v>
      </c>
      <c r="H325">
        <v>140</v>
      </c>
      <c r="I325" t="s">
        <v>140</v>
      </c>
      <c r="J325" t="s">
        <v>141</v>
      </c>
      <c r="K325">
        <v>0</v>
      </c>
      <c r="L325">
        <v>3</v>
      </c>
      <c r="M325">
        <v>0</v>
      </c>
      <c r="N325">
        <v>2</v>
      </c>
      <c r="O325">
        <v>1</v>
      </c>
      <c r="P325">
        <v>0</v>
      </c>
      <c r="Q325">
        <v>0</v>
      </c>
      <c r="R325" t="s">
        <v>127</v>
      </c>
      <c r="S325" t="str">
        <f>"15:38:53.477"</f>
        <v>15:38:53.477</v>
      </c>
      <c r="T325" t="str">
        <f>"15:38:53.277"</f>
        <v>15:38:53.277</v>
      </c>
      <c r="U325" t="str">
        <f t="shared" si="29"/>
        <v>A55E09</v>
      </c>
      <c r="V325">
        <v>0</v>
      </c>
      <c r="W325">
        <v>0</v>
      </c>
      <c r="X325">
        <v>2</v>
      </c>
      <c r="Y325">
        <v>0</v>
      </c>
      <c r="AA325">
        <v>0</v>
      </c>
      <c r="AB325">
        <v>9</v>
      </c>
      <c r="AC325">
        <v>3</v>
      </c>
      <c r="AD325">
        <v>0</v>
      </c>
      <c r="AE325">
        <v>9</v>
      </c>
      <c r="AF325" t="s">
        <v>128</v>
      </c>
      <c r="AG325">
        <v>0</v>
      </c>
      <c r="AH325">
        <v>0</v>
      </c>
      <c r="AI325">
        <v>1</v>
      </c>
      <c r="AJ325">
        <v>0</v>
      </c>
      <c r="AK325" t="s">
        <v>294</v>
      </c>
      <c r="AL325">
        <v>33.685541000000001</v>
      </c>
      <c r="AM325" t="s">
        <v>295</v>
      </c>
      <c r="AN325">
        <v>-101.207514</v>
      </c>
      <c r="AO325">
        <v>100</v>
      </c>
      <c r="AP325">
        <v>3300</v>
      </c>
      <c r="AQ325" t="s">
        <v>131</v>
      </c>
      <c r="AR325">
        <v>-13</v>
      </c>
      <c r="AS325">
        <v>87</v>
      </c>
      <c r="AT325">
        <v>-192</v>
      </c>
      <c r="BB325" t="str">
        <f t="shared" si="30"/>
        <v>1200</v>
      </c>
      <c r="BC325">
        <v>1</v>
      </c>
      <c r="BD325" t="str">
        <f t="shared" si="31"/>
        <v xml:space="preserve">N445JS  </v>
      </c>
      <c r="BE325">
        <v>7</v>
      </c>
      <c r="BG325">
        <v>0</v>
      </c>
      <c r="BH325">
        <v>0</v>
      </c>
      <c r="BI325">
        <v>0</v>
      </c>
      <c r="BJ325">
        <v>3100</v>
      </c>
      <c r="BK325">
        <v>-200</v>
      </c>
      <c r="BL325" t="s">
        <v>132</v>
      </c>
      <c r="BM325">
        <v>1</v>
      </c>
      <c r="BN325">
        <v>1</v>
      </c>
      <c r="BO325">
        <v>1</v>
      </c>
      <c r="BP325">
        <v>0</v>
      </c>
      <c r="BT325">
        <v>0</v>
      </c>
      <c r="BU325">
        <v>0</v>
      </c>
      <c r="CE325" t="str">
        <f>"15:38:53.480"</f>
        <v>15:38:53.480</v>
      </c>
      <c r="CF325">
        <v>480115852</v>
      </c>
      <c r="CS325">
        <v>0</v>
      </c>
      <c r="CT325">
        <v>2</v>
      </c>
      <c r="CU325">
        <v>0</v>
      </c>
      <c r="CV325">
        <v>2</v>
      </c>
      <c r="CW325">
        <v>0</v>
      </c>
      <c r="CX325">
        <v>7</v>
      </c>
      <c r="CY325">
        <v>7</v>
      </c>
      <c r="CZ325" t="s">
        <v>133</v>
      </c>
      <c r="DA325">
        <v>125</v>
      </c>
      <c r="DB325">
        <v>1</v>
      </c>
      <c r="DC325" t="s">
        <v>134</v>
      </c>
      <c r="DD325" t="s">
        <v>135</v>
      </c>
      <c r="DG325">
        <v>2522965</v>
      </c>
      <c r="DI325">
        <v>0</v>
      </c>
      <c r="DJ325">
        <v>0</v>
      </c>
      <c r="DK325">
        <v>1</v>
      </c>
      <c r="DL325">
        <v>0</v>
      </c>
      <c r="DM325">
        <v>0</v>
      </c>
      <c r="DN325">
        <v>0</v>
      </c>
      <c r="DO325">
        <v>0</v>
      </c>
      <c r="DP325">
        <v>0</v>
      </c>
      <c r="DQ325">
        <v>0</v>
      </c>
      <c r="DR325">
        <v>0</v>
      </c>
      <c r="DS325">
        <v>0</v>
      </c>
    </row>
    <row r="326" spans="1:123" x14ac:dyDescent="0.25">
      <c r="A326" t="str">
        <f>"04/17/2026 15:38:54.922"</f>
        <v>04/17/2026 15:38:54.922</v>
      </c>
      <c r="C326" t="str">
        <f t="shared" si="28"/>
        <v>FFDFD3C0</v>
      </c>
      <c r="D326" t="s">
        <v>139</v>
      </c>
      <c r="E326" t="str">
        <f>"28"</f>
        <v>28</v>
      </c>
      <c r="H326">
        <v>140</v>
      </c>
      <c r="I326" t="s">
        <v>140</v>
      </c>
      <c r="J326" t="s">
        <v>141</v>
      </c>
      <c r="K326">
        <v>0</v>
      </c>
      <c r="L326">
        <v>3</v>
      </c>
      <c r="M326">
        <v>0</v>
      </c>
      <c r="N326">
        <v>2</v>
      </c>
      <c r="O326">
        <v>1</v>
      </c>
      <c r="P326">
        <v>0</v>
      </c>
      <c r="Q326">
        <v>0</v>
      </c>
      <c r="R326" t="s">
        <v>127</v>
      </c>
      <c r="S326" t="str">
        <f>"15:38:54.648"</f>
        <v>15:38:54.648</v>
      </c>
      <c r="T326" t="str">
        <f>"15:38:54.348"</f>
        <v>15:38:54.348</v>
      </c>
      <c r="U326" t="str">
        <f t="shared" si="29"/>
        <v>A55E09</v>
      </c>
      <c r="V326">
        <v>0</v>
      </c>
      <c r="W326">
        <v>0</v>
      </c>
      <c r="X326">
        <v>2</v>
      </c>
      <c r="Y326">
        <v>0</v>
      </c>
      <c r="AA326">
        <v>0</v>
      </c>
      <c r="AB326">
        <v>9</v>
      </c>
      <c r="AC326">
        <v>3</v>
      </c>
      <c r="AD326">
        <v>0</v>
      </c>
      <c r="AE326">
        <v>9</v>
      </c>
      <c r="AF326" t="s">
        <v>128</v>
      </c>
      <c r="AG326">
        <v>0</v>
      </c>
      <c r="AH326">
        <v>0</v>
      </c>
      <c r="AI326">
        <v>1</v>
      </c>
      <c r="AJ326">
        <v>0</v>
      </c>
      <c r="AK326" t="s">
        <v>296</v>
      </c>
      <c r="AL326">
        <v>33.686056000000001</v>
      </c>
      <c r="AM326" t="s">
        <v>297</v>
      </c>
      <c r="AN326">
        <v>-101.207578</v>
      </c>
      <c r="AO326">
        <v>100</v>
      </c>
      <c r="AP326">
        <v>3300</v>
      </c>
      <c r="AQ326" t="s">
        <v>131</v>
      </c>
      <c r="AR326">
        <v>-14</v>
      </c>
      <c r="AS326">
        <v>87</v>
      </c>
      <c r="AT326">
        <v>-64</v>
      </c>
      <c r="BB326" t="str">
        <f t="shared" si="30"/>
        <v>1200</v>
      </c>
      <c r="BC326">
        <v>1</v>
      </c>
      <c r="BD326" t="str">
        <f t="shared" si="31"/>
        <v xml:space="preserve">N445JS  </v>
      </c>
      <c r="BE326">
        <v>7</v>
      </c>
      <c r="BG326">
        <v>0</v>
      </c>
      <c r="BH326">
        <v>0</v>
      </c>
      <c r="BI326">
        <v>0</v>
      </c>
      <c r="BJ326">
        <v>3100</v>
      </c>
      <c r="BK326">
        <v>-200</v>
      </c>
      <c r="BL326" t="s">
        <v>132</v>
      </c>
      <c r="BM326">
        <v>1</v>
      </c>
      <c r="BN326">
        <v>1</v>
      </c>
      <c r="BO326">
        <v>1</v>
      </c>
      <c r="BP326">
        <v>0</v>
      </c>
      <c r="BT326">
        <v>0</v>
      </c>
      <c r="BU326">
        <v>0</v>
      </c>
      <c r="CE326" t="str">
        <f>"15:38:54.650"</f>
        <v>15:38:54.650</v>
      </c>
      <c r="CF326">
        <v>650001175</v>
      </c>
      <c r="CS326">
        <v>0</v>
      </c>
      <c r="CT326">
        <v>2</v>
      </c>
      <c r="CU326">
        <v>0</v>
      </c>
      <c r="CV326">
        <v>2</v>
      </c>
      <c r="CW326">
        <v>0</v>
      </c>
      <c r="CX326">
        <v>7</v>
      </c>
      <c r="CY326">
        <v>7</v>
      </c>
      <c r="CZ326" t="s">
        <v>133</v>
      </c>
      <c r="DA326">
        <v>125</v>
      </c>
      <c r="DB326">
        <v>1</v>
      </c>
      <c r="DC326" t="s">
        <v>134</v>
      </c>
      <c r="DD326" t="s">
        <v>135</v>
      </c>
      <c r="DG326">
        <v>2524149</v>
      </c>
      <c r="DI326">
        <v>0</v>
      </c>
      <c r="DJ326">
        <v>0</v>
      </c>
      <c r="DK326">
        <v>0</v>
      </c>
      <c r="DL326">
        <v>0</v>
      </c>
      <c r="DM326">
        <v>0</v>
      </c>
      <c r="DN326">
        <v>0</v>
      </c>
      <c r="DO326">
        <v>0</v>
      </c>
      <c r="DP326">
        <v>0</v>
      </c>
      <c r="DQ326">
        <v>0</v>
      </c>
      <c r="DR326">
        <v>0</v>
      </c>
      <c r="DS326">
        <v>0</v>
      </c>
    </row>
    <row r="327" spans="1:123" x14ac:dyDescent="0.25">
      <c r="A327" t="str">
        <f>"04/17/2026 15:38:54.937"</f>
        <v>04/17/2026 15:38:54.937</v>
      </c>
      <c r="C327" t="str">
        <f t="shared" si="28"/>
        <v>FFDFD3C0</v>
      </c>
      <c r="D327" t="s">
        <v>136</v>
      </c>
      <c r="E327" t="str">
        <f>"0E"</f>
        <v>0E</v>
      </c>
      <c r="F327">
        <v>1014</v>
      </c>
      <c r="G327" t="s">
        <v>125</v>
      </c>
      <c r="J327" t="s">
        <v>137</v>
      </c>
      <c r="K327">
        <v>0</v>
      </c>
      <c r="L327">
        <v>3</v>
      </c>
      <c r="M327">
        <v>0</v>
      </c>
      <c r="N327">
        <v>2</v>
      </c>
      <c r="O327">
        <v>1</v>
      </c>
      <c r="P327">
        <v>0</v>
      </c>
      <c r="Q327">
        <v>0</v>
      </c>
      <c r="R327" t="s">
        <v>127</v>
      </c>
      <c r="S327" t="str">
        <f>"15:38:54.648"</f>
        <v>15:38:54.648</v>
      </c>
      <c r="T327" t="str">
        <f>"15:38:54.348"</f>
        <v>15:38:54.348</v>
      </c>
      <c r="U327" t="str">
        <f t="shared" si="29"/>
        <v>A55E09</v>
      </c>
      <c r="V327">
        <v>0</v>
      </c>
      <c r="W327">
        <v>0</v>
      </c>
      <c r="X327">
        <v>2</v>
      </c>
      <c r="Y327">
        <v>0</v>
      </c>
      <c r="AA327">
        <v>0</v>
      </c>
      <c r="AB327">
        <v>9</v>
      </c>
      <c r="AC327">
        <v>3</v>
      </c>
      <c r="AD327">
        <v>0</v>
      </c>
      <c r="AE327">
        <v>9</v>
      </c>
      <c r="AF327" t="s">
        <v>128</v>
      </c>
      <c r="AG327">
        <v>0</v>
      </c>
      <c r="AH327">
        <v>0</v>
      </c>
      <c r="AI327">
        <v>1</v>
      </c>
      <c r="AJ327">
        <v>0</v>
      </c>
      <c r="AK327" t="s">
        <v>296</v>
      </c>
      <c r="AL327">
        <v>33.686056000000001</v>
      </c>
      <c r="AM327" t="s">
        <v>297</v>
      </c>
      <c r="AN327">
        <v>-101.207578</v>
      </c>
      <c r="AO327">
        <v>100</v>
      </c>
      <c r="AP327">
        <v>3300</v>
      </c>
      <c r="AQ327" t="s">
        <v>131</v>
      </c>
      <c r="AR327">
        <v>-14</v>
      </c>
      <c r="AS327">
        <v>87</v>
      </c>
      <c r="AT327">
        <v>-64</v>
      </c>
      <c r="BB327" t="str">
        <f t="shared" si="30"/>
        <v>1200</v>
      </c>
      <c r="BC327">
        <v>1</v>
      </c>
      <c r="BD327" t="str">
        <f t="shared" si="31"/>
        <v xml:space="preserve">N445JS  </v>
      </c>
      <c r="BE327">
        <v>7</v>
      </c>
      <c r="BG327">
        <v>0</v>
      </c>
      <c r="BH327">
        <v>0</v>
      </c>
      <c r="BI327">
        <v>0</v>
      </c>
      <c r="BJ327">
        <v>3100</v>
      </c>
      <c r="BK327">
        <v>-200</v>
      </c>
      <c r="BL327" t="s">
        <v>132</v>
      </c>
      <c r="BM327">
        <v>1</v>
      </c>
      <c r="BN327">
        <v>1</v>
      </c>
      <c r="BO327">
        <v>1</v>
      </c>
      <c r="BP327">
        <v>0</v>
      </c>
      <c r="BT327">
        <v>0</v>
      </c>
      <c r="BU327">
        <v>0</v>
      </c>
      <c r="CE327" t="str">
        <f>"15:38:54.650"</f>
        <v>15:38:54.650</v>
      </c>
      <c r="CF327">
        <v>650001175</v>
      </c>
      <c r="CS327">
        <v>0</v>
      </c>
      <c r="CT327">
        <v>2</v>
      </c>
      <c r="CU327">
        <v>0</v>
      </c>
      <c r="CV327">
        <v>2</v>
      </c>
      <c r="CW327">
        <v>0</v>
      </c>
      <c r="CX327">
        <v>7</v>
      </c>
      <c r="CY327">
        <v>7</v>
      </c>
      <c r="CZ327" t="s">
        <v>133</v>
      </c>
      <c r="DA327">
        <v>125</v>
      </c>
      <c r="DB327">
        <v>1</v>
      </c>
      <c r="DC327" t="s">
        <v>134</v>
      </c>
      <c r="DD327" t="s">
        <v>135</v>
      </c>
      <c r="DG327">
        <v>2524149</v>
      </c>
      <c r="DI327">
        <v>0</v>
      </c>
      <c r="DJ327">
        <v>0</v>
      </c>
      <c r="DK327">
        <v>1</v>
      </c>
      <c r="DL327">
        <v>0</v>
      </c>
      <c r="DM327">
        <v>0</v>
      </c>
      <c r="DN327">
        <v>0</v>
      </c>
      <c r="DO327">
        <v>0</v>
      </c>
      <c r="DP327">
        <v>0</v>
      </c>
      <c r="DQ327">
        <v>0</v>
      </c>
      <c r="DR327">
        <v>0</v>
      </c>
      <c r="DS327">
        <v>0</v>
      </c>
    </row>
    <row r="328" spans="1:123" x14ac:dyDescent="0.25">
      <c r="A328" t="str">
        <f>"04/17/2026 15:38:54.939"</f>
        <v>04/17/2026 15:38:54.939</v>
      </c>
      <c r="C328" t="str">
        <f t="shared" si="28"/>
        <v>FFDFD3C0</v>
      </c>
      <c r="D328" t="s">
        <v>136</v>
      </c>
      <c r="E328" t="str">
        <f>"0F"</f>
        <v>0F</v>
      </c>
      <c r="F328">
        <v>1015</v>
      </c>
      <c r="G328" t="s">
        <v>138</v>
      </c>
      <c r="J328" t="s">
        <v>137</v>
      </c>
      <c r="K328">
        <v>0</v>
      </c>
      <c r="L328">
        <v>3</v>
      </c>
      <c r="M328">
        <v>0</v>
      </c>
      <c r="N328">
        <v>2</v>
      </c>
      <c r="O328">
        <v>1</v>
      </c>
      <c r="P328">
        <v>0</v>
      </c>
      <c r="Q328">
        <v>0</v>
      </c>
      <c r="R328" t="s">
        <v>127</v>
      </c>
      <c r="S328" t="str">
        <f>"15:38:54.648"</f>
        <v>15:38:54.648</v>
      </c>
      <c r="T328" t="str">
        <f>"15:38:54.348"</f>
        <v>15:38:54.348</v>
      </c>
      <c r="U328" t="str">
        <f t="shared" si="29"/>
        <v>A55E09</v>
      </c>
      <c r="V328">
        <v>0</v>
      </c>
      <c r="W328">
        <v>0</v>
      </c>
      <c r="X328">
        <v>2</v>
      </c>
      <c r="Y328">
        <v>0</v>
      </c>
      <c r="AA328">
        <v>0</v>
      </c>
      <c r="AB328">
        <v>9</v>
      </c>
      <c r="AC328">
        <v>3</v>
      </c>
      <c r="AD328">
        <v>0</v>
      </c>
      <c r="AE328">
        <v>9</v>
      </c>
      <c r="AF328" t="s">
        <v>128</v>
      </c>
      <c r="AG328">
        <v>0</v>
      </c>
      <c r="AH328">
        <v>0</v>
      </c>
      <c r="AI328">
        <v>1</v>
      </c>
      <c r="AJ328">
        <v>0</v>
      </c>
      <c r="AK328" t="s">
        <v>296</v>
      </c>
      <c r="AL328">
        <v>33.686056000000001</v>
      </c>
      <c r="AM328" t="s">
        <v>297</v>
      </c>
      <c r="AN328">
        <v>-101.207578</v>
      </c>
      <c r="AO328">
        <v>100</v>
      </c>
      <c r="AP328">
        <v>3300</v>
      </c>
      <c r="AQ328" t="s">
        <v>131</v>
      </c>
      <c r="AR328">
        <v>-14</v>
      </c>
      <c r="AS328">
        <v>87</v>
      </c>
      <c r="AT328">
        <v>-64</v>
      </c>
      <c r="BB328" t="str">
        <f t="shared" si="30"/>
        <v>1200</v>
      </c>
      <c r="BC328">
        <v>1</v>
      </c>
      <c r="BD328" t="str">
        <f t="shared" si="31"/>
        <v xml:space="preserve">N445JS  </v>
      </c>
      <c r="BE328">
        <v>7</v>
      </c>
      <c r="BG328">
        <v>0</v>
      </c>
      <c r="BH328">
        <v>0</v>
      </c>
      <c r="BI328">
        <v>0</v>
      </c>
      <c r="BJ328">
        <v>3100</v>
      </c>
      <c r="BK328">
        <v>-200</v>
      </c>
      <c r="BL328" t="s">
        <v>132</v>
      </c>
      <c r="BM328">
        <v>1</v>
      </c>
      <c r="BN328">
        <v>1</v>
      </c>
      <c r="BO328">
        <v>1</v>
      </c>
      <c r="BP328">
        <v>0</v>
      </c>
      <c r="BT328">
        <v>0</v>
      </c>
      <c r="BU328">
        <v>0</v>
      </c>
      <c r="CE328" t="str">
        <f>"15:38:54.650"</f>
        <v>15:38:54.650</v>
      </c>
      <c r="CF328">
        <v>650001175</v>
      </c>
      <c r="CS328">
        <v>0</v>
      </c>
      <c r="CT328">
        <v>2</v>
      </c>
      <c r="CU328">
        <v>0</v>
      </c>
      <c r="CV328">
        <v>2</v>
      </c>
      <c r="CW328">
        <v>0</v>
      </c>
      <c r="CX328">
        <v>7</v>
      </c>
      <c r="CY328">
        <v>7</v>
      </c>
      <c r="CZ328" t="s">
        <v>133</v>
      </c>
      <c r="DA328">
        <v>125</v>
      </c>
      <c r="DB328">
        <v>1</v>
      </c>
      <c r="DC328" t="s">
        <v>134</v>
      </c>
      <c r="DD328" t="s">
        <v>135</v>
      </c>
      <c r="DG328">
        <v>2524149</v>
      </c>
      <c r="DI328">
        <v>0</v>
      </c>
      <c r="DJ328">
        <v>0</v>
      </c>
      <c r="DK328">
        <v>1</v>
      </c>
      <c r="DL328">
        <v>0</v>
      </c>
      <c r="DM328">
        <v>0</v>
      </c>
      <c r="DN328">
        <v>0</v>
      </c>
      <c r="DO328">
        <v>0</v>
      </c>
      <c r="DP328">
        <v>0</v>
      </c>
      <c r="DQ328">
        <v>0</v>
      </c>
      <c r="DR328">
        <v>0</v>
      </c>
      <c r="DS328">
        <v>0</v>
      </c>
    </row>
    <row r="329" spans="1:123" x14ac:dyDescent="0.25">
      <c r="A329" t="str">
        <f>"04/17/2026 15:38:54.946"</f>
        <v>04/17/2026 15:38:54.946</v>
      </c>
      <c r="C329" t="str">
        <f t="shared" si="28"/>
        <v>FFDFD3C0</v>
      </c>
      <c r="D329" t="s">
        <v>124</v>
      </c>
      <c r="E329" t="str">
        <f>"03"</f>
        <v>03</v>
      </c>
      <c r="H329">
        <v>160</v>
      </c>
      <c r="I329" t="s">
        <v>125</v>
      </c>
      <c r="J329" t="s">
        <v>126</v>
      </c>
      <c r="K329">
        <v>0</v>
      </c>
      <c r="L329">
        <v>3</v>
      </c>
      <c r="M329">
        <v>0</v>
      </c>
      <c r="N329">
        <v>2</v>
      </c>
      <c r="O329">
        <v>1</v>
      </c>
      <c r="P329">
        <v>0</v>
      </c>
      <c r="Q329">
        <v>0</v>
      </c>
      <c r="R329" t="s">
        <v>127</v>
      </c>
      <c r="S329" t="str">
        <f>"15:38:54.648"</f>
        <v>15:38:54.648</v>
      </c>
      <c r="T329" t="str">
        <f>"15:38:54.348"</f>
        <v>15:38:54.348</v>
      </c>
      <c r="U329" t="str">
        <f t="shared" si="29"/>
        <v>A55E09</v>
      </c>
      <c r="V329">
        <v>0</v>
      </c>
      <c r="W329">
        <v>0</v>
      </c>
      <c r="X329">
        <v>2</v>
      </c>
      <c r="Y329">
        <v>0</v>
      </c>
      <c r="AA329">
        <v>0</v>
      </c>
      <c r="AB329">
        <v>9</v>
      </c>
      <c r="AC329">
        <v>3</v>
      </c>
      <c r="AD329">
        <v>0</v>
      </c>
      <c r="AE329">
        <v>9</v>
      </c>
      <c r="AF329" t="s">
        <v>128</v>
      </c>
      <c r="AG329">
        <v>0</v>
      </c>
      <c r="AH329">
        <v>0</v>
      </c>
      <c r="AI329">
        <v>1</v>
      </c>
      <c r="AJ329">
        <v>0</v>
      </c>
      <c r="AK329" t="s">
        <v>296</v>
      </c>
      <c r="AL329">
        <v>33.686056000000001</v>
      </c>
      <c r="AM329" t="s">
        <v>297</v>
      </c>
      <c r="AN329">
        <v>-101.207578</v>
      </c>
      <c r="AO329">
        <v>100</v>
      </c>
      <c r="AP329">
        <v>3300</v>
      </c>
      <c r="AQ329" t="s">
        <v>131</v>
      </c>
      <c r="AR329">
        <v>-14</v>
      </c>
      <c r="AS329">
        <v>87</v>
      </c>
      <c r="AT329">
        <v>-64</v>
      </c>
      <c r="BB329" t="str">
        <f t="shared" si="30"/>
        <v>1200</v>
      </c>
      <c r="BC329">
        <v>1</v>
      </c>
      <c r="BD329" t="str">
        <f t="shared" si="31"/>
        <v xml:space="preserve">N445JS  </v>
      </c>
      <c r="BE329">
        <v>7</v>
      </c>
      <c r="BG329">
        <v>0</v>
      </c>
      <c r="BH329">
        <v>0</v>
      </c>
      <c r="BI329">
        <v>0</v>
      </c>
      <c r="BJ329">
        <v>3100</v>
      </c>
      <c r="BK329">
        <v>-200</v>
      </c>
      <c r="BL329" t="s">
        <v>132</v>
      </c>
      <c r="BM329">
        <v>1</v>
      </c>
      <c r="BN329">
        <v>1</v>
      </c>
      <c r="BO329">
        <v>1</v>
      </c>
      <c r="BP329">
        <v>0</v>
      </c>
      <c r="BT329">
        <v>0</v>
      </c>
      <c r="BU329">
        <v>0</v>
      </c>
      <c r="CE329" t="str">
        <f>"15:38:54.650"</f>
        <v>15:38:54.650</v>
      </c>
      <c r="CF329">
        <v>650001175</v>
      </c>
      <c r="CS329">
        <v>0</v>
      </c>
      <c r="CT329">
        <v>2</v>
      </c>
      <c r="CU329">
        <v>0</v>
      </c>
      <c r="CV329">
        <v>2</v>
      </c>
      <c r="CW329">
        <v>0</v>
      </c>
      <c r="CX329">
        <v>7</v>
      </c>
      <c r="CY329">
        <v>7</v>
      </c>
      <c r="CZ329" t="s">
        <v>133</v>
      </c>
      <c r="DA329">
        <v>125</v>
      </c>
      <c r="DB329">
        <v>1</v>
      </c>
      <c r="DC329" t="s">
        <v>134</v>
      </c>
      <c r="DD329" t="s">
        <v>135</v>
      </c>
      <c r="DG329">
        <v>2524149</v>
      </c>
      <c r="DI329">
        <v>0</v>
      </c>
      <c r="DJ329">
        <v>0</v>
      </c>
      <c r="DK329">
        <v>1</v>
      </c>
      <c r="DL329">
        <v>0</v>
      </c>
      <c r="DM329">
        <v>0</v>
      </c>
      <c r="DN329">
        <v>0</v>
      </c>
      <c r="DO329">
        <v>0</v>
      </c>
      <c r="DP329">
        <v>0</v>
      </c>
      <c r="DQ329">
        <v>0</v>
      </c>
      <c r="DR329">
        <v>0</v>
      </c>
      <c r="DS329">
        <v>0</v>
      </c>
    </row>
    <row r="330" spans="1:123" x14ac:dyDescent="0.25">
      <c r="A330" t="str">
        <f>"04/17/2026 15:38:56.025"</f>
        <v>04/17/2026 15:38:56.025</v>
      </c>
      <c r="C330" t="str">
        <f t="shared" si="28"/>
        <v>FFDFD3C0</v>
      </c>
      <c r="D330" t="s">
        <v>139</v>
      </c>
      <c r="E330" t="str">
        <f>"28"</f>
        <v>28</v>
      </c>
      <c r="H330">
        <v>140</v>
      </c>
      <c r="I330" t="s">
        <v>140</v>
      </c>
      <c r="J330" t="s">
        <v>141</v>
      </c>
      <c r="K330">
        <v>0</v>
      </c>
      <c r="L330">
        <v>3</v>
      </c>
      <c r="M330">
        <v>0</v>
      </c>
      <c r="N330">
        <v>2</v>
      </c>
      <c r="O330">
        <v>1</v>
      </c>
      <c r="P330">
        <v>0</v>
      </c>
      <c r="Q330">
        <v>0</v>
      </c>
      <c r="R330" t="s">
        <v>127</v>
      </c>
      <c r="S330" t="str">
        <f>"15:38:55.789"</f>
        <v>15:38:55.789</v>
      </c>
      <c r="T330" t="str">
        <f>"15:38:55.389"</f>
        <v>15:38:55.389</v>
      </c>
      <c r="U330" t="str">
        <f t="shared" si="29"/>
        <v>A55E09</v>
      </c>
      <c r="V330">
        <v>0</v>
      </c>
      <c r="W330">
        <v>0</v>
      </c>
      <c r="X330">
        <v>2</v>
      </c>
      <c r="Y330">
        <v>0</v>
      </c>
      <c r="AA330">
        <v>0</v>
      </c>
      <c r="AB330">
        <v>9</v>
      </c>
      <c r="AC330">
        <v>3</v>
      </c>
      <c r="AD330">
        <v>0</v>
      </c>
      <c r="AE330">
        <v>9</v>
      </c>
      <c r="AF330" t="s">
        <v>128</v>
      </c>
      <c r="AG330">
        <v>0</v>
      </c>
      <c r="AH330">
        <v>0</v>
      </c>
      <c r="AI330">
        <v>1</v>
      </c>
      <c r="AJ330">
        <v>0</v>
      </c>
      <c r="AK330" t="s">
        <v>298</v>
      </c>
      <c r="AL330">
        <v>33.686506999999999</v>
      </c>
      <c r="AM330" t="s">
        <v>299</v>
      </c>
      <c r="AN330">
        <v>-101.207685</v>
      </c>
      <c r="AO330">
        <v>100</v>
      </c>
      <c r="AP330">
        <v>3300</v>
      </c>
      <c r="AQ330" t="s">
        <v>131</v>
      </c>
      <c r="AR330">
        <v>-15</v>
      </c>
      <c r="AS330">
        <v>87</v>
      </c>
      <c r="AT330">
        <v>0</v>
      </c>
      <c r="BB330" t="str">
        <f t="shared" si="30"/>
        <v>1200</v>
      </c>
      <c r="BC330">
        <v>1</v>
      </c>
      <c r="BD330" t="str">
        <f t="shared" si="31"/>
        <v xml:space="preserve">N445JS  </v>
      </c>
      <c r="BE330">
        <v>7</v>
      </c>
      <c r="BG330">
        <v>0</v>
      </c>
      <c r="BH330">
        <v>0</v>
      </c>
      <c r="BI330">
        <v>0</v>
      </c>
      <c r="BJ330">
        <v>3100</v>
      </c>
      <c r="BK330">
        <v>-200</v>
      </c>
      <c r="BL330" t="s">
        <v>132</v>
      </c>
      <c r="BM330">
        <v>1</v>
      </c>
      <c r="BN330">
        <v>1</v>
      </c>
      <c r="BO330">
        <v>1</v>
      </c>
      <c r="BP330">
        <v>0</v>
      </c>
      <c r="BT330">
        <v>0</v>
      </c>
      <c r="BU330">
        <v>0</v>
      </c>
      <c r="CE330" t="str">
        <f>"15:38:55.790"</f>
        <v>15:38:55.790</v>
      </c>
      <c r="CF330">
        <v>789889424</v>
      </c>
      <c r="CS330">
        <v>0</v>
      </c>
      <c r="CT330">
        <v>2</v>
      </c>
      <c r="CU330">
        <v>0</v>
      </c>
      <c r="CV330">
        <v>2</v>
      </c>
      <c r="CW330">
        <v>0</v>
      </c>
      <c r="CX330">
        <v>7</v>
      </c>
      <c r="CY330">
        <v>7</v>
      </c>
      <c r="CZ330" t="s">
        <v>133</v>
      </c>
      <c r="DA330">
        <v>125</v>
      </c>
      <c r="DB330">
        <v>1</v>
      </c>
      <c r="DC330" t="s">
        <v>134</v>
      </c>
      <c r="DD330" t="s">
        <v>135</v>
      </c>
      <c r="DG330">
        <v>2525402</v>
      </c>
      <c r="DI330">
        <v>0</v>
      </c>
      <c r="DJ330">
        <v>0</v>
      </c>
      <c r="DK330">
        <v>0</v>
      </c>
      <c r="DL330">
        <v>0</v>
      </c>
      <c r="DM330">
        <v>0</v>
      </c>
      <c r="DN330">
        <v>0</v>
      </c>
      <c r="DO330">
        <v>0</v>
      </c>
      <c r="DP330">
        <v>0</v>
      </c>
      <c r="DQ330">
        <v>0</v>
      </c>
      <c r="DR330">
        <v>0</v>
      </c>
      <c r="DS330">
        <v>0</v>
      </c>
    </row>
    <row r="331" spans="1:123" x14ac:dyDescent="0.25">
      <c r="A331" t="str">
        <f>"04/17/2026 15:38:56.039"</f>
        <v>04/17/2026 15:38:56.039</v>
      </c>
      <c r="C331" t="str">
        <f t="shared" si="28"/>
        <v>FFDFD3C0</v>
      </c>
      <c r="D331" t="s">
        <v>136</v>
      </c>
      <c r="E331" t="str">
        <f>"0E"</f>
        <v>0E</v>
      </c>
      <c r="F331">
        <v>1014</v>
      </c>
      <c r="G331" t="s">
        <v>125</v>
      </c>
      <c r="J331" t="s">
        <v>137</v>
      </c>
      <c r="K331">
        <v>0</v>
      </c>
      <c r="L331">
        <v>3</v>
      </c>
      <c r="M331">
        <v>0</v>
      </c>
      <c r="N331">
        <v>2</v>
      </c>
      <c r="O331">
        <v>1</v>
      </c>
      <c r="P331">
        <v>0</v>
      </c>
      <c r="Q331">
        <v>0</v>
      </c>
      <c r="R331" t="s">
        <v>127</v>
      </c>
      <c r="S331" t="str">
        <f>"15:38:55.789"</f>
        <v>15:38:55.789</v>
      </c>
      <c r="T331" t="str">
        <f>"15:38:55.389"</f>
        <v>15:38:55.389</v>
      </c>
      <c r="U331" t="str">
        <f t="shared" si="29"/>
        <v>A55E09</v>
      </c>
      <c r="V331">
        <v>0</v>
      </c>
      <c r="W331">
        <v>0</v>
      </c>
      <c r="X331">
        <v>2</v>
      </c>
      <c r="Y331">
        <v>0</v>
      </c>
      <c r="AA331">
        <v>0</v>
      </c>
      <c r="AB331">
        <v>9</v>
      </c>
      <c r="AC331">
        <v>3</v>
      </c>
      <c r="AD331">
        <v>0</v>
      </c>
      <c r="AE331">
        <v>9</v>
      </c>
      <c r="AF331" t="s">
        <v>128</v>
      </c>
      <c r="AG331">
        <v>0</v>
      </c>
      <c r="AH331">
        <v>0</v>
      </c>
      <c r="AI331">
        <v>1</v>
      </c>
      <c r="AJ331">
        <v>0</v>
      </c>
      <c r="AK331" t="s">
        <v>298</v>
      </c>
      <c r="AL331">
        <v>33.686506999999999</v>
      </c>
      <c r="AM331" t="s">
        <v>299</v>
      </c>
      <c r="AN331">
        <v>-101.207685</v>
      </c>
      <c r="AO331">
        <v>100</v>
      </c>
      <c r="AP331">
        <v>3300</v>
      </c>
      <c r="AQ331" t="s">
        <v>131</v>
      </c>
      <c r="AR331">
        <v>-15</v>
      </c>
      <c r="AS331">
        <v>87</v>
      </c>
      <c r="AT331">
        <v>0</v>
      </c>
      <c r="BB331" t="str">
        <f t="shared" si="30"/>
        <v>1200</v>
      </c>
      <c r="BC331">
        <v>1</v>
      </c>
      <c r="BD331" t="str">
        <f t="shared" si="31"/>
        <v xml:space="preserve">N445JS  </v>
      </c>
      <c r="BE331">
        <v>7</v>
      </c>
      <c r="BG331">
        <v>0</v>
      </c>
      <c r="BH331">
        <v>0</v>
      </c>
      <c r="BI331">
        <v>0</v>
      </c>
      <c r="BJ331">
        <v>3100</v>
      </c>
      <c r="BK331">
        <v>-200</v>
      </c>
      <c r="BL331" t="s">
        <v>132</v>
      </c>
      <c r="BM331">
        <v>1</v>
      </c>
      <c r="BN331">
        <v>1</v>
      </c>
      <c r="BO331">
        <v>1</v>
      </c>
      <c r="BP331">
        <v>0</v>
      </c>
      <c r="BT331">
        <v>0</v>
      </c>
      <c r="BU331">
        <v>0</v>
      </c>
      <c r="CE331" t="str">
        <f>"15:38:55.790"</f>
        <v>15:38:55.790</v>
      </c>
      <c r="CF331">
        <v>789889424</v>
      </c>
      <c r="CS331">
        <v>0</v>
      </c>
      <c r="CT331">
        <v>2</v>
      </c>
      <c r="CU331">
        <v>0</v>
      </c>
      <c r="CV331">
        <v>2</v>
      </c>
      <c r="CW331">
        <v>0</v>
      </c>
      <c r="CX331">
        <v>7</v>
      </c>
      <c r="CY331">
        <v>7</v>
      </c>
      <c r="CZ331" t="s">
        <v>133</v>
      </c>
      <c r="DA331">
        <v>125</v>
      </c>
      <c r="DB331">
        <v>1</v>
      </c>
      <c r="DC331" t="s">
        <v>134</v>
      </c>
      <c r="DD331" t="s">
        <v>135</v>
      </c>
      <c r="DG331">
        <v>2525402</v>
      </c>
      <c r="DI331">
        <v>0</v>
      </c>
      <c r="DJ331">
        <v>0</v>
      </c>
      <c r="DK331">
        <v>1</v>
      </c>
      <c r="DL331">
        <v>0</v>
      </c>
      <c r="DM331">
        <v>0</v>
      </c>
      <c r="DN331">
        <v>0</v>
      </c>
      <c r="DO331">
        <v>0</v>
      </c>
      <c r="DP331">
        <v>0</v>
      </c>
      <c r="DQ331">
        <v>0</v>
      </c>
      <c r="DR331">
        <v>0</v>
      </c>
      <c r="DS331">
        <v>0</v>
      </c>
    </row>
    <row r="332" spans="1:123" x14ac:dyDescent="0.25">
      <c r="A332" t="str">
        <f>"04/17/2026 15:38:56.040"</f>
        <v>04/17/2026 15:38:56.040</v>
      </c>
      <c r="C332" t="str">
        <f t="shared" si="28"/>
        <v>FFDFD3C0</v>
      </c>
      <c r="D332" t="s">
        <v>136</v>
      </c>
      <c r="E332" t="str">
        <f>"0F"</f>
        <v>0F</v>
      </c>
      <c r="F332">
        <v>1015</v>
      </c>
      <c r="G332" t="s">
        <v>138</v>
      </c>
      <c r="J332" t="s">
        <v>137</v>
      </c>
      <c r="K332">
        <v>0</v>
      </c>
      <c r="L332">
        <v>3</v>
      </c>
      <c r="M332">
        <v>0</v>
      </c>
      <c r="N332">
        <v>2</v>
      </c>
      <c r="O332">
        <v>1</v>
      </c>
      <c r="P332">
        <v>0</v>
      </c>
      <c r="Q332">
        <v>0</v>
      </c>
      <c r="R332" t="s">
        <v>127</v>
      </c>
      <c r="S332" t="str">
        <f>"15:38:55.789"</f>
        <v>15:38:55.789</v>
      </c>
      <c r="T332" t="str">
        <f>"15:38:55.389"</f>
        <v>15:38:55.389</v>
      </c>
      <c r="U332" t="str">
        <f t="shared" si="29"/>
        <v>A55E09</v>
      </c>
      <c r="V332">
        <v>0</v>
      </c>
      <c r="W332">
        <v>0</v>
      </c>
      <c r="X332">
        <v>2</v>
      </c>
      <c r="Y332">
        <v>0</v>
      </c>
      <c r="AA332">
        <v>0</v>
      </c>
      <c r="AB332">
        <v>9</v>
      </c>
      <c r="AC332">
        <v>3</v>
      </c>
      <c r="AD332">
        <v>0</v>
      </c>
      <c r="AE332">
        <v>9</v>
      </c>
      <c r="AF332" t="s">
        <v>128</v>
      </c>
      <c r="AG332">
        <v>0</v>
      </c>
      <c r="AH332">
        <v>0</v>
      </c>
      <c r="AI332">
        <v>1</v>
      </c>
      <c r="AJ332">
        <v>0</v>
      </c>
      <c r="AK332" t="s">
        <v>298</v>
      </c>
      <c r="AL332">
        <v>33.686506999999999</v>
      </c>
      <c r="AM332" t="s">
        <v>299</v>
      </c>
      <c r="AN332">
        <v>-101.207685</v>
      </c>
      <c r="AO332">
        <v>100</v>
      </c>
      <c r="AP332">
        <v>3300</v>
      </c>
      <c r="AQ332" t="s">
        <v>131</v>
      </c>
      <c r="AR332">
        <v>-15</v>
      </c>
      <c r="AS332">
        <v>87</v>
      </c>
      <c r="AT332">
        <v>0</v>
      </c>
      <c r="BB332" t="str">
        <f t="shared" si="30"/>
        <v>1200</v>
      </c>
      <c r="BC332">
        <v>1</v>
      </c>
      <c r="BD332" t="str">
        <f t="shared" si="31"/>
        <v xml:space="preserve">N445JS  </v>
      </c>
      <c r="BE332">
        <v>7</v>
      </c>
      <c r="BG332">
        <v>0</v>
      </c>
      <c r="BH332">
        <v>0</v>
      </c>
      <c r="BI332">
        <v>0</v>
      </c>
      <c r="BJ332">
        <v>3100</v>
      </c>
      <c r="BK332">
        <v>-200</v>
      </c>
      <c r="BL332" t="s">
        <v>132</v>
      </c>
      <c r="BM332">
        <v>1</v>
      </c>
      <c r="BN332">
        <v>1</v>
      </c>
      <c r="BO332">
        <v>1</v>
      </c>
      <c r="BP332">
        <v>0</v>
      </c>
      <c r="BT332">
        <v>0</v>
      </c>
      <c r="BU332">
        <v>0</v>
      </c>
      <c r="CE332" t="str">
        <f>"15:38:55.790"</f>
        <v>15:38:55.790</v>
      </c>
      <c r="CF332">
        <v>789889424</v>
      </c>
      <c r="CS332">
        <v>0</v>
      </c>
      <c r="CT332">
        <v>2</v>
      </c>
      <c r="CU332">
        <v>0</v>
      </c>
      <c r="CV332">
        <v>2</v>
      </c>
      <c r="CW332">
        <v>0</v>
      </c>
      <c r="CX332">
        <v>7</v>
      </c>
      <c r="CY332">
        <v>7</v>
      </c>
      <c r="CZ332" t="s">
        <v>133</v>
      </c>
      <c r="DA332">
        <v>125</v>
      </c>
      <c r="DB332">
        <v>1</v>
      </c>
      <c r="DC332" t="s">
        <v>134</v>
      </c>
      <c r="DD332" t="s">
        <v>135</v>
      </c>
      <c r="DG332">
        <v>2525402</v>
      </c>
      <c r="DI332">
        <v>0</v>
      </c>
      <c r="DJ332">
        <v>0</v>
      </c>
      <c r="DK332">
        <v>1</v>
      </c>
      <c r="DL332">
        <v>0</v>
      </c>
      <c r="DM332">
        <v>0</v>
      </c>
      <c r="DN332">
        <v>0</v>
      </c>
      <c r="DO332">
        <v>0</v>
      </c>
      <c r="DP332">
        <v>0</v>
      </c>
      <c r="DQ332">
        <v>0</v>
      </c>
      <c r="DR332">
        <v>0</v>
      </c>
      <c r="DS332">
        <v>0</v>
      </c>
    </row>
    <row r="333" spans="1:123" x14ac:dyDescent="0.25">
      <c r="A333" t="str">
        <f>"04/17/2026 15:38:56.049"</f>
        <v>04/17/2026 15:38:56.049</v>
      </c>
      <c r="C333" t="str">
        <f t="shared" si="28"/>
        <v>FFDFD3C0</v>
      </c>
      <c r="D333" t="s">
        <v>124</v>
      </c>
      <c r="E333" t="str">
        <f>"03"</f>
        <v>03</v>
      </c>
      <c r="H333">
        <v>160</v>
      </c>
      <c r="I333" t="s">
        <v>125</v>
      </c>
      <c r="J333" t="s">
        <v>126</v>
      </c>
      <c r="K333">
        <v>0</v>
      </c>
      <c r="L333">
        <v>3</v>
      </c>
      <c r="M333">
        <v>0</v>
      </c>
      <c r="N333">
        <v>2</v>
      </c>
      <c r="O333">
        <v>1</v>
      </c>
      <c r="P333">
        <v>0</v>
      </c>
      <c r="Q333">
        <v>0</v>
      </c>
      <c r="R333" t="s">
        <v>127</v>
      </c>
      <c r="S333" t="str">
        <f>"15:38:55.789"</f>
        <v>15:38:55.789</v>
      </c>
      <c r="T333" t="str">
        <f>"15:38:55.389"</f>
        <v>15:38:55.389</v>
      </c>
      <c r="U333" t="str">
        <f t="shared" si="29"/>
        <v>A55E09</v>
      </c>
      <c r="V333">
        <v>0</v>
      </c>
      <c r="W333">
        <v>0</v>
      </c>
      <c r="X333">
        <v>2</v>
      </c>
      <c r="Y333">
        <v>0</v>
      </c>
      <c r="AA333">
        <v>0</v>
      </c>
      <c r="AB333">
        <v>9</v>
      </c>
      <c r="AC333">
        <v>3</v>
      </c>
      <c r="AD333">
        <v>0</v>
      </c>
      <c r="AE333">
        <v>9</v>
      </c>
      <c r="AF333" t="s">
        <v>128</v>
      </c>
      <c r="AG333">
        <v>0</v>
      </c>
      <c r="AH333">
        <v>0</v>
      </c>
      <c r="AI333">
        <v>1</v>
      </c>
      <c r="AJ333">
        <v>0</v>
      </c>
      <c r="AK333" t="s">
        <v>298</v>
      </c>
      <c r="AL333">
        <v>33.686506999999999</v>
      </c>
      <c r="AM333" t="s">
        <v>299</v>
      </c>
      <c r="AN333">
        <v>-101.207685</v>
      </c>
      <c r="AO333">
        <v>100</v>
      </c>
      <c r="AP333">
        <v>3300</v>
      </c>
      <c r="AQ333" t="s">
        <v>131</v>
      </c>
      <c r="AR333">
        <v>-15</v>
      </c>
      <c r="AS333">
        <v>87</v>
      </c>
      <c r="AT333">
        <v>0</v>
      </c>
      <c r="BB333" t="str">
        <f t="shared" si="30"/>
        <v>1200</v>
      </c>
      <c r="BC333">
        <v>1</v>
      </c>
      <c r="BD333" t="str">
        <f t="shared" si="31"/>
        <v xml:space="preserve">N445JS  </v>
      </c>
      <c r="BE333">
        <v>7</v>
      </c>
      <c r="BG333">
        <v>0</v>
      </c>
      <c r="BH333">
        <v>0</v>
      </c>
      <c r="BI333">
        <v>0</v>
      </c>
      <c r="BJ333">
        <v>3100</v>
      </c>
      <c r="BK333">
        <v>-200</v>
      </c>
      <c r="BL333" t="s">
        <v>132</v>
      </c>
      <c r="BM333">
        <v>1</v>
      </c>
      <c r="BN333">
        <v>1</v>
      </c>
      <c r="BO333">
        <v>1</v>
      </c>
      <c r="BP333">
        <v>0</v>
      </c>
      <c r="BT333">
        <v>0</v>
      </c>
      <c r="BU333">
        <v>0</v>
      </c>
      <c r="CE333" t="str">
        <f>"15:38:55.790"</f>
        <v>15:38:55.790</v>
      </c>
      <c r="CF333">
        <v>789889424</v>
      </c>
      <c r="CS333">
        <v>0</v>
      </c>
      <c r="CT333">
        <v>2</v>
      </c>
      <c r="CU333">
        <v>0</v>
      </c>
      <c r="CV333">
        <v>2</v>
      </c>
      <c r="CW333">
        <v>0</v>
      </c>
      <c r="CX333">
        <v>7</v>
      </c>
      <c r="CY333">
        <v>7</v>
      </c>
      <c r="CZ333" t="s">
        <v>133</v>
      </c>
      <c r="DA333">
        <v>125</v>
      </c>
      <c r="DB333">
        <v>1</v>
      </c>
      <c r="DC333" t="s">
        <v>134</v>
      </c>
      <c r="DD333" t="s">
        <v>135</v>
      </c>
      <c r="DG333">
        <v>2525402</v>
      </c>
      <c r="DI333">
        <v>0</v>
      </c>
      <c r="DJ333">
        <v>0</v>
      </c>
      <c r="DK333">
        <v>1</v>
      </c>
      <c r="DL333">
        <v>0</v>
      </c>
      <c r="DM333">
        <v>0</v>
      </c>
      <c r="DN333">
        <v>0</v>
      </c>
      <c r="DO333">
        <v>0</v>
      </c>
      <c r="DP333">
        <v>0</v>
      </c>
      <c r="DQ333">
        <v>0</v>
      </c>
      <c r="DR333">
        <v>0</v>
      </c>
      <c r="DS333">
        <v>0</v>
      </c>
    </row>
    <row r="334" spans="1:123" x14ac:dyDescent="0.25">
      <c r="A334" t="str">
        <f>"04/17/2026 15:38:56.990"</f>
        <v>04/17/2026 15:38:56.990</v>
      </c>
      <c r="C334" t="str">
        <f t="shared" si="28"/>
        <v>FFDFD3C0</v>
      </c>
      <c r="D334" t="s">
        <v>136</v>
      </c>
      <c r="E334" t="str">
        <f>"0E"</f>
        <v>0E</v>
      </c>
      <c r="F334">
        <v>1014</v>
      </c>
      <c r="G334" t="s">
        <v>125</v>
      </c>
      <c r="J334" t="s">
        <v>137</v>
      </c>
      <c r="K334">
        <v>0</v>
      </c>
      <c r="L334">
        <v>3</v>
      </c>
      <c r="M334">
        <v>0</v>
      </c>
      <c r="N334">
        <v>2</v>
      </c>
      <c r="O334">
        <v>1</v>
      </c>
      <c r="P334">
        <v>0</v>
      </c>
      <c r="Q334">
        <v>0</v>
      </c>
      <c r="R334" t="s">
        <v>127</v>
      </c>
      <c r="S334" t="str">
        <f>"15:38:56.734"</f>
        <v>15:38:56.734</v>
      </c>
      <c r="T334" t="str">
        <f>"15:38:56.434"</f>
        <v>15:38:56.434</v>
      </c>
      <c r="U334" t="str">
        <f t="shared" si="29"/>
        <v>A55E09</v>
      </c>
      <c r="V334">
        <v>0</v>
      </c>
      <c r="W334">
        <v>0</v>
      </c>
      <c r="X334">
        <v>2</v>
      </c>
      <c r="Y334">
        <v>0</v>
      </c>
      <c r="AA334">
        <v>0</v>
      </c>
      <c r="AB334">
        <v>9</v>
      </c>
      <c r="AC334">
        <v>3</v>
      </c>
      <c r="AD334">
        <v>0</v>
      </c>
      <c r="AE334">
        <v>9</v>
      </c>
      <c r="AF334" t="s">
        <v>128</v>
      </c>
      <c r="AG334">
        <v>0</v>
      </c>
      <c r="AH334">
        <v>0</v>
      </c>
      <c r="AI334">
        <v>1</v>
      </c>
      <c r="AJ334">
        <v>0</v>
      </c>
      <c r="AK334" t="s">
        <v>300</v>
      </c>
      <c r="AL334">
        <v>33.686872000000001</v>
      </c>
      <c r="AM334" t="s">
        <v>301</v>
      </c>
      <c r="AN334">
        <v>-101.207728</v>
      </c>
      <c r="AO334">
        <v>100</v>
      </c>
      <c r="AP334">
        <v>3300</v>
      </c>
      <c r="AQ334" t="s">
        <v>131</v>
      </c>
      <c r="AR334">
        <v>-14</v>
      </c>
      <c r="AS334">
        <v>88</v>
      </c>
      <c r="AT334">
        <v>-64</v>
      </c>
      <c r="BB334" t="str">
        <f t="shared" si="30"/>
        <v>1200</v>
      </c>
      <c r="BC334">
        <v>1</v>
      </c>
      <c r="BD334" t="str">
        <f t="shared" si="31"/>
        <v xml:space="preserve">N445JS  </v>
      </c>
      <c r="BE334">
        <v>7</v>
      </c>
      <c r="BG334">
        <v>0</v>
      </c>
      <c r="BH334">
        <v>0</v>
      </c>
      <c r="BI334">
        <v>0</v>
      </c>
      <c r="BJ334">
        <v>3100</v>
      </c>
      <c r="BK334">
        <v>-200</v>
      </c>
      <c r="BL334" t="s">
        <v>132</v>
      </c>
      <c r="BM334">
        <v>1</v>
      </c>
      <c r="BN334">
        <v>1</v>
      </c>
      <c r="BO334">
        <v>1</v>
      </c>
      <c r="BP334">
        <v>0</v>
      </c>
      <c r="BT334">
        <v>0</v>
      </c>
      <c r="BU334">
        <v>0</v>
      </c>
      <c r="CE334" t="str">
        <f>"15:38:56.735"</f>
        <v>15:38:56.735</v>
      </c>
      <c r="CF334">
        <v>734796810</v>
      </c>
      <c r="CS334">
        <v>0</v>
      </c>
      <c r="CT334">
        <v>2</v>
      </c>
      <c r="CU334">
        <v>0</v>
      </c>
      <c r="CV334">
        <v>2</v>
      </c>
      <c r="CW334">
        <v>0</v>
      </c>
      <c r="CX334">
        <v>7</v>
      </c>
      <c r="CY334">
        <v>7</v>
      </c>
      <c r="CZ334" t="s">
        <v>133</v>
      </c>
      <c r="DA334">
        <v>125</v>
      </c>
      <c r="DB334">
        <v>1</v>
      </c>
      <c r="DC334" t="s">
        <v>134</v>
      </c>
      <c r="DD334" t="s">
        <v>135</v>
      </c>
      <c r="DG334">
        <v>2526341</v>
      </c>
      <c r="DI334">
        <v>0</v>
      </c>
      <c r="DJ334">
        <v>0</v>
      </c>
      <c r="DK334">
        <v>0</v>
      </c>
      <c r="DL334">
        <v>0</v>
      </c>
      <c r="DM334">
        <v>0</v>
      </c>
      <c r="DN334">
        <v>0</v>
      </c>
      <c r="DO334">
        <v>0</v>
      </c>
      <c r="DP334">
        <v>0</v>
      </c>
      <c r="DQ334">
        <v>0</v>
      </c>
      <c r="DR334">
        <v>0</v>
      </c>
      <c r="DS334">
        <v>0</v>
      </c>
    </row>
    <row r="335" spans="1:123" x14ac:dyDescent="0.25">
      <c r="A335" t="str">
        <f>"04/17/2026 15:38:56.992"</f>
        <v>04/17/2026 15:38:56.992</v>
      </c>
      <c r="C335" t="str">
        <f t="shared" si="28"/>
        <v>FFDFD3C0</v>
      </c>
      <c r="D335" t="s">
        <v>136</v>
      </c>
      <c r="E335" t="str">
        <f>"0F"</f>
        <v>0F</v>
      </c>
      <c r="F335">
        <v>1015</v>
      </c>
      <c r="G335" t="s">
        <v>138</v>
      </c>
      <c r="J335" t="s">
        <v>137</v>
      </c>
      <c r="K335">
        <v>0</v>
      </c>
      <c r="L335">
        <v>3</v>
      </c>
      <c r="M335">
        <v>0</v>
      </c>
      <c r="N335">
        <v>2</v>
      </c>
      <c r="O335">
        <v>1</v>
      </c>
      <c r="P335">
        <v>0</v>
      </c>
      <c r="Q335">
        <v>0</v>
      </c>
      <c r="R335" t="s">
        <v>127</v>
      </c>
      <c r="S335" t="str">
        <f>"15:38:56.734"</f>
        <v>15:38:56.734</v>
      </c>
      <c r="T335" t="str">
        <f>"15:38:56.434"</f>
        <v>15:38:56.434</v>
      </c>
      <c r="U335" t="str">
        <f t="shared" si="29"/>
        <v>A55E09</v>
      </c>
      <c r="V335">
        <v>0</v>
      </c>
      <c r="W335">
        <v>0</v>
      </c>
      <c r="X335">
        <v>2</v>
      </c>
      <c r="Y335">
        <v>0</v>
      </c>
      <c r="AA335">
        <v>0</v>
      </c>
      <c r="AB335">
        <v>9</v>
      </c>
      <c r="AC335">
        <v>3</v>
      </c>
      <c r="AD335">
        <v>0</v>
      </c>
      <c r="AE335">
        <v>9</v>
      </c>
      <c r="AF335" t="s">
        <v>128</v>
      </c>
      <c r="AG335">
        <v>0</v>
      </c>
      <c r="AH335">
        <v>0</v>
      </c>
      <c r="AI335">
        <v>1</v>
      </c>
      <c r="AJ335">
        <v>0</v>
      </c>
      <c r="AK335" t="s">
        <v>300</v>
      </c>
      <c r="AL335">
        <v>33.686872000000001</v>
      </c>
      <c r="AM335" t="s">
        <v>301</v>
      </c>
      <c r="AN335">
        <v>-101.207728</v>
      </c>
      <c r="AO335">
        <v>100</v>
      </c>
      <c r="AP335">
        <v>3300</v>
      </c>
      <c r="AQ335" t="s">
        <v>131</v>
      </c>
      <c r="AR335">
        <v>-14</v>
      </c>
      <c r="AS335">
        <v>88</v>
      </c>
      <c r="AT335">
        <v>-64</v>
      </c>
      <c r="BB335" t="str">
        <f t="shared" si="30"/>
        <v>1200</v>
      </c>
      <c r="BC335">
        <v>1</v>
      </c>
      <c r="BD335" t="str">
        <f t="shared" si="31"/>
        <v xml:space="preserve">N445JS  </v>
      </c>
      <c r="BE335">
        <v>7</v>
      </c>
      <c r="BG335">
        <v>0</v>
      </c>
      <c r="BH335">
        <v>0</v>
      </c>
      <c r="BI335">
        <v>0</v>
      </c>
      <c r="BJ335">
        <v>3100</v>
      </c>
      <c r="BK335">
        <v>-200</v>
      </c>
      <c r="BL335" t="s">
        <v>132</v>
      </c>
      <c r="BM335">
        <v>1</v>
      </c>
      <c r="BN335">
        <v>1</v>
      </c>
      <c r="BO335">
        <v>1</v>
      </c>
      <c r="BP335">
        <v>0</v>
      </c>
      <c r="BT335">
        <v>0</v>
      </c>
      <c r="BU335">
        <v>0</v>
      </c>
      <c r="CE335" t="str">
        <f>"15:38:56.735"</f>
        <v>15:38:56.735</v>
      </c>
      <c r="CF335">
        <v>734796810</v>
      </c>
      <c r="CS335">
        <v>0</v>
      </c>
      <c r="CT335">
        <v>2</v>
      </c>
      <c r="CU335">
        <v>0</v>
      </c>
      <c r="CV335">
        <v>2</v>
      </c>
      <c r="CW335">
        <v>0</v>
      </c>
      <c r="CX335">
        <v>7</v>
      </c>
      <c r="CY335">
        <v>7</v>
      </c>
      <c r="CZ335" t="s">
        <v>133</v>
      </c>
      <c r="DA335">
        <v>125</v>
      </c>
      <c r="DB335">
        <v>1</v>
      </c>
      <c r="DC335" t="s">
        <v>134</v>
      </c>
      <c r="DD335" t="s">
        <v>135</v>
      </c>
      <c r="DG335">
        <v>2526341</v>
      </c>
      <c r="DI335">
        <v>0</v>
      </c>
      <c r="DJ335">
        <v>0</v>
      </c>
      <c r="DK335">
        <v>1</v>
      </c>
      <c r="DL335">
        <v>0</v>
      </c>
      <c r="DM335">
        <v>0</v>
      </c>
      <c r="DN335">
        <v>0</v>
      </c>
      <c r="DO335">
        <v>0</v>
      </c>
      <c r="DP335">
        <v>0</v>
      </c>
      <c r="DQ335">
        <v>0</v>
      </c>
      <c r="DR335">
        <v>0</v>
      </c>
      <c r="DS335">
        <v>0</v>
      </c>
    </row>
    <row r="336" spans="1:123" x14ac:dyDescent="0.25">
      <c r="A336" t="str">
        <f>"04/17/2026 15:38:57.001"</f>
        <v>04/17/2026 15:38:57.001</v>
      </c>
      <c r="C336" t="str">
        <f t="shared" si="28"/>
        <v>FFDFD3C0</v>
      </c>
      <c r="D336" t="s">
        <v>124</v>
      </c>
      <c r="E336" t="str">
        <f>"03"</f>
        <v>03</v>
      </c>
      <c r="H336">
        <v>160</v>
      </c>
      <c r="I336" t="s">
        <v>125</v>
      </c>
      <c r="J336" t="s">
        <v>126</v>
      </c>
      <c r="K336">
        <v>0</v>
      </c>
      <c r="L336">
        <v>3</v>
      </c>
      <c r="M336">
        <v>0</v>
      </c>
      <c r="N336">
        <v>2</v>
      </c>
      <c r="O336">
        <v>1</v>
      </c>
      <c r="P336">
        <v>0</v>
      </c>
      <c r="Q336">
        <v>0</v>
      </c>
      <c r="R336" t="s">
        <v>127</v>
      </c>
      <c r="S336" t="str">
        <f>"15:38:56.734"</f>
        <v>15:38:56.734</v>
      </c>
      <c r="T336" t="str">
        <f>"15:38:56.434"</f>
        <v>15:38:56.434</v>
      </c>
      <c r="U336" t="str">
        <f t="shared" si="29"/>
        <v>A55E09</v>
      </c>
      <c r="V336">
        <v>0</v>
      </c>
      <c r="W336">
        <v>0</v>
      </c>
      <c r="X336">
        <v>2</v>
      </c>
      <c r="Y336">
        <v>0</v>
      </c>
      <c r="AA336">
        <v>0</v>
      </c>
      <c r="AB336">
        <v>9</v>
      </c>
      <c r="AC336">
        <v>3</v>
      </c>
      <c r="AD336">
        <v>0</v>
      </c>
      <c r="AE336">
        <v>9</v>
      </c>
      <c r="AF336" t="s">
        <v>128</v>
      </c>
      <c r="AG336">
        <v>0</v>
      </c>
      <c r="AH336">
        <v>0</v>
      </c>
      <c r="AI336">
        <v>1</v>
      </c>
      <c r="AJ336">
        <v>0</v>
      </c>
      <c r="AK336" t="s">
        <v>300</v>
      </c>
      <c r="AL336">
        <v>33.686872000000001</v>
      </c>
      <c r="AM336" t="s">
        <v>301</v>
      </c>
      <c r="AN336">
        <v>-101.207728</v>
      </c>
      <c r="AO336">
        <v>100</v>
      </c>
      <c r="AP336">
        <v>3300</v>
      </c>
      <c r="AQ336" t="s">
        <v>131</v>
      </c>
      <c r="AR336">
        <v>-14</v>
      </c>
      <c r="AS336">
        <v>88</v>
      </c>
      <c r="AT336">
        <v>-64</v>
      </c>
      <c r="BB336" t="str">
        <f t="shared" si="30"/>
        <v>1200</v>
      </c>
      <c r="BC336">
        <v>1</v>
      </c>
      <c r="BD336" t="str">
        <f t="shared" si="31"/>
        <v xml:space="preserve">N445JS  </v>
      </c>
      <c r="BE336">
        <v>7</v>
      </c>
      <c r="BG336">
        <v>0</v>
      </c>
      <c r="BH336">
        <v>0</v>
      </c>
      <c r="BI336">
        <v>0</v>
      </c>
      <c r="BJ336">
        <v>3100</v>
      </c>
      <c r="BK336">
        <v>-200</v>
      </c>
      <c r="BL336" t="s">
        <v>132</v>
      </c>
      <c r="BM336">
        <v>1</v>
      </c>
      <c r="BN336">
        <v>1</v>
      </c>
      <c r="BO336">
        <v>1</v>
      </c>
      <c r="BP336">
        <v>0</v>
      </c>
      <c r="BT336">
        <v>0</v>
      </c>
      <c r="BU336">
        <v>0</v>
      </c>
      <c r="CE336" t="str">
        <f>"15:38:56.735"</f>
        <v>15:38:56.735</v>
      </c>
      <c r="CF336">
        <v>734796810</v>
      </c>
      <c r="CS336">
        <v>0</v>
      </c>
      <c r="CT336">
        <v>2</v>
      </c>
      <c r="CU336">
        <v>0</v>
      </c>
      <c r="CV336">
        <v>2</v>
      </c>
      <c r="CW336">
        <v>0</v>
      </c>
      <c r="CX336">
        <v>7</v>
      </c>
      <c r="CY336">
        <v>7</v>
      </c>
      <c r="CZ336" t="s">
        <v>133</v>
      </c>
      <c r="DA336">
        <v>125</v>
      </c>
      <c r="DB336">
        <v>1</v>
      </c>
      <c r="DC336" t="s">
        <v>134</v>
      </c>
      <c r="DD336" t="s">
        <v>135</v>
      </c>
      <c r="DG336">
        <v>2526341</v>
      </c>
      <c r="DI336">
        <v>0</v>
      </c>
      <c r="DJ336">
        <v>0</v>
      </c>
      <c r="DK336">
        <v>1</v>
      </c>
      <c r="DL336">
        <v>0</v>
      </c>
      <c r="DM336">
        <v>0</v>
      </c>
      <c r="DN336">
        <v>0</v>
      </c>
      <c r="DO336">
        <v>0</v>
      </c>
      <c r="DP336">
        <v>0</v>
      </c>
      <c r="DQ336">
        <v>0</v>
      </c>
      <c r="DR336">
        <v>0</v>
      </c>
      <c r="DS336">
        <v>0</v>
      </c>
    </row>
    <row r="337" spans="1:123" x14ac:dyDescent="0.25">
      <c r="A337" t="str">
        <f>"04/17/2026 15:38:57.027"</f>
        <v>04/17/2026 15:38:57.027</v>
      </c>
      <c r="C337" t="str">
        <f t="shared" si="28"/>
        <v>FFDFD3C0</v>
      </c>
      <c r="D337" t="s">
        <v>139</v>
      </c>
      <c r="E337" t="str">
        <f>"28"</f>
        <v>28</v>
      </c>
      <c r="H337">
        <v>140</v>
      </c>
      <c r="I337" t="s">
        <v>140</v>
      </c>
      <c r="J337" t="s">
        <v>141</v>
      </c>
      <c r="K337">
        <v>0</v>
      </c>
      <c r="L337">
        <v>3</v>
      </c>
      <c r="M337">
        <v>0</v>
      </c>
      <c r="N337">
        <v>2</v>
      </c>
      <c r="O337">
        <v>1</v>
      </c>
      <c r="P337">
        <v>0</v>
      </c>
      <c r="Q337">
        <v>0</v>
      </c>
      <c r="R337" t="s">
        <v>127</v>
      </c>
      <c r="S337" t="str">
        <f>"15:38:56.734"</f>
        <v>15:38:56.734</v>
      </c>
      <c r="T337" t="str">
        <f>"15:38:56.434"</f>
        <v>15:38:56.434</v>
      </c>
      <c r="U337" t="str">
        <f t="shared" si="29"/>
        <v>A55E09</v>
      </c>
      <c r="V337">
        <v>0</v>
      </c>
      <c r="W337">
        <v>0</v>
      </c>
      <c r="X337">
        <v>2</v>
      </c>
      <c r="Y337">
        <v>0</v>
      </c>
      <c r="AA337">
        <v>0</v>
      </c>
      <c r="AB337">
        <v>9</v>
      </c>
      <c r="AC337">
        <v>3</v>
      </c>
      <c r="AD337">
        <v>0</v>
      </c>
      <c r="AE337">
        <v>9</v>
      </c>
      <c r="AF337" t="s">
        <v>128</v>
      </c>
      <c r="AG337">
        <v>0</v>
      </c>
      <c r="AH337">
        <v>0</v>
      </c>
      <c r="AI337">
        <v>1</v>
      </c>
      <c r="AJ337">
        <v>0</v>
      </c>
      <c r="AK337" t="s">
        <v>300</v>
      </c>
      <c r="AL337">
        <v>33.686872000000001</v>
      </c>
      <c r="AM337" t="s">
        <v>301</v>
      </c>
      <c r="AN337">
        <v>-101.207728</v>
      </c>
      <c r="AO337">
        <v>100</v>
      </c>
      <c r="AP337">
        <v>3300</v>
      </c>
      <c r="AQ337" t="s">
        <v>131</v>
      </c>
      <c r="AR337">
        <v>-14</v>
      </c>
      <c r="AS337">
        <v>88</v>
      </c>
      <c r="AT337">
        <v>-64</v>
      </c>
      <c r="BB337" t="str">
        <f t="shared" si="30"/>
        <v>1200</v>
      </c>
      <c r="BC337">
        <v>1</v>
      </c>
      <c r="BD337" t="str">
        <f t="shared" si="31"/>
        <v xml:space="preserve">N445JS  </v>
      </c>
      <c r="BE337">
        <v>7</v>
      </c>
      <c r="BG337">
        <v>0</v>
      </c>
      <c r="BH337">
        <v>0</v>
      </c>
      <c r="BI337">
        <v>0</v>
      </c>
      <c r="BJ337">
        <v>3100</v>
      </c>
      <c r="BK337">
        <v>-200</v>
      </c>
      <c r="BL337" t="s">
        <v>132</v>
      </c>
      <c r="BM337">
        <v>1</v>
      </c>
      <c r="BN337">
        <v>1</v>
      </c>
      <c r="BO337">
        <v>1</v>
      </c>
      <c r="BP337">
        <v>0</v>
      </c>
      <c r="BT337">
        <v>0</v>
      </c>
      <c r="BU337">
        <v>0</v>
      </c>
      <c r="CE337" t="str">
        <f>"15:38:56.735"</f>
        <v>15:38:56.735</v>
      </c>
      <c r="CF337">
        <v>734796810</v>
      </c>
      <c r="CS337">
        <v>0</v>
      </c>
      <c r="CT337">
        <v>2</v>
      </c>
      <c r="CU337">
        <v>0</v>
      </c>
      <c r="CV337">
        <v>2</v>
      </c>
      <c r="CW337">
        <v>0</v>
      </c>
      <c r="CX337">
        <v>7</v>
      </c>
      <c r="CY337">
        <v>7</v>
      </c>
      <c r="CZ337" t="s">
        <v>133</v>
      </c>
      <c r="DA337">
        <v>125</v>
      </c>
      <c r="DB337">
        <v>1</v>
      </c>
      <c r="DC337" t="s">
        <v>134</v>
      </c>
      <c r="DD337" t="s">
        <v>135</v>
      </c>
      <c r="DG337">
        <v>2526341</v>
      </c>
      <c r="DI337">
        <v>0</v>
      </c>
      <c r="DJ337">
        <v>0</v>
      </c>
      <c r="DK337">
        <v>1</v>
      </c>
      <c r="DL337">
        <v>0</v>
      </c>
      <c r="DM337">
        <v>0</v>
      </c>
      <c r="DN337">
        <v>0</v>
      </c>
      <c r="DO337">
        <v>0</v>
      </c>
      <c r="DP337">
        <v>0</v>
      </c>
      <c r="DQ337">
        <v>0</v>
      </c>
      <c r="DR337">
        <v>0</v>
      </c>
      <c r="DS337">
        <v>0</v>
      </c>
    </row>
    <row r="338" spans="1:123" x14ac:dyDescent="0.25">
      <c r="A338" t="str">
        <f>"04/17/2026 15:38:57.879"</f>
        <v>04/17/2026 15:38:57.879</v>
      </c>
      <c r="C338" t="str">
        <f t="shared" si="28"/>
        <v>FFDFD3C0</v>
      </c>
      <c r="D338" t="s">
        <v>139</v>
      </c>
      <c r="E338" t="str">
        <f>"28"</f>
        <v>28</v>
      </c>
      <c r="H338">
        <v>140</v>
      </c>
      <c r="I338" t="s">
        <v>140</v>
      </c>
      <c r="J338" t="s">
        <v>141</v>
      </c>
      <c r="K338">
        <v>0</v>
      </c>
      <c r="L338">
        <v>3</v>
      </c>
      <c r="M338">
        <v>0</v>
      </c>
      <c r="N338">
        <v>2</v>
      </c>
      <c r="O338">
        <v>1</v>
      </c>
      <c r="P338">
        <v>0</v>
      </c>
      <c r="Q338">
        <v>0</v>
      </c>
      <c r="R338" t="s">
        <v>127</v>
      </c>
      <c r="S338" t="str">
        <f>"15:38:57.617"</f>
        <v>15:38:57.617</v>
      </c>
      <c r="T338" t="str">
        <f>"15:38:57.417"</f>
        <v>15:38:57.417</v>
      </c>
      <c r="U338" t="str">
        <f t="shared" si="29"/>
        <v>A55E09</v>
      </c>
      <c r="V338">
        <v>0</v>
      </c>
      <c r="W338">
        <v>0</v>
      </c>
      <c r="X338">
        <v>2</v>
      </c>
      <c r="Y338">
        <v>0</v>
      </c>
      <c r="AA338">
        <v>0</v>
      </c>
      <c r="AB338">
        <v>9</v>
      </c>
      <c r="AC338">
        <v>3</v>
      </c>
      <c r="AD338">
        <v>0</v>
      </c>
      <c r="AE338">
        <v>9</v>
      </c>
      <c r="AF338" t="s">
        <v>128</v>
      </c>
      <c r="AG338">
        <v>0</v>
      </c>
      <c r="AH338">
        <v>0</v>
      </c>
      <c r="AI338">
        <v>1</v>
      </c>
      <c r="AJ338">
        <v>0</v>
      </c>
      <c r="AK338" t="s">
        <v>302</v>
      </c>
      <c r="AL338">
        <v>33.687258</v>
      </c>
      <c r="AM338" t="s">
        <v>303</v>
      </c>
      <c r="AN338">
        <v>-101.207836</v>
      </c>
      <c r="AO338">
        <v>100</v>
      </c>
      <c r="AP338">
        <v>3300</v>
      </c>
      <c r="AQ338" t="s">
        <v>131</v>
      </c>
      <c r="AR338">
        <v>-14</v>
      </c>
      <c r="AS338">
        <v>88</v>
      </c>
      <c r="AT338">
        <v>0</v>
      </c>
      <c r="BB338" t="str">
        <f t="shared" si="30"/>
        <v>1200</v>
      </c>
      <c r="BC338">
        <v>1</v>
      </c>
      <c r="BD338" t="str">
        <f t="shared" si="31"/>
        <v xml:space="preserve">N445JS  </v>
      </c>
      <c r="BE338">
        <v>7</v>
      </c>
      <c r="BG338">
        <v>0</v>
      </c>
      <c r="BH338">
        <v>0</v>
      </c>
      <c r="BI338">
        <v>0</v>
      </c>
      <c r="BJ338">
        <v>3100</v>
      </c>
      <c r="BK338">
        <v>-200</v>
      </c>
      <c r="BL338" t="s">
        <v>132</v>
      </c>
      <c r="BM338">
        <v>1</v>
      </c>
      <c r="BN338">
        <v>1</v>
      </c>
      <c r="BO338">
        <v>1</v>
      </c>
      <c r="BP338">
        <v>0</v>
      </c>
      <c r="BT338">
        <v>0</v>
      </c>
      <c r="BU338">
        <v>0</v>
      </c>
      <c r="CE338" t="str">
        <f>"15:38:57.620"</f>
        <v>15:38:57.620</v>
      </c>
      <c r="CF338">
        <v>619710068</v>
      </c>
      <c r="CS338">
        <v>0</v>
      </c>
      <c r="CT338">
        <v>2</v>
      </c>
      <c r="CU338">
        <v>0</v>
      </c>
      <c r="CV338">
        <v>2</v>
      </c>
      <c r="CW338">
        <v>0</v>
      </c>
      <c r="CX338">
        <v>7</v>
      </c>
      <c r="CY338">
        <v>7</v>
      </c>
      <c r="CZ338" t="s">
        <v>133</v>
      </c>
      <c r="DA338">
        <v>125</v>
      </c>
      <c r="DB338">
        <v>1</v>
      </c>
      <c r="DC338" t="s">
        <v>134</v>
      </c>
      <c r="DD338" t="s">
        <v>135</v>
      </c>
      <c r="DG338">
        <v>2527232</v>
      </c>
      <c r="DI338">
        <v>0</v>
      </c>
      <c r="DJ338">
        <v>0</v>
      </c>
      <c r="DK338">
        <v>0</v>
      </c>
      <c r="DL338">
        <v>0</v>
      </c>
      <c r="DM338">
        <v>0</v>
      </c>
      <c r="DN338">
        <v>0</v>
      </c>
      <c r="DO338">
        <v>0</v>
      </c>
      <c r="DP338">
        <v>0</v>
      </c>
      <c r="DQ338">
        <v>0</v>
      </c>
      <c r="DR338">
        <v>0</v>
      </c>
      <c r="DS338">
        <v>0</v>
      </c>
    </row>
    <row r="339" spans="1:123" x14ac:dyDescent="0.25">
      <c r="A339" t="str">
        <f>"04/17/2026 15:38:57.891"</f>
        <v>04/17/2026 15:38:57.891</v>
      </c>
      <c r="C339" t="str">
        <f t="shared" si="28"/>
        <v>FFDFD3C0</v>
      </c>
      <c r="D339" t="s">
        <v>136</v>
      </c>
      <c r="E339" t="str">
        <f>"0E"</f>
        <v>0E</v>
      </c>
      <c r="F339">
        <v>1014</v>
      </c>
      <c r="G339" t="s">
        <v>125</v>
      </c>
      <c r="J339" t="s">
        <v>137</v>
      </c>
      <c r="K339">
        <v>0</v>
      </c>
      <c r="L339">
        <v>3</v>
      </c>
      <c r="M339">
        <v>0</v>
      </c>
      <c r="N339">
        <v>2</v>
      </c>
      <c r="O339">
        <v>1</v>
      </c>
      <c r="P339">
        <v>0</v>
      </c>
      <c r="Q339">
        <v>0</v>
      </c>
      <c r="R339" t="s">
        <v>127</v>
      </c>
      <c r="S339" t="str">
        <f>"15:38:57.617"</f>
        <v>15:38:57.617</v>
      </c>
      <c r="T339" t="str">
        <f>"15:38:57.417"</f>
        <v>15:38:57.417</v>
      </c>
      <c r="U339" t="str">
        <f t="shared" si="29"/>
        <v>A55E09</v>
      </c>
      <c r="V339">
        <v>0</v>
      </c>
      <c r="W339">
        <v>0</v>
      </c>
      <c r="X339">
        <v>2</v>
      </c>
      <c r="Y339">
        <v>0</v>
      </c>
      <c r="AA339">
        <v>0</v>
      </c>
      <c r="AB339">
        <v>9</v>
      </c>
      <c r="AC339">
        <v>3</v>
      </c>
      <c r="AD339">
        <v>0</v>
      </c>
      <c r="AE339">
        <v>9</v>
      </c>
      <c r="AF339" t="s">
        <v>128</v>
      </c>
      <c r="AG339">
        <v>0</v>
      </c>
      <c r="AH339">
        <v>0</v>
      </c>
      <c r="AI339">
        <v>1</v>
      </c>
      <c r="AJ339">
        <v>0</v>
      </c>
      <c r="AK339" t="s">
        <v>302</v>
      </c>
      <c r="AL339">
        <v>33.687258</v>
      </c>
      <c r="AM339" t="s">
        <v>303</v>
      </c>
      <c r="AN339">
        <v>-101.207836</v>
      </c>
      <c r="AO339">
        <v>100</v>
      </c>
      <c r="AP339">
        <v>3300</v>
      </c>
      <c r="AQ339" t="s">
        <v>131</v>
      </c>
      <c r="AR339">
        <v>-14</v>
      </c>
      <c r="AS339">
        <v>88</v>
      </c>
      <c r="AT339">
        <v>0</v>
      </c>
      <c r="BB339" t="str">
        <f t="shared" si="30"/>
        <v>1200</v>
      </c>
      <c r="BC339">
        <v>1</v>
      </c>
      <c r="BD339" t="str">
        <f t="shared" si="31"/>
        <v xml:space="preserve">N445JS  </v>
      </c>
      <c r="BE339">
        <v>7</v>
      </c>
      <c r="BG339">
        <v>0</v>
      </c>
      <c r="BH339">
        <v>0</v>
      </c>
      <c r="BI339">
        <v>0</v>
      </c>
      <c r="BJ339">
        <v>3100</v>
      </c>
      <c r="BK339">
        <v>-200</v>
      </c>
      <c r="BL339" t="s">
        <v>132</v>
      </c>
      <c r="BM339">
        <v>1</v>
      </c>
      <c r="BN339">
        <v>1</v>
      </c>
      <c r="BO339">
        <v>1</v>
      </c>
      <c r="BP339">
        <v>0</v>
      </c>
      <c r="BT339">
        <v>0</v>
      </c>
      <c r="BU339">
        <v>0</v>
      </c>
      <c r="CE339" t="str">
        <f>"15:38:57.620"</f>
        <v>15:38:57.620</v>
      </c>
      <c r="CF339">
        <v>619710068</v>
      </c>
      <c r="CS339">
        <v>0</v>
      </c>
      <c r="CT339">
        <v>2</v>
      </c>
      <c r="CU339">
        <v>0</v>
      </c>
      <c r="CV339">
        <v>2</v>
      </c>
      <c r="CW339">
        <v>0</v>
      </c>
      <c r="CX339">
        <v>7</v>
      </c>
      <c r="CY339">
        <v>7</v>
      </c>
      <c r="CZ339" t="s">
        <v>133</v>
      </c>
      <c r="DA339">
        <v>125</v>
      </c>
      <c r="DB339">
        <v>1</v>
      </c>
      <c r="DC339" t="s">
        <v>134</v>
      </c>
      <c r="DD339" t="s">
        <v>135</v>
      </c>
      <c r="DG339">
        <v>2527232</v>
      </c>
      <c r="DI339">
        <v>0</v>
      </c>
      <c r="DJ339">
        <v>0</v>
      </c>
      <c r="DK339">
        <v>1</v>
      </c>
      <c r="DL339">
        <v>0</v>
      </c>
      <c r="DM339">
        <v>0</v>
      </c>
      <c r="DN339">
        <v>0</v>
      </c>
      <c r="DO339">
        <v>0</v>
      </c>
      <c r="DP339">
        <v>0</v>
      </c>
      <c r="DQ339">
        <v>0</v>
      </c>
      <c r="DR339">
        <v>0</v>
      </c>
      <c r="DS339">
        <v>0</v>
      </c>
    </row>
    <row r="340" spans="1:123" x14ac:dyDescent="0.25">
      <c r="A340" t="str">
        <f>"04/17/2026 15:38:57.893"</f>
        <v>04/17/2026 15:38:57.893</v>
      </c>
      <c r="C340" t="str">
        <f t="shared" si="28"/>
        <v>FFDFD3C0</v>
      </c>
      <c r="D340" t="s">
        <v>136</v>
      </c>
      <c r="E340" t="str">
        <f>"0F"</f>
        <v>0F</v>
      </c>
      <c r="F340">
        <v>1015</v>
      </c>
      <c r="G340" t="s">
        <v>138</v>
      </c>
      <c r="J340" t="s">
        <v>137</v>
      </c>
      <c r="K340">
        <v>0</v>
      </c>
      <c r="L340">
        <v>3</v>
      </c>
      <c r="M340">
        <v>0</v>
      </c>
      <c r="N340">
        <v>2</v>
      </c>
      <c r="O340">
        <v>1</v>
      </c>
      <c r="P340">
        <v>0</v>
      </c>
      <c r="Q340">
        <v>0</v>
      </c>
      <c r="R340" t="s">
        <v>127</v>
      </c>
      <c r="S340" t="str">
        <f>"15:38:57.617"</f>
        <v>15:38:57.617</v>
      </c>
      <c r="T340" t="str">
        <f>"15:38:57.417"</f>
        <v>15:38:57.417</v>
      </c>
      <c r="U340" t="str">
        <f t="shared" si="29"/>
        <v>A55E09</v>
      </c>
      <c r="V340">
        <v>0</v>
      </c>
      <c r="W340">
        <v>0</v>
      </c>
      <c r="X340">
        <v>2</v>
      </c>
      <c r="Y340">
        <v>0</v>
      </c>
      <c r="AA340">
        <v>0</v>
      </c>
      <c r="AB340">
        <v>9</v>
      </c>
      <c r="AC340">
        <v>3</v>
      </c>
      <c r="AD340">
        <v>0</v>
      </c>
      <c r="AE340">
        <v>9</v>
      </c>
      <c r="AF340" t="s">
        <v>128</v>
      </c>
      <c r="AG340">
        <v>0</v>
      </c>
      <c r="AH340">
        <v>0</v>
      </c>
      <c r="AI340">
        <v>1</v>
      </c>
      <c r="AJ340">
        <v>0</v>
      </c>
      <c r="AK340" t="s">
        <v>302</v>
      </c>
      <c r="AL340">
        <v>33.687258</v>
      </c>
      <c r="AM340" t="s">
        <v>303</v>
      </c>
      <c r="AN340">
        <v>-101.207836</v>
      </c>
      <c r="AO340">
        <v>100</v>
      </c>
      <c r="AP340">
        <v>3300</v>
      </c>
      <c r="AQ340" t="s">
        <v>131</v>
      </c>
      <c r="AR340">
        <v>-14</v>
      </c>
      <c r="AS340">
        <v>88</v>
      </c>
      <c r="AT340">
        <v>0</v>
      </c>
      <c r="BB340" t="str">
        <f t="shared" si="30"/>
        <v>1200</v>
      </c>
      <c r="BC340">
        <v>1</v>
      </c>
      <c r="BD340" t="str">
        <f t="shared" si="31"/>
        <v xml:space="preserve">N445JS  </v>
      </c>
      <c r="BE340">
        <v>7</v>
      </c>
      <c r="BG340">
        <v>0</v>
      </c>
      <c r="BH340">
        <v>0</v>
      </c>
      <c r="BI340">
        <v>0</v>
      </c>
      <c r="BJ340">
        <v>3100</v>
      </c>
      <c r="BK340">
        <v>-200</v>
      </c>
      <c r="BL340" t="s">
        <v>132</v>
      </c>
      <c r="BM340">
        <v>1</v>
      </c>
      <c r="BN340">
        <v>1</v>
      </c>
      <c r="BO340">
        <v>1</v>
      </c>
      <c r="BP340">
        <v>0</v>
      </c>
      <c r="BT340">
        <v>0</v>
      </c>
      <c r="BU340">
        <v>0</v>
      </c>
      <c r="CE340" t="str">
        <f>"15:38:57.620"</f>
        <v>15:38:57.620</v>
      </c>
      <c r="CF340">
        <v>619710068</v>
      </c>
      <c r="CS340">
        <v>0</v>
      </c>
      <c r="CT340">
        <v>2</v>
      </c>
      <c r="CU340">
        <v>0</v>
      </c>
      <c r="CV340">
        <v>2</v>
      </c>
      <c r="CW340">
        <v>0</v>
      </c>
      <c r="CX340">
        <v>7</v>
      </c>
      <c r="CY340">
        <v>7</v>
      </c>
      <c r="CZ340" t="s">
        <v>133</v>
      </c>
      <c r="DA340">
        <v>125</v>
      </c>
      <c r="DB340">
        <v>1</v>
      </c>
      <c r="DC340" t="s">
        <v>134</v>
      </c>
      <c r="DD340" t="s">
        <v>135</v>
      </c>
      <c r="DG340">
        <v>2527232</v>
      </c>
      <c r="DI340">
        <v>0</v>
      </c>
      <c r="DJ340">
        <v>0</v>
      </c>
      <c r="DK340">
        <v>1</v>
      </c>
      <c r="DL340">
        <v>0</v>
      </c>
      <c r="DM340">
        <v>0</v>
      </c>
      <c r="DN340">
        <v>0</v>
      </c>
      <c r="DO340">
        <v>0</v>
      </c>
      <c r="DP340">
        <v>0</v>
      </c>
      <c r="DQ340">
        <v>0</v>
      </c>
      <c r="DR340">
        <v>0</v>
      </c>
      <c r="DS340">
        <v>0</v>
      </c>
    </row>
    <row r="341" spans="1:123" x14ac:dyDescent="0.25">
      <c r="A341" t="str">
        <f>"04/17/2026 15:38:57.903"</f>
        <v>04/17/2026 15:38:57.903</v>
      </c>
      <c r="C341" t="str">
        <f t="shared" si="28"/>
        <v>FFDFD3C0</v>
      </c>
      <c r="D341" t="s">
        <v>124</v>
      </c>
      <c r="E341" t="str">
        <f>"03"</f>
        <v>03</v>
      </c>
      <c r="H341">
        <v>160</v>
      </c>
      <c r="I341" t="s">
        <v>125</v>
      </c>
      <c r="J341" t="s">
        <v>126</v>
      </c>
      <c r="K341">
        <v>0</v>
      </c>
      <c r="L341">
        <v>3</v>
      </c>
      <c r="M341">
        <v>0</v>
      </c>
      <c r="N341">
        <v>2</v>
      </c>
      <c r="O341">
        <v>1</v>
      </c>
      <c r="P341">
        <v>0</v>
      </c>
      <c r="Q341">
        <v>0</v>
      </c>
      <c r="R341" t="s">
        <v>127</v>
      </c>
      <c r="S341" t="str">
        <f>"15:38:57.617"</f>
        <v>15:38:57.617</v>
      </c>
      <c r="T341" t="str">
        <f>"15:38:57.417"</f>
        <v>15:38:57.417</v>
      </c>
      <c r="U341" t="str">
        <f t="shared" si="29"/>
        <v>A55E09</v>
      </c>
      <c r="V341">
        <v>0</v>
      </c>
      <c r="W341">
        <v>0</v>
      </c>
      <c r="X341">
        <v>2</v>
      </c>
      <c r="Y341">
        <v>0</v>
      </c>
      <c r="AA341">
        <v>0</v>
      </c>
      <c r="AB341">
        <v>9</v>
      </c>
      <c r="AC341">
        <v>3</v>
      </c>
      <c r="AD341">
        <v>0</v>
      </c>
      <c r="AE341">
        <v>9</v>
      </c>
      <c r="AF341" t="s">
        <v>128</v>
      </c>
      <c r="AG341">
        <v>0</v>
      </c>
      <c r="AH341">
        <v>0</v>
      </c>
      <c r="AI341">
        <v>1</v>
      </c>
      <c r="AJ341">
        <v>0</v>
      </c>
      <c r="AK341" t="s">
        <v>302</v>
      </c>
      <c r="AL341">
        <v>33.687258</v>
      </c>
      <c r="AM341" t="s">
        <v>303</v>
      </c>
      <c r="AN341">
        <v>-101.207836</v>
      </c>
      <c r="AO341">
        <v>100</v>
      </c>
      <c r="AP341">
        <v>3300</v>
      </c>
      <c r="AQ341" t="s">
        <v>131</v>
      </c>
      <c r="AR341">
        <v>-14</v>
      </c>
      <c r="AS341">
        <v>88</v>
      </c>
      <c r="AT341">
        <v>0</v>
      </c>
      <c r="BB341" t="str">
        <f t="shared" si="30"/>
        <v>1200</v>
      </c>
      <c r="BC341">
        <v>1</v>
      </c>
      <c r="BD341" t="str">
        <f t="shared" si="31"/>
        <v xml:space="preserve">N445JS  </v>
      </c>
      <c r="BE341">
        <v>7</v>
      </c>
      <c r="BG341">
        <v>0</v>
      </c>
      <c r="BH341">
        <v>0</v>
      </c>
      <c r="BI341">
        <v>0</v>
      </c>
      <c r="BJ341">
        <v>3100</v>
      </c>
      <c r="BK341">
        <v>-200</v>
      </c>
      <c r="BL341" t="s">
        <v>132</v>
      </c>
      <c r="BM341">
        <v>1</v>
      </c>
      <c r="BN341">
        <v>1</v>
      </c>
      <c r="BO341">
        <v>1</v>
      </c>
      <c r="BP341">
        <v>0</v>
      </c>
      <c r="BT341">
        <v>0</v>
      </c>
      <c r="BU341">
        <v>0</v>
      </c>
      <c r="CE341" t="str">
        <f>"15:38:57.620"</f>
        <v>15:38:57.620</v>
      </c>
      <c r="CF341">
        <v>619710068</v>
      </c>
      <c r="CS341">
        <v>0</v>
      </c>
      <c r="CT341">
        <v>2</v>
      </c>
      <c r="CU341">
        <v>0</v>
      </c>
      <c r="CV341">
        <v>2</v>
      </c>
      <c r="CW341">
        <v>0</v>
      </c>
      <c r="CX341">
        <v>7</v>
      </c>
      <c r="CY341">
        <v>7</v>
      </c>
      <c r="CZ341" t="s">
        <v>133</v>
      </c>
      <c r="DA341">
        <v>125</v>
      </c>
      <c r="DB341">
        <v>1</v>
      </c>
      <c r="DC341" t="s">
        <v>134</v>
      </c>
      <c r="DD341" t="s">
        <v>135</v>
      </c>
      <c r="DG341">
        <v>2527232</v>
      </c>
      <c r="DI341">
        <v>0</v>
      </c>
      <c r="DJ341">
        <v>0</v>
      </c>
      <c r="DK341">
        <v>1</v>
      </c>
      <c r="DL341">
        <v>0</v>
      </c>
      <c r="DM341">
        <v>0</v>
      </c>
      <c r="DN341">
        <v>0</v>
      </c>
      <c r="DO341">
        <v>0</v>
      </c>
      <c r="DP341">
        <v>0</v>
      </c>
      <c r="DQ341">
        <v>0</v>
      </c>
      <c r="DR341">
        <v>0</v>
      </c>
      <c r="DS341">
        <v>0</v>
      </c>
    </row>
    <row r="342" spans="1:123" x14ac:dyDescent="0.25">
      <c r="A342" t="str">
        <f>"04/17/2026 15:38:58.880"</f>
        <v>04/17/2026 15:38:58.880</v>
      </c>
      <c r="C342" t="str">
        <f t="shared" si="28"/>
        <v>FFDFD3C0</v>
      </c>
      <c r="D342" t="s">
        <v>139</v>
      </c>
      <c r="E342" t="str">
        <f>"28"</f>
        <v>28</v>
      </c>
      <c r="H342">
        <v>140</v>
      </c>
      <c r="I342" t="s">
        <v>140</v>
      </c>
      <c r="J342" t="s">
        <v>141</v>
      </c>
      <c r="K342">
        <v>0</v>
      </c>
      <c r="L342">
        <v>3</v>
      </c>
      <c r="M342">
        <v>0</v>
      </c>
      <c r="N342">
        <v>2</v>
      </c>
      <c r="O342">
        <v>1</v>
      </c>
      <c r="P342">
        <v>0</v>
      </c>
      <c r="Q342">
        <v>0</v>
      </c>
      <c r="R342" t="s">
        <v>127</v>
      </c>
      <c r="S342" t="str">
        <f>"15:38:58.633"</f>
        <v>15:38:58.633</v>
      </c>
      <c r="T342" t="str">
        <f>"15:38:58.433"</f>
        <v>15:38:58.433</v>
      </c>
      <c r="U342" t="str">
        <f t="shared" si="29"/>
        <v>A55E09</v>
      </c>
      <c r="V342">
        <v>0</v>
      </c>
      <c r="W342">
        <v>0</v>
      </c>
      <c r="X342">
        <v>2</v>
      </c>
      <c r="Y342">
        <v>0</v>
      </c>
      <c r="AA342">
        <v>0</v>
      </c>
      <c r="AB342">
        <v>9</v>
      </c>
      <c r="AC342">
        <v>3</v>
      </c>
      <c r="AD342">
        <v>0</v>
      </c>
      <c r="AE342">
        <v>9</v>
      </c>
      <c r="AF342" t="s">
        <v>128</v>
      </c>
      <c r="AG342">
        <v>0</v>
      </c>
      <c r="AH342">
        <v>0</v>
      </c>
      <c r="AI342">
        <v>1</v>
      </c>
      <c r="AJ342">
        <v>0</v>
      </c>
      <c r="AK342" t="s">
        <v>304</v>
      </c>
      <c r="AL342">
        <v>33.687643999999999</v>
      </c>
      <c r="AM342" t="s">
        <v>305</v>
      </c>
      <c r="AN342">
        <v>-101.2079</v>
      </c>
      <c r="AO342">
        <v>100</v>
      </c>
      <c r="AP342">
        <v>3300</v>
      </c>
      <c r="AQ342" t="s">
        <v>131</v>
      </c>
      <c r="AR342">
        <v>-14</v>
      </c>
      <c r="AS342">
        <v>89</v>
      </c>
      <c r="AT342">
        <v>-64</v>
      </c>
      <c r="BB342" t="str">
        <f t="shared" si="30"/>
        <v>1200</v>
      </c>
      <c r="BC342">
        <v>1</v>
      </c>
      <c r="BD342" t="str">
        <f t="shared" si="31"/>
        <v xml:space="preserve">N445JS  </v>
      </c>
      <c r="BE342">
        <v>7</v>
      </c>
      <c r="BG342">
        <v>0</v>
      </c>
      <c r="BH342">
        <v>0</v>
      </c>
      <c r="BI342">
        <v>0</v>
      </c>
      <c r="BJ342">
        <v>3100</v>
      </c>
      <c r="BK342">
        <v>-200</v>
      </c>
      <c r="BL342" t="s">
        <v>132</v>
      </c>
      <c r="BM342">
        <v>1</v>
      </c>
      <c r="BN342">
        <v>1</v>
      </c>
      <c r="BO342">
        <v>1</v>
      </c>
      <c r="BP342">
        <v>0</v>
      </c>
      <c r="BT342">
        <v>0</v>
      </c>
      <c r="BU342">
        <v>0</v>
      </c>
      <c r="CE342" t="str">
        <f>"15:38:58.640"</f>
        <v>15:38:58.640</v>
      </c>
      <c r="CF342">
        <v>639610103</v>
      </c>
      <c r="CS342">
        <v>0</v>
      </c>
      <c r="CT342">
        <v>2</v>
      </c>
      <c r="CU342">
        <v>0</v>
      </c>
      <c r="CV342">
        <v>2</v>
      </c>
      <c r="CW342">
        <v>0</v>
      </c>
      <c r="CX342">
        <v>6</v>
      </c>
      <c r="CY342">
        <v>7</v>
      </c>
      <c r="CZ342" t="s">
        <v>133</v>
      </c>
      <c r="DA342">
        <v>125</v>
      </c>
      <c r="DB342">
        <v>1</v>
      </c>
      <c r="DC342" t="s">
        <v>134</v>
      </c>
      <c r="DD342" t="s">
        <v>135</v>
      </c>
      <c r="DG342">
        <v>2528214</v>
      </c>
      <c r="DI342">
        <v>0</v>
      </c>
      <c r="DJ342">
        <v>0</v>
      </c>
      <c r="DK342">
        <v>0</v>
      </c>
      <c r="DL342">
        <v>0</v>
      </c>
      <c r="DM342">
        <v>0</v>
      </c>
      <c r="DN342">
        <v>0</v>
      </c>
      <c r="DO342">
        <v>0</v>
      </c>
      <c r="DP342">
        <v>0</v>
      </c>
      <c r="DQ342">
        <v>0</v>
      </c>
      <c r="DR342">
        <v>0</v>
      </c>
      <c r="DS342">
        <v>0</v>
      </c>
    </row>
    <row r="343" spans="1:123" x14ac:dyDescent="0.25">
      <c r="A343" t="str">
        <f>"04/17/2026 15:38:58.893"</f>
        <v>04/17/2026 15:38:58.893</v>
      </c>
      <c r="C343" t="str">
        <f t="shared" si="28"/>
        <v>FFDFD3C0</v>
      </c>
      <c r="D343" t="s">
        <v>136</v>
      </c>
      <c r="E343" t="str">
        <f>"0E"</f>
        <v>0E</v>
      </c>
      <c r="F343">
        <v>1014</v>
      </c>
      <c r="G343" t="s">
        <v>125</v>
      </c>
      <c r="J343" t="s">
        <v>137</v>
      </c>
      <c r="K343">
        <v>0</v>
      </c>
      <c r="L343">
        <v>3</v>
      </c>
      <c r="M343">
        <v>0</v>
      </c>
      <c r="N343">
        <v>2</v>
      </c>
      <c r="O343">
        <v>1</v>
      </c>
      <c r="P343">
        <v>0</v>
      </c>
      <c r="Q343">
        <v>0</v>
      </c>
      <c r="R343" t="s">
        <v>127</v>
      </c>
      <c r="S343" t="str">
        <f>"15:38:58.633"</f>
        <v>15:38:58.633</v>
      </c>
      <c r="T343" t="str">
        <f>"15:38:58.433"</f>
        <v>15:38:58.433</v>
      </c>
      <c r="U343" t="str">
        <f t="shared" si="29"/>
        <v>A55E09</v>
      </c>
      <c r="V343">
        <v>0</v>
      </c>
      <c r="W343">
        <v>0</v>
      </c>
      <c r="X343">
        <v>2</v>
      </c>
      <c r="Y343">
        <v>0</v>
      </c>
      <c r="AA343">
        <v>0</v>
      </c>
      <c r="AB343">
        <v>9</v>
      </c>
      <c r="AC343">
        <v>3</v>
      </c>
      <c r="AD343">
        <v>0</v>
      </c>
      <c r="AE343">
        <v>9</v>
      </c>
      <c r="AF343" t="s">
        <v>128</v>
      </c>
      <c r="AG343">
        <v>0</v>
      </c>
      <c r="AH343">
        <v>0</v>
      </c>
      <c r="AI343">
        <v>1</v>
      </c>
      <c r="AJ343">
        <v>0</v>
      </c>
      <c r="AK343" t="s">
        <v>304</v>
      </c>
      <c r="AL343">
        <v>33.687643999999999</v>
      </c>
      <c r="AM343" t="s">
        <v>305</v>
      </c>
      <c r="AN343">
        <v>-101.2079</v>
      </c>
      <c r="AO343">
        <v>100</v>
      </c>
      <c r="AP343">
        <v>3300</v>
      </c>
      <c r="AQ343" t="s">
        <v>131</v>
      </c>
      <c r="AR343">
        <v>-14</v>
      </c>
      <c r="AS343">
        <v>89</v>
      </c>
      <c r="AT343">
        <v>-64</v>
      </c>
      <c r="BB343" t="str">
        <f t="shared" si="30"/>
        <v>1200</v>
      </c>
      <c r="BC343">
        <v>1</v>
      </c>
      <c r="BD343" t="str">
        <f t="shared" si="31"/>
        <v xml:space="preserve">N445JS  </v>
      </c>
      <c r="BE343">
        <v>7</v>
      </c>
      <c r="BG343">
        <v>0</v>
      </c>
      <c r="BH343">
        <v>0</v>
      </c>
      <c r="BI343">
        <v>0</v>
      </c>
      <c r="BJ343">
        <v>3100</v>
      </c>
      <c r="BK343">
        <v>-200</v>
      </c>
      <c r="BL343" t="s">
        <v>132</v>
      </c>
      <c r="BM343">
        <v>1</v>
      </c>
      <c r="BN343">
        <v>1</v>
      </c>
      <c r="BO343">
        <v>1</v>
      </c>
      <c r="BP343">
        <v>0</v>
      </c>
      <c r="BT343">
        <v>0</v>
      </c>
      <c r="BU343">
        <v>0</v>
      </c>
      <c r="CE343" t="str">
        <f>"15:38:58.640"</f>
        <v>15:38:58.640</v>
      </c>
      <c r="CF343">
        <v>639610103</v>
      </c>
      <c r="CS343">
        <v>0</v>
      </c>
      <c r="CT343">
        <v>2</v>
      </c>
      <c r="CU343">
        <v>0</v>
      </c>
      <c r="CV343">
        <v>2</v>
      </c>
      <c r="CW343">
        <v>0</v>
      </c>
      <c r="CX343">
        <v>6</v>
      </c>
      <c r="CY343">
        <v>7</v>
      </c>
      <c r="CZ343" t="s">
        <v>133</v>
      </c>
      <c r="DA343">
        <v>125</v>
      </c>
      <c r="DB343">
        <v>1</v>
      </c>
      <c r="DC343" t="s">
        <v>134</v>
      </c>
      <c r="DD343" t="s">
        <v>135</v>
      </c>
      <c r="DG343">
        <v>2528214</v>
      </c>
      <c r="DI343">
        <v>0</v>
      </c>
      <c r="DJ343">
        <v>0</v>
      </c>
      <c r="DK343">
        <v>1</v>
      </c>
      <c r="DL343">
        <v>0</v>
      </c>
      <c r="DM343">
        <v>0</v>
      </c>
      <c r="DN343">
        <v>0</v>
      </c>
      <c r="DO343">
        <v>0</v>
      </c>
      <c r="DP343">
        <v>0</v>
      </c>
      <c r="DQ343">
        <v>0</v>
      </c>
      <c r="DR343">
        <v>0</v>
      </c>
      <c r="DS343">
        <v>0</v>
      </c>
    </row>
    <row r="344" spans="1:123" x14ac:dyDescent="0.25">
      <c r="A344" t="str">
        <f>"04/17/2026 15:38:58.895"</f>
        <v>04/17/2026 15:38:58.895</v>
      </c>
      <c r="C344" t="str">
        <f t="shared" si="28"/>
        <v>FFDFD3C0</v>
      </c>
      <c r="D344" t="s">
        <v>136</v>
      </c>
      <c r="E344" t="str">
        <f>"0F"</f>
        <v>0F</v>
      </c>
      <c r="F344">
        <v>1015</v>
      </c>
      <c r="G344" t="s">
        <v>138</v>
      </c>
      <c r="J344" t="s">
        <v>137</v>
      </c>
      <c r="K344">
        <v>0</v>
      </c>
      <c r="L344">
        <v>3</v>
      </c>
      <c r="M344">
        <v>0</v>
      </c>
      <c r="N344">
        <v>2</v>
      </c>
      <c r="O344">
        <v>1</v>
      </c>
      <c r="P344">
        <v>0</v>
      </c>
      <c r="Q344">
        <v>0</v>
      </c>
      <c r="R344" t="s">
        <v>127</v>
      </c>
      <c r="S344" t="str">
        <f>"15:38:58.633"</f>
        <v>15:38:58.633</v>
      </c>
      <c r="T344" t="str">
        <f>"15:38:58.433"</f>
        <v>15:38:58.433</v>
      </c>
      <c r="U344" t="str">
        <f t="shared" si="29"/>
        <v>A55E09</v>
      </c>
      <c r="V344">
        <v>0</v>
      </c>
      <c r="W344">
        <v>0</v>
      </c>
      <c r="X344">
        <v>2</v>
      </c>
      <c r="Y344">
        <v>0</v>
      </c>
      <c r="AA344">
        <v>0</v>
      </c>
      <c r="AB344">
        <v>9</v>
      </c>
      <c r="AC344">
        <v>3</v>
      </c>
      <c r="AD344">
        <v>0</v>
      </c>
      <c r="AE344">
        <v>9</v>
      </c>
      <c r="AF344" t="s">
        <v>128</v>
      </c>
      <c r="AG344">
        <v>0</v>
      </c>
      <c r="AH344">
        <v>0</v>
      </c>
      <c r="AI344">
        <v>1</v>
      </c>
      <c r="AJ344">
        <v>0</v>
      </c>
      <c r="AK344" t="s">
        <v>304</v>
      </c>
      <c r="AL344">
        <v>33.687643999999999</v>
      </c>
      <c r="AM344" t="s">
        <v>305</v>
      </c>
      <c r="AN344">
        <v>-101.2079</v>
      </c>
      <c r="AO344">
        <v>100</v>
      </c>
      <c r="AP344">
        <v>3300</v>
      </c>
      <c r="AQ344" t="s">
        <v>131</v>
      </c>
      <c r="AR344">
        <v>-14</v>
      </c>
      <c r="AS344">
        <v>89</v>
      </c>
      <c r="AT344">
        <v>-64</v>
      </c>
      <c r="BB344" t="str">
        <f t="shared" si="30"/>
        <v>1200</v>
      </c>
      <c r="BC344">
        <v>1</v>
      </c>
      <c r="BD344" t="str">
        <f t="shared" si="31"/>
        <v xml:space="preserve">N445JS  </v>
      </c>
      <c r="BE344">
        <v>7</v>
      </c>
      <c r="BG344">
        <v>0</v>
      </c>
      <c r="BH344">
        <v>0</v>
      </c>
      <c r="BI344">
        <v>0</v>
      </c>
      <c r="BJ344">
        <v>3100</v>
      </c>
      <c r="BK344">
        <v>-200</v>
      </c>
      <c r="BL344" t="s">
        <v>132</v>
      </c>
      <c r="BM344">
        <v>1</v>
      </c>
      <c r="BN344">
        <v>1</v>
      </c>
      <c r="BO344">
        <v>1</v>
      </c>
      <c r="BP344">
        <v>0</v>
      </c>
      <c r="BT344">
        <v>0</v>
      </c>
      <c r="BU344">
        <v>0</v>
      </c>
      <c r="CE344" t="str">
        <f>"15:38:58.640"</f>
        <v>15:38:58.640</v>
      </c>
      <c r="CF344">
        <v>639610103</v>
      </c>
      <c r="CS344">
        <v>0</v>
      </c>
      <c r="CT344">
        <v>2</v>
      </c>
      <c r="CU344">
        <v>0</v>
      </c>
      <c r="CV344">
        <v>2</v>
      </c>
      <c r="CW344">
        <v>0</v>
      </c>
      <c r="CX344">
        <v>6</v>
      </c>
      <c r="CY344">
        <v>7</v>
      </c>
      <c r="CZ344" t="s">
        <v>133</v>
      </c>
      <c r="DA344">
        <v>125</v>
      </c>
      <c r="DB344">
        <v>1</v>
      </c>
      <c r="DC344" t="s">
        <v>134</v>
      </c>
      <c r="DD344" t="s">
        <v>135</v>
      </c>
      <c r="DG344">
        <v>2528214</v>
      </c>
      <c r="DI344">
        <v>0</v>
      </c>
      <c r="DJ344">
        <v>0</v>
      </c>
      <c r="DK344">
        <v>1</v>
      </c>
      <c r="DL344">
        <v>0</v>
      </c>
      <c r="DM344">
        <v>0</v>
      </c>
      <c r="DN344">
        <v>0</v>
      </c>
      <c r="DO344">
        <v>0</v>
      </c>
      <c r="DP344">
        <v>0</v>
      </c>
      <c r="DQ344">
        <v>0</v>
      </c>
      <c r="DR344">
        <v>0</v>
      </c>
      <c r="DS344">
        <v>0</v>
      </c>
    </row>
    <row r="345" spans="1:123" x14ac:dyDescent="0.25">
      <c r="A345" t="str">
        <f>"04/17/2026 15:38:58.904"</f>
        <v>04/17/2026 15:38:58.904</v>
      </c>
      <c r="C345" t="str">
        <f t="shared" si="28"/>
        <v>FFDFD3C0</v>
      </c>
      <c r="D345" t="s">
        <v>124</v>
      </c>
      <c r="E345" t="str">
        <f>"03"</f>
        <v>03</v>
      </c>
      <c r="H345">
        <v>160</v>
      </c>
      <c r="I345" t="s">
        <v>125</v>
      </c>
      <c r="J345" t="s">
        <v>126</v>
      </c>
      <c r="K345">
        <v>0</v>
      </c>
      <c r="L345">
        <v>3</v>
      </c>
      <c r="M345">
        <v>0</v>
      </c>
      <c r="N345">
        <v>2</v>
      </c>
      <c r="O345">
        <v>1</v>
      </c>
      <c r="P345">
        <v>0</v>
      </c>
      <c r="Q345">
        <v>0</v>
      </c>
      <c r="R345" t="s">
        <v>127</v>
      </c>
      <c r="S345" t="str">
        <f>"15:38:58.633"</f>
        <v>15:38:58.633</v>
      </c>
      <c r="T345" t="str">
        <f>"15:38:58.433"</f>
        <v>15:38:58.433</v>
      </c>
      <c r="U345" t="str">
        <f t="shared" si="29"/>
        <v>A55E09</v>
      </c>
      <c r="V345">
        <v>0</v>
      </c>
      <c r="W345">
        <v>0</v>
      </c>
      <c r="X345">
        <v>2</v>
      </c>
      <c r="Y345">
        <v>0</v>
      </c>
      <c r="AA345">
        <v>0</v>
      </c>
      <c r="AB345">
        <v>9</v>
      </c>
      <c r="AC345">
        <v>3</v>
      </c>
      <c r="AD345">
        <v>0</v>
      </c>
      <c r="AE345">
        <v>9</v>
      </c>
      <c r="AF345" t="s">
        <v>128</v>
      </c>
      <c r="AG345">
        <v>0</v>
      </c>
      <c r="AH345">
        <v>0</v>
      </c>
      <c r="AI345">
        <v>1</v>
      </c>
      <c r="AJ345">
        <v>0</v>
      </c>
      <c r="AK345" t="s">
        <v>304</v>
      </c>
      <c r="AL345">
        <v>33.687643999999999</v>
      </c>
      <c r="AM345" t="s">
        <v>305</v>
      </c>
      <c r="AN345">
        <v>-101.2079</v>
      </c>
      <c r="AO345">
        <v>100</v>
      </c>
      <c r="AP345">
        <v>3300</v>
      </c>
      <c r="AQ345" t="s">
        <v>131</v>
      </c>
      <c r="AR345">
        <v>-14</v>
      </c>
      <c r="AS345">
        <v>89</v>
      </c>
      <c r="AT345">
        <v>-64</v>
      </c>
      <c r="BB345" t="str">
        <f t="shared" si="30"/>
        <v>1200</v>
      </c>
      <c r="BC345">
        <v>1</v>
      </c>
      <c r="BD345" t="str">
        <f t="shared" si="31"/>
        <v xml:space="preserve">N445JS  </v>
      </c>
      <c r="BE345">
        <v>7</v>
      </c>
      <c r="BG345">
        <v>0</v>
      </c>
      <c r="BH345">
        <v>0</v>
      </c>
      <c r="BI345">
        <v>0</v>
      </c>
      <c r="BJ345">
        <v>3100</v>
      </c>
      <c r="BK345">
        <v>-200</v>
      </c>
      <c r="BL345" t="s">
        <v>132</v>
      </c>
      <c r="BM345">
        <v>1</v>
      </c>
      <c r="BN345">
        <v>1</v>
      </c>
      <c r="BO345">
        <v>1</v>
      </c>
      <c r="BP345">
        <v>0</v>
      </c>
      <c r="BT345">
        <v>0</v>
      </c>
      <c r="BU345">
        <v>0</v>
      </c>
      <c r="CE345" t="str">
        <f>"15:38:58.640"</f>
        <v>15:38:58.640</v>
      </c>
      <c r="CF345">
        <v>639610103</v>
      </c>
      <c r="CS345">
        <v>0</v>
      </c>
      <c r="CT345">
        <v>2</v>
      </c>
      <c r="CU345">
        <v>0</v>
      </c>
      <c r="CV345">
        <v>2</v>
      </c>
      <c r="CW345">
        <v>0</v>
      </c>
      <c r="CX345">
        <v>6</v>
      </c>
      <c r="CY345">
        <v>7</v>
      </c>
      <c r="CZ345" t="s">
        <v>133</v>
      </c>
      <c r="DA345">
        <v>125</v>
      </c>
      <c r="DB345">
        <v>1</v>
      </c>
      <c r="DC345" t="s">
        <v>134</v>
      </c>
      <c r="DD345" t="s">
        <v>135</v>
      </c>
      <c r="DG345">
        <v>2528214</v>
      </c>
      <c r="DI345">
        <v>0</v>
      </c>
      <c r="DJ345">
        <v>0</v>
      </c>
      <c r="DK345">
        <v>1</v>
      </c>
      <c r="DL345">
        <v>0</v>
      </c>
      <c r="DM345">
        <v>0</v>
      </c>
      <c r="DN345">
        <v>0</v>
      </c>
      <c r="DO345">
        <v>0</v>
      </c>
      <c r="DP345">
        <v>0</v>
      </c>
      <c r="DQ345">
        <v>0</v>
      </c>
      <c r="DR345">
        <v>0</v>
      </c>
      <c r="DS345">
        <v>0</v>
      </c>
    </row>
    <row r="346" spans="1:123" x14ac:dyDescent="0.25">
      <c r="A346" t="str">
        <f>"04/17/2026 15:39:00.483"</f>
        <v>04/17/2026 15:39:00.483</v>
      </c>
      <c r="C346" t="str">
        <f t="shared" si="28"/>
        <v>FFDFD3C0</v>
      </c>
      <c r="D346" t="s">
        <v>139</v>
      </c>
      <c r="E346" t="str">
        <f>"28"</f>
        <v>28</v>
      </c>
      <c r="H346">
        <v>140</v>
      </c>
      <c r="I346" t="s">
        <v>140</v>
      </c>
      <c r="J346" t="s">
        <v>141</v>
      </c>
      <c r="K346">
        <v>0</v>
      </c>
      <c r="L346">
        <v>3</v>
      </c>
      <c r="M346">
        <v>0</v>
      </c>
      <c r="N346">
        <v>2</v>
      </c>
      <c r="O346">
        <v>1</v>
      </c>
      <c r="P346">
        <v>0</v>
      </c>
      <c r="Q346">
        <v>0</v>
      </c>
      <c r="R346" t="s">
        <v>127</v>
      </c>
      <c r="S346" t="str">
        <f>"15:39:00.227"</f>
        <v>15:39:00.227</v>
      </c>
      <c r="T346" t="str">
        <f>"15:38:58.827"</f>
        <v>15:38:58.827</v>
      </c>
      <c r="U346" t="str">
        <f t="shared" si="29"/>
        <v>A55E09</v>
      </c>
      <c r="V346">
        <v>0</v>
      </c>
      <c r="W346">
        <v>0</v>
      </c>
      <c r="X346">
        <v>2</v>
      </c>
      <c r="Y346">
        <v>0</v>
      </c>
      <c r="AA346">
        <v>0</v>
      </c>
      <c r="AB346">
        <v>9</v>
      </c>
      <c r="AC346">
        <v>3</v>
      </c>
      <c r="AD346">
        <v>0</v>
      </c>
      <c r="AE346">
        <v>9</v>
      </c>
      <c r="AF346" t="s">
        <v>128</v>
      </c>
      <c r="AG346">
        <v>0</v>
      </c>
      <c r="AH346">
        <v>0</v>
      </c>
      <c r="AI346">
        <v>1</v>
      </c>
      <c r="AJ346">
        <v>0</v>
      </c>
      <c r="AK346" t="s">
        <v>306</v>
      </c>
      <c r="AL346">
        <v>33.688288</v>
      </c>
      <c r="AM346" t="s">
        <v>307</v>
      </c>
      <c r="AN346">
        <v>-101.20800699999999</v>
      </c>
      <c r="AO346">
        <v>100</v>
      </c>
      <c r="AP346">
        <v>3300</v>
      </c>
      <c r="AQ346" t="s">
        <v>131</v>
      </c>
      <c r="AR346">
        <v>-15</v>
      </c>
      <c r="AS346">
        <v>89</v>
      </c>
      <c r="AT346">
        <v>-192</v>
      </c>
      <c r="BB346" t="str">
        <f t="shared" si="30"/>
        <v>1200</v>
      </c>
      <c r="BC346">
        <v>1</v>
      </c>
      <c r="BD346" t="str">
        <f t="shared" si="31"/>
        <v xml:space="preserve">N445JS  </v>
      </c>
      <c r="BE346">
        <v>7</v>
      </c>
      <c r="BG346">
        <v>0</v>
      </c>
      <c r="BH346">
        <v>0</v>
      </c>
      <c r="BI346">
        <v>0</v>
      </c>
      <c r="BJ346">
        <v>3100</v>
      </c>
      <c r="BK346">
        <v>-200</v>
      </c>
      <c r="BL346" t="s">
        <v>132</v>
      </c>
      <c r="BM346">
        <v>1</v>
      </c>
      <c r="BN346">
        <v>1</v>
      </c>
      <c r="BO346">
        <v>1</v>
      </c>
      <c r="BP346">
        <v>0</v>
      </c>
      <c r="BT346">
        <v>0</v>
      </c>
      <c r="BU346">
        <v>0</v>
      </c>
      <c r="CE346" t="str">
        <f>"15:39:00.229"</f>
        <v>15:39:00.229</v>
      </c>
      <c r="CF346">
        <v>229454234</v>
      </c>
      <c r="CS346">
        <v>0</v>
      </c>
      <c r="CT346">
        <v>2</v>
      </c>
      <c r="CU346">
        <v>0</v>
      </c>
      <c r="CV346">
        <v>2</v>
      </c>
      <c r="CW346">
        <v>0</v>
      </c>
      <c r="CX346">
        <v>6</v>
      </c>
      <c r="CY346">
        <v>7</v>
      </c>
      <c r="CZ346" t="s">
        <v>133</v>
      </c>
      <c r="DA346">
        <v>125</v>
      </c>
      <c r="DB346">
        <v>1</v>
      </c>
      <c r="DC346" t="s">
        <v>134</v>
      </c>
      <c r="DD346" t="s">
        <v>135</v>
      </c>
      <c r="DG346">
        <v>2529765</v>
      </c>
      <c r="DI346">
        <v>0</v>
      </c>
      <c r="DJ346">
        <v>0</v>
      </c>
      <c r="DK346">
        <v>0</v>
      </c>
      <c r="DL346">
        <v>0</v>
      </c>
      <c r="DM346">
        <v>0</v>
      </c>
      <c r="DN346">
        <v>0</v>
      </c>
      <c r="DO346">
        <v>0</v>
      </c>
      <c r="DP346">
        <v>0</v>
      </c>
      <c r="DQ346">
        <v>0</v>
      </c>
      <c r="DR346">
        <v>0</v>
      </c>
      <c r="DS346">
        <v>0</v>
      </c>
    </row>
    <row r="347" spans="1:123" x14ac:dyDescent="0.25">
      <c r="A347" t="str">
        <f>"04/17/2026 15:39:00.496"</f>
        <v>04/17/2026 15:39:00.496</v>
      </c>
      <c r="C347" t="str">
        <f t="shared" si="28"/>
        <v>FFDFD3C0</v>
      </c>
      <c r="D347" t="s">
        <v>136</v>
      </c>
      <c r="E347" t="str">
        <f>"0E"</f>
        <v>0E</v>
      </c>
      <c r="F347">
        <v>1014</v>
      </c>
      <c r="G347" t="s">
        <v>125</v>
      </c>
      <c r="J347" t="s">
        <v>137</v>
      </c>
      <c r="K347">
        <v>0</v>
      </c>
      <c r="L347">
        <v>3</v>
      </c>
      <c r="M347">
        <v>0</v>
      </c>
      <c r="N347">
        <v>2</v>
      </c>
      <c r="O347">
        <v>1</v>
      </c>
      <c r="P347">
        <v>0</v>
      </c>
      <c r="Q347">
        <v>0</v>
      </c>
      <c r="R347" t="s">
        <v>127</v>
      </c>
      <c r="S347" t="str">
        <f>"15:39:00.227"</f>
        <v>15:39:00.227</v>
      </c>
      <c r="T347" t="str">
        <f>"15:38:58.827"</f>
        <v>15:38:58.827</v>
      </c>
      <c r="U347" t="str">
        <f t="shared" si="29"/>
        <v>A55E09</v>
      </c>
      <c r="V347">
        <v>0</v>
      </c>
      <c r="W347">
        <v>0</v>
      </c>
      <c r="X347">
        <v>2</v>
      </c>
      <c r="Y347">
        <v>0</v>
      </c>
      <c r="AA347">
        <v>0</v>
      </c>
      <c r="AB347">
        <v>9</v>
      </c>
      <c r="AC347">
        <v>3</v>
      </c>
      <c r="AD347">
        <v>0</v>
      </c>
      <c r="AE347">
        <v>9</v>
      </c>
      <c r="AF347" t="s">
        <v>128</v>
      </c>
      <c r="AG347">
        <v>0</v>
      </c>
      <c r="AH347">
        <v>0</v>
      </c>
      <c r="AI347">
        <v>1</v>
      </c>
      <c r="AJ347">
        <v>0</v>
      </c>
      <c r="AK347" t="s">
        <v>306</v>
      </c>
      <c r="AL347">
        <v>33.688288</v>
      </c>
      <c r="AM347" t="s">
        <v>307</v>
      </c>
      <c r="AN347">
        <v>-101.20800699999999</v>
      </c>
      <c r="AO347">
        <v>100</v>
      </c>
      <c r="AP347">
        <v>3300</v>
      </c>
      <c r="AQ347" t="s">
        <v>131</v>
      </c>
      <c r="AR347">
        <v>-15</v>
      </c>
      <c r="AS347">
        <v>89</v>
      </c>
      <c r="AT347">
        <v>-192</v>
      </c>
      <c r="BB347" t="str">
        <f t="shared" si="30"/>
        <v>1200</v>
      </c>
      <c r="BC347">
        <v>1</v>
      </c>
      <c r="BD347" t="str">
        <f t="shared" si="31"/>
        <v xml:space="preserve">N445JS  </v>
      </c>
      <c r="BE347">
        <v>7</v>
      </c>
      <c r="BG347">
        <v>0</v>
      </c>
      <c r="BH347">
        <v>0</v>
      </c>
      <c r="BI347">
        <v>0</v>
      </c>
      <c r="BJ347">
        <v>3100</v>
      </c>
      <c r="BK347">
        <v>-200</v>
      </c>
      <c r="BL347" t="s">
        <v>132</v>
      </c>
      <c r="BM347">
        <v>1</v>
      </c>
      <c r="BN347">
        <v>1</v>
      </c>
      <c r="BO347">
        <v>1</v>
      </c>
      <c r="BP347">
        <v>0</v>
      </c>
      <c r="BT347">
        <v>0</v>
      </c>
      <c r="BU347">
        <v>0</v>
      </c>
      <c r="CE347" t="str">
        <f>"15:39:00.229"</f>
        <v>15:39:00.229</v>
      </c>
      <c r="CF347">
        <v>229454234</v>
      </c>
      <c r="CS347">
        <v>0</v>
      </c>
      <c r="CT347">
        <v>2</v>
      </c>
      <c r="CU347">
        <v>0</v>
      </c>
      <c r="CV347">
        <v>2</v>
      </c>
      <c r="CW347">
        <v>0</v>
      </c>
      <c r="CX347">
        <v>6</v>
      </c>
      <c r="CY347">
        <v>7</v>
      </c>
      <c r="CZ347" t="s">
        <v>133</v>
      </c>
      <c r="DA347">
        <v>125</v>
      </c>
      <c r="DB347">
        <v>1</v>
      </c>
      <c r="DC347" t="s">
        <v>134</v>
      </c>
      <c r="DD347" t="s">
        <v>135</v>
      </c>
      <c r="DG347">
        <v>2529765</v>
      </c>
      <c r="DI347">
        <v>0</v>
      </c>
      <c r="DJ347">
        <v>0</v>
      </c>
      <c r="DK347">
        <v>1</v>
      </c>
      <c r="DL347">
        <v>0</v>
      </c>
      <c r="DM347">
        <v>0</v>
      </c>
      <c r="DN347">
        <v>0</v>
      </c>
      <c r="DO347">
        <v>0</v>
      </c>
      <c r="DP347">
        <v>0</v>
      </c>
      <c r="DQ347">
        <v>0</v>
      </c>
      <c r="DR347">
        <v>0</v>
      </c>
      <c r="DS347">
        <v>0</v>
      </c>
    </row>
    <row r="348" spans="1:123" x14ac:dyDescent="0.25">
      <c r="A348" t="str">
        <f>"04/17/2026 15:39:00.498"</f>
        <v>04/17/2026 15:39:00.498</v>
      </c>
      <c r="C348" t="str">
        <f t="shared" si="28"/>
        <v>FFDFD3C0</v>
      </c>
      <c r="D348" t="s">
        <v>136</v>
      </c>
      <c r="E348" t="str">
        <f>"0F"</f>
        <v>0F</v>
      </c>
      <c r="F348">
        <v>1015</v>
      </c>
      <c r="G348" t="s">
        <v>138</v>
      </c>
      <c r="J348" t="s">
        <v>137</v>
      </c>
      <c r="K348">
        <v>0</v>
      </c>
      <c r="L348">
        <v>3</v>
      </c>
      <c r="M348">
        <v>0</v>
      </c>
      <c r="N348">
        <v>2</v>
      </c>
      <c r="O348">
        <v>1</v>
      </c>
      <c r="P348">
        <v>0</v>
      </c>
      <c r="Q348">
        <v>0</v>
      </c>
      <c r="R348" t="s">
        <v>127</v>
      </c>
      <c r="S348" t="str">
        <f>"15:39:00.227"</f>
        <v>15:39:00.227</v>
      </c>
      <c r="T348" t="str">
        <f>"15:38:58.827"</f>
        <v>15:38:58.827</v>
      </c>
      <c r="U348" t="str">
        <f t="shared" si="29"/>
        <v>A55E09</v>
      </c>
      <c r="V348">
        <v>0</v>
      </c>
      <c r="W348">
        <v>0</v>
      </c>
      <c r="X348">
        <v>2</v>
      </c>
      <c r="Y348">
        <v>0</v>
      </c>
      <c r="AA348">
        <v>0</v>
      </c>
      <c r="AB348">
        <v>9</v>
      </c>
      <c r="AC348">
        <v>3</v>
      </c>
      <c r="AD348">
        <v>0</v>
      </c>
      <c r="AE348">
        <v>9</v>
      </c>
      <c r="AF348" t="s">
        <v>128</v>
      </c>
      <c r="AG348">
        <v>0</v>
      </c>
      <c r="AH348">
        <v>0</v>
      </c>
      <c r="AI348">
        <v>1</v>
      </c>
      <c r="AJ348">
        <v>0</v>
      </c>
      <c r="AK348" t="s">
        <v>306</v>
      </c>
      <c r="AL348">
        <v>33.688288</v>
      </c>
      <c r="AM348" t="s">
        <v>307</v>
      </c>
      <c r="AN348">
        <v>-101.20800699999999</v>
      </c>
      <c r="AO348">
        <v>100</v>
      </c>
      <c r="AP348">
        <v>3300</v>
      </c>
      <c r="AQ348" t="s">
        <v>131</v>
      </c>
      <c r="AR348">
        <v>-15</v>
      </c>
      <c r="AS348">
        <v>89</v>
      </c>
      <c r="AT348">
        <v>-192</v>
      </c>
      <c r="BB348" t="str">
        <f t="shared" si="30"/>
        <v>1200</v>
      </c>
      <c r="BC348">
        <v>1</v>
      </c>
      <c r="BD348" t="str">
        <f t="shared" si="31"/>
        <v xml:space="preserve">N445JS  </v>
      </c>
      <c r="BE348">
        <v>7</v>
      </c>
      <c r="BG348">
        <v>0</v>
      </c>
      <c r="BH348">
        <v>0</v>
      </c>
      <c r="BI348">
        <v>0</v>
      </c>
      <c r="BJ348">
        <v>3100</v>
      </c>
      <c r="BK348">
        <v>-200</v>
      </c>
      <c r="BL348" t="s">
        <v>132</v>
      </c>
      <c r="BM348">
        <v>1</v>
      </c>
      <c r="BN348">
        <v>1</v>
      </c>
      <c r="BO348">
        <v>1</v>
      </c>
      <c r="BP348">
        <v>0</v>
      </c>
      <c r="BT348">
        <v>0</v>
      </c>
      <c r="BU348">
        <v>0</v>
      </c>
      <c r="CE348" t="str">
        <f>"15:39:00.229"</f>
        <v>15:39:00.229</v>
      </c>
      <c r="CF348">
        <v>229454234</v>
      </c>
      <c r="CS348">
        <v>0</v>
      </c>
      <c r="CT348">
        <v>2</v>
      </c>
      <c r="CU348">
        <v>0</v>
      </c>
      <c r="CV348">
        <v>2</v>
      </c>
      <c r="CW348">
        <v>0</v>
      </c>
      <c r="CX348">
        <v>6</v>
      </c>
      <c r="CY348">
        <v>7</v>
      </c>
      <c r="CZ348" t="s">
        <v>133</v>
      </c>
      <c r="DA348">
        <v>125</v>
      </c>
      <c r="DB348">
        <v>1</v>
      </c>
      <c r="DC348" t="s">
        <v>134</v>
      </c>
      <c r="DD348" t="s">
        <v>135</v>
      </c>
      <c r="DG348">
        <v>2529765</v>
      </c>
      <c r="DI348">
        <v>0</v>
      </c>
      <c r="DJ348">
        <v>0</v>
      </c>
      <c r="DK348">
        <v>1</v>
      </c>
      <c r="DL348">
        <v>0</v>
      </c>
      <c r="DM348">
        <v>0</v>
      </c>
      <c r="DN348">
        <v>0</v>
      </c>
      <c r="DO348">
        <v>0</v>
      </c>
      <c r="DP348">
        <v>0</v>
      </c>
      <c r="DQ348">
        <v>0</v>
      </c>
      <c r="DR348">
        <v>0</v>
      </c>
      <c r="DS348">
        <v>0</v>
      </c>
    </row>
    <row r="349" spans="1:123" x14ac:dyDescent="0.25">
      <c r="A349" t="str">
        <f>"04/17/2026 15:39:00.508"</f>
        <v>04/17/2026 15:39:00.508</v>
      </c>
      <c r="C349" t="str">
        <f t="shared" si="28"/>
        <v>FFDFD3C0</v>
      </c>
      <c r="D349" t="s">
        <v>124</v>
      </c>
      <c r="E349" t="str">
        <f>"03"</f>
        <v>03</v>
      </c>
      <c r="H349">
        <v>160</v>
      </c>
      <c r="I349" t="s">
        <v>125</v>
      </c>
      <c r="J349" t="s">
        <v>126</v>
      </c>
      <c r="K349">
        <v>0</v>
      </c>
      <c r="L349">
        <v>3</v>
      </c>
      <c r="M349">
        <v>0</v>
      </c>
      <c r="N349">
        <v>2</v>
      </c>
      <c r="O349">
        <v>1</v>
      </c>
      <c r="P349">
        <v>0</v>
      </c>
      <c r="Q349">
        <v>0</v>
      </c>
      <c r="R349" t="s">
        <v>127</v>
      </c>
      <c r="S349" t="str">
        <f>"15:39:00.227"</f>
        <v>15:39:00.227</v>
      </c>
      <c r="T349" t="str">
        <f>"15:38:58.827"</f>
        <v>15:38:58.827</v>
      </c>
      <c r="U349" t="str">
        <f t="shared" si="29"/>
        <v>A55E09</v>
      </c>
      <c r="V349">
        <v>0</v>
      </c>
      <c r="W349">
        <v>0</v>
      </c>
      <c r="X349">
        <v>2</v>
      </c>
      <c r="Y349">
        <v>0</v>
      </c>
      <c r="AA349">
        <v>0</v>
      </c>
      <c r="AB349">
        <v>9</v>
      </c>
      <c r="AC349">
        <v>3</v>
      </c>
      <c r="AD349">
        <v>0</v>
      </c>
      <c r="AE349">
        <v>9</v>
      </c>
      <c r="AF349" t="s">
        <v>128</v>
      </c>
      <c r="AG349">
        <v>0</v>
      </c>
      <c r="AH349">
        <v>0</v>
      </c>
      <c r="AI349">
        <v>1</v>
      </c>
      <c r="AJ349">
        <v>0</v>
      </c>
      <c r="AK349" t="s">
        <v>306</v>
      </c>
      <c r="AL349">
        <v>33.688288</v>
      </c>
      <c r="AM349" t="s">
        <v>307</v>
      </c>
      <c r="AN349">
        <v>-101.20800699999999</v>
      </c>
      <c r="AO349">
        <v>100</v>
      </c>
      <c r="AP349">
        <v>3300</v>
      </c>
      <c r="AQ349" t="s">
        <v>131</v>
      </c>
      <c r="AR349">
        <v>-15</v>
      </c>
      <c r="AS349">
        <v>89</v>
      </c>
      <c r="AT349">
        <v>-192</v>
      </c>
      <c r="BB349" t="str">
        <f t="shared" si="30"/>
        <v>1200</v>
      </c>
      <c r="BC349">
        <v>1</v>
      </c>
      <c r="BD349" t="str">
        <f t="shared" si="31"/>
        <v xml:space="preserve">N445JS  </v>
      </c>
      <c r="BE349">
        <v>7</v>
      </c>
      <c r="BG349">
        <v>0</v>
      </c>
      <c r="BH349">
        <v>0</v>
      </c>
      <c r="BI349">
        <v>0</v>
      </c>
      <c r="BJ349">
        <v>3100</v>
      </c>
      <c r="BK349">
        <v>-200</v>
      </c>
      <c r="BL349" t="s">
        <v>132</v>
      </c>
      <c r="BM349">
        <v>1</v>
      </c>
      <c r="BN349">
        <v>1</v>
      </c>
      <c r="BO349">
        <v>1</v>
      </c>
      <c r="BP349">
        <v>0</v>
      </c>
      <c r="BT349">
        <v>0</v>
      </c>
      <c r="BU349">
        <v>0</v>
      </c>
      <c r="CE349" t="str">
        <f>"15:39:00.229"</f>
        <v>15:39:00.229</v>
      </c>
      <c r="CF349">
        <v>229454234</v>
      </c>
      <c r="CS349">
        <v>0</v>
      </c>
      <c r="CT349">
        <v>2</v>
      </c>
      <c r="CU349">
        <v>0</v>
      </c>
      <c r="CV349">
        <v>2</v>
      </c>
      <c r="CW349">
        <v>0</v>
      </c>
      <c r="CX349">
        <v>6</v>
      </c>
      <c r="CY349">
        <v>7</v>
      </c>
      <c r="CZ349" t="s">
        <v>133</v>
      </c>
      <c r="DA349">
        <v>125</v>
      </c>
      <c r="DB349">
        <v>1</v>
      </c>
      <c r="DC349" t="s">
        <v>134</v>
      </c>
      <c r="DD349" t="s">
        <v>135</v>
      </c>
      <c r="DG349">
        <v>2529765</v>
      </c>
      <c r="DI349">
        <v>0</v>
      </c>
      <c r="DJ349">
        <v>0</v>
      </c>
      <c r="DK349">
        <v>1</v>
      </c>
      <c r="DL349">
        <v>0</v>
      </c>
      <c r="DM349">
        <v>0</v>
      </c>
      <c r="DN349">
        <v>0</v>
      </c>
      <c r="DO349">
        <v>0</v>
      </c>
      <c r="DP349">
        <v>0</v>
      </c>
      <c r="DQ349">
        <v>0</v>
      </c>
      <c r="DR349">
        <v>0</v>
      </c>
      <c r="DS349">
        <v>0</v>
      </c>
    </row>
    <row r="350" spans="1:123" x14ac:dyDescent="0.25">
      <c r="A350" t="str">
        <f>"04/17/2026 15:39:02.060"</f>
        <v>04/17/2026 15:39:02.060</v>
      </c>
      <c r="C350" t="str">
        <f t="shared" si="28"/>
        <v>FFDFD3C0</v>
      </c>
      <c r="D350" t="s">
        <v>124</v>
      </c>
      <c r="E350" t="str">
        <f>"03"</f>
        <v>03</v>
      </c>
      <c r="H350">
        <v>160</v>
      </c>
      <c r="I350" t="s">
        <v>125</v>
      </c>
      <c r="J350" t="s">
        <v>126</v>
      </c>
      <c r="K350">
        <v>0</v>
      </c>
      <c r="L350">
        <v>3</v>
      </c>
      <c r="M350">
        <v>0</v>
      </c>
      <c r="N350">
        <v>2</v>
      </c>
      <c r="O350">
        <v>1</v>
      </c>
      <c r="P350">
        <v>0</v>
      </c>
      <c r="Q350">
        <v>0</v>
      </c>
      <c r="R350" t="s">
        <v>127</v>
      </c>
      <c r="S350" t="str">
        <f>"15:39:01.828"</f>
        <v>15:39:01.828</v>
      </c>
      <c r="T350" t="str">
        <f>"15:39:01.328"</f>
        <v>15:39:01.328</v>
      </c>
      <c r="U350" t="str">
        <f t="shared" si="29"/>
        <v>A55E09</v>
      </c>
      <c r="V350">
        <v>0</v>
      </c>
      <c r="W350">
        <v>0</v>
      </c>
      <c r="X350">
        <v>2</v>
      </c>
      <c r="Y350">
        <v>0</v>
      </c>
      <c r="AA350">
        <v>0</v>
      </c>
      <c r="AB350">
        <v>9</v>
      </c>
      <c r="AC350">
        <v>3</v>
      </c>
      <c r="AD350">
        <v>0</v>
      </c>
      <c r="AE350">
        <v>9</v>
      </c>
      <c r="AF350" t="s">
        <v>128</v>
      </c>
      <c r="AG350">
        <v>0</v>
      </c>
      <c r="AH350">
        <v>0</v>
      </c>
      <c r="AI350">
        <v>1</v>
      </c>
      <c r="AJ350">
        <v>0</v>
      </c>
      <c r="AK350" t="s">
        <v>308</v>
      </c>
      <c r="AL350">
        <v>33.688974000000002</v>
      </c>
      <c r="AM350" t="s">
        <v>309</v>
      </c>
      <c r="AN350">
        <v>-101.208136</v>
      </c>
      <c r="AO350">
        <v>100</v>
      </c>
      <c r="AP350">
        <v>3300</v>
      </c>
      <c r="AQ350" t="s">
        <v>131</v>
      </c>
      <c r="AR350">
        <v>-16</v>
      </c>
      <c r="AS350">
        <v>88</v>
      </c>
      <c r="AT350">
        <v>-64</v>
      </c>
      <c r="BB350" t="str">
        <f t="shared" si="30"/>
        <v>1200</v>
      </c>
      <c r="BC350">
        <v>1</v>
      </c>
      <c r="BD350" t="str">
        <f t="shared" si="31"/>
        <v xml:space="preserve">N445JS  </v>
      </c>
      <c r="BE350">
        <v>7</v>
      </c>
      <c r="BG350">
        <v>0</v>
      </c>
      <c r="BH350">
        <v>0</v>
      </c>
      <c r="BI350">
        <v>0</v>
      </c>
      <c r="BJ350">
        <v>3100</v>
      </c>
      <c r="BK350">
        <v>-200</v>
      </c>
      <c r="BL350" t="s">
        <v>132</v>
      </c>
      <c r="BM350">
        <v>1</v>
      </c>
      <c r="BN350">
        <v>1</v>
      </c>
      <c r="BO350">
        <v>1</v>
      </c>
      <c r="BP350">
        <v>0</v>
      </c>
      <c r="BT350">
        <v>0</v>
      </c>
      <c r="BU350">
        <v>0</v>
      </c>
      <c r="CE350" t="str">
        <f>"15:39:01.834"</f>
        <v>15:39:01.834</v>
      </c>
      <c r="CF350">
        <v>834296910</v>
      </c>
      <c r="CS350">
        <v>0</v>
      </c>
      <c r="CT350">
        <v>2</v>
      </c>
      <c r="CU350">
        <v>0</v>
      </c>
      <c r="CV350">
        <v>2</v>
      </c>
      <c r="CW350">
        <v>0</v>
      </c>
      <c r="CX350">
        <v>5</v>
      </c>
      <c r="CY350">
        <v>7</v>
      </c>
      <c r="CZ350" t="s">
        <v>133</v>
      </c>
      <c r="DA350">
        <v>125</v>
      </c>
      <c r="DB350">
        <v>1</v>
      </c>
      <c r="DC350" t="s">
        <v>134</v>
      </c>
      <c r="DD350" t="s">
        <v>135</v>
      </c>
      <c r="DG350">
        <v>2531373</v>
      </c>
      <c r="DI350">
        <v>0</v>
      </c>
      <c r="DJ350">
        <v>0</v>
      </c>
      <c r="DK350">
        <v>0</v>
      </c>
      <c r="DL350">
        <v>0</v>
      </c>
      <c r="DM350">
        <v>0</v>
      </c>
      <c r="DN350">
        <v>0</v>
      </c>
      <c r="DO350">
        <v>0</v>
      </c>
      <c r="DP350">
        <v>0</v>
      </c>
      <c r="DQ350">
        <v>0</v>
      </c>
      <c r="DR350">
        <v>0</v>
      </c>
      <c r="DS350">
        <v>0</v>
      </c>
    </row>
    <row r="351" spans="1:123" x14ac:dyDescent="0.25">
      <c r="A351" t="str">
        <f>"04/17/2026 15:39:02.086"</f>
        <v>04/17/2026 15:39:02.086</v>
      </c>
      <c r="C351" t="str">
        <f t="shared" si="28"/>
        <v>FFDFD3C0</v>
      </c>
      <c r="D351" t="s">
        <v>139</v>
      </c>
      <c r="E351" t="str">
        <f>"28"</f>
        <v>28</v>
      </c>
      <c r="H351">
        <v>140</v>
      </c>
      <c r="I351" t="s">
        <v>140</v>
      </c>
      <c r="J351" t="s">
        <v>141</v>
      </c>
      <c r="K351">
        <v>0</v>
      </c>
      <c r="L351">
        <v>3</v>
      </c>
      <c r="M351">
        <v>0</v>
      </c>
      <c r="N351">
        <v>2</v>
      </c>
      <c r="O351">
        <v>1</v>
      </c>
      <c r="P351">
        <v>0</v>
      </c>
      <c r="Q351">
        <v>0</v>
      </c>
      <c r="R351" t="s">
        <v>127</v>
      </c>
      <c r="S351" t="str">
        <f>"15:39:01.828"</f>
        <v>15:39:01.828</v>
      </c>
      <c r="T351" t="str">
        <f>"15:39:01.328"</f>
        <v>15:39:01.328</v>
      </c>
      <c r="U351" t="str">
        <f t="shared" si="29"/>
        <v>A55E09</v>
      </c>
      <c r="V351">
        <v>0</v>
      </c>
      <c r="W351">
        <v>0</v>
      </c>
      <c r="X351">
        <v>2</v>
      </c>
      <c r="Y351">
        <v>0</v>
      </c>
      <c r="AA351">
        <v>0</v>
      </c>
      <c r="AB351">
        <v>9</v>
      </c>
      <c r="AC351">
        <v>3</v>
      </c>
      <c r="AD351">
        <v>0</v>
      </c>
      <c r="AE351">
        <v>9</v>
      </c>
      <c r="AF351" t="s">
        <v>128</v>
      </c>
      <c r="AG351">
        <v>0</v>
      </c>
      <c r="AH351">
        <v>0</v>
      </c>
      <c r="AI351">
        <v>1</v>
      </c>
      <c r="AJ351">
        <v>0</v>
      </c>
      <c r="AK351" t="s">
        <v>308</v>
      </c>
      <c r="AL351">
        <v>33.688974000000002</v>
      </c>
      <c r="AM351" t="s">
        <v>309</v>
      </c>
      <c r="AN351">
        <v>-101.208136</v>
      </c>
      <c r="AO351">
        <v>100</v>
      </c>
      <c r="AP351">
        <v>3300</v>
      </c>
      <c r="AQ351" t="s">
        <v>131</v>
      </c>
      <c r="AR351">
        <v>-16</v>
      </c>
      <c r="AS351">
        <v>88</v>
      </c>
      <c r="AT351">
        <v>-64</v>
      </c>
      <c r="BB351" t="str">
        <f t="shared" si="30"/>
        <v>1200</v>
      </c>
      <c r="BC351">
        <v>1</v>
      </c>
      <c r="BD351" t="str">
        <f t="shared" si="31"/>
        <v xml:space="preserve">N445JS  </v>
      </c>
      <c r="BE351">
        <v>7</v>
      </c>
      <c r="BG351">
        <v>0</v>
      </c>
      <c r="BH351">
        <v>0</v>
      </c>
      <c r="BI351">
        <v>0</v>
      </c>
      <c r="BJ351">
        <v>3100</v>
      </c>
      <c r="BK351">
        <v>-200</v>
      </c>
      <c r="BL351" t="s">
        <v>132</v>
      </c>
      <c r="BM351">
        <v>1</v>
      </c>
      <c r="BN351">
        <v>1</v>
      </c>
      <c r="BO351">
        <v>1</v>
      </c>
      <c r="BP351">
        <v>0</v>
      </c>
      <c r="BT351">
        <v>0</v>
      </c>
      <c r="BU351">
        <v>0</v>
      </c>
      <c r="CE351" t="str">
        <f>"15:39:01.834"</f>
        <v>15:39:01.834</v>
      </c>
      <c r="CF351">
        <v>834296910</v>
      </c>
      <c r="CS351">
        <v>0</v>
      </c>
      <c r="CT351">
        <v>2</v>
      </c>
      <c r="CU351">
        <v>0</v>
      </c>
      <c r="CV351">
        <v>2</v>
      </c>
      <c r="CW351">
        <v>0</v>
      </c>
      <c r="CX351">
        <v>5</v>
      </c>
      <c r="CY351">
        <v>7</v>
      </c>
      <c r="CZ351" t="s">
        <v>133</v>
      </c>
      <c r="DA351">
        <v>125</v>
      </c>
      <c r="DB351">
        <v>1</v>
      </c>
      <c r="DC351" t="s">
        <v>134</v>
      </c>
      <c r="DD351" t="s">
        <v>135</v>
      </c>
      <c r="DG351">
        <v>2531373</v>
      </c>
      <c r="DI351">
        <v>0</v>
      </c>
      <c r="DJ351">
        <v>0</v>
      </c>
      <c r="DK351">
        <v>1</v>
      </c>
      <c r="DL351">
        <v>0</v>
      </c>
      <c r="DM351">
        <v>0</v>
      </c>
      <c r="DN351">
        <v>0</v>
      </c>
      <c r="DO351">
        <v>0</v>
      </c>
      <c r="DP351">
        <v>0</v>
      </c>
      <c r="DQ351">
        <v>0</v>
      </c>
      <c r="DR351">
        <v>0</v>
      </c>
      <c r="DS351">
        <v>0</v>
      </c>
    </row>
    <row r="352" spans="1:123" x14ac:dyDescent="0.25">
      <c r="A352" t="str">
        <f>"04/17/2026 15:39:02.099"</f>
        <v>04/17/2026 15:39:02.099</v>
      </c>
      <c r="C352" t="str">
        <f t="shared" si="28"/>
        <v>FFDFD3C0</v>
      </c>
      <c r="D352" t="s">
        <v>136</v>
      </c>
      <c r="E352" t="str">
        <f>"0E"</f>
        <v>0E</v>
      </c>
      <c r="F352">
        <v>1014</v>
      </c>
      <c r="G352" t="s">
        <v>125</v>
      </c>
      <c r="J352" t="s">
        <v>137</v>
      </c>
      <c r="K352">
        <v>0</v>
      </c>
      <c r="L352">
        <v>3</v>
      </c>
      <c r="M352">
        <v>0</v>
      </c>
      <c r="N352">
        <v>2</v>
      </c>
      <c r="O352">
        <v>1</v>
      </c>
      <c r="P352">
        <v>0</v>
      </c>
      <c r="Q352">
        <v>0</v>
      </c>
      <c r="R352" t="s">
        <v>127</v>
      </c>
      <c r="S352" t="str">
        <f>"15:39:01.828"</f>
        <v>15:39:01.828</v>
      </c>
      <c r="T352" t="str">
        <f>"15:39:01.328"</f>
        <v>15:39:01.328</v>
      </c>
      <c r="U352" t="str">
        <f t="shared" si="29"/>
        <v>A55E09</v>
      </c>
      <c r="V352">
        <v>0</v>
      </c>
      <c r="W352">
        <v>0</v>
      </c>
      <c r="X352">
        <v>2</v>
      </c>
      <c r="Y352">
        <v>0</v>
      </c>
      <c r="AA352">
        <v>0</v>
      </c>
      <c r="AB352">
        <v>9</v>
      </c>
      <c r="AC352">
        <v>3</v>
      </c>
      <c r="AD352">
        <v>0</v>
      </c>
      <c r="AE352">
        <v>9</v>
      </c>
      <c r="AF352" t="s">
        <v>128</v>
      </c>
      <c r="AG352">
        <v>0</v>
      </c>
      <c r="AH352">
        <v>0</v>
      </c>
      <c r="AI352">
        <v>1</v>
      </c>
      <c r="AJ352">
        <v>0</v>
      </c>
      <c r="AK352" t="s">
        <v>308</v>
      </c>
      <c r="AL352">
        <v>33.688974000000002</v>
      </c>
      <c r="AM352" t="s">
        <v>309</v>
      </c>
      <c r="AN352">
        <v>-101.208136</v>
      </c>
      <c r="AO352">
        <v>100</v>
      </c>
      <c r="AP352">
        <v>3300</v>
      </c>
      <c r="AQ352" t="s">
        <v>131</v>
      </c>
      <c r="AR352">
        <v>-16</v>
      </c>
      <c r="AS352">
        <v>88</v>
      </c>
      <c r="AT352">
        <v>-64</v>
      </c>
      <c r="BB352" t="str">
        <f t="shared" si="30"/>
        <v>1200</v>
      </c>
      <c r="BC352">
        <v>1</v>
      </c>
      <c r="BD352" t="str">
        <f t="shared" si="31"/>
        <v xml:space="preserve">N445JS  </v>
      </c>
      <c r="BE352">
        <v>7</v>
      </c>
      <c r="BG352">
        <v>0</v>
      </c>
      <c r="BH352">
        <v>0</v>
      </c>
      <c r="BI352">
        <v>0</v>
      </c>
      <c r="BJ352">
        <v>3100</v>
      </c>
      <c r="BK352">
        <v>-200</v>
      </c>
      <c r="BL352" t="s">
        <v>132</v>
      </c>
      <c r="BM352">
        <v>1</v>
      </c>
      <c r="BN352">
        <v>1</v>
      </c>
      <c r="BO352">
        <v>1</v>
      </c>
      <c r="BP352">
        <v>0</v>
      </c>
      <c r="BT352">
        <v>0</v>
      </c>
      <c r="BU352">
        <v>0</v>
      </c>
      <c r="CE352" t="str">
        <f>"15:39:01.834"</f>
        <v>15:39:01.834</v>
      </c>
      <c r="CF352">
        <v>834296910</v>
      </c>
      <c r="CS352">
        <v>0</v>
      </c>
      <c r="CT352">
        <v>2</v>
      </c>
      <c r="CU352">
        <v>0</v>
      </c>
      <c r="CV352">
        <v>2</v>
      </c>
      <c r="CW352">
        <v>0</v>
      </c>
      <c r="CX352">
        <v>5</v>
      </c>
      <c r="CY352">
        <v>7</v>
      </c>
      <c r="CZ352" t="s">
        <v>133</v>
      </c>
      <c r="DA352">
        <v>125</v>
      </c>
      <c r="DB352">
        <v>1</v>
      </c>
      <c r="DC352" t="s">
        <v>134</v>
      </c>
      <c r="DD352" t="s">
        <v>135</v>
      </c>
      <c r="DG352">
        <v>2531373</v>
      </c>
      <c r="DI352">
        <v>0</v>
      </c>
      <c r="DJ352">
        <v>0</v>
      </c>
      <c r="DK352">
        <v>1</v>
      </c>
      <c r="DL352">
        <v>0</v>
      </c>
      <c r="DM352">
        <v>0</v>
      </c>
      <c r="DN352">
        <v>0</v>
      </c>
      <c r="DO352">
        <v>0</v>
      </c>
      <c r="DP352">
        <v>0</v>
      </c>
      <c r="DQ352">
        <v>0</v>
      </c>
      <c r="DR352">
        <v>0</v>
      </c>
      <c r="DS352">
        <v>0</v>
      </c>
    </row>
    <row r="353" spans="1:123" x14ac:dyDescent="0.25">
      <c r="A353" t="str">
        <f>"04/17/2026 15:39:02.100"</f>
        <v>04/17/2026 15:39:02.100</v>
      </c>
      <c r="C353" t="str">
        <f t="shared" si="28"/>
        <v>FFDFD3C0</v>
      </c>
      <c r="D353" t="s">
        <v>136</v>
      </c>
      <c r="E353" t="str">
        <f>"0F"</f>
        <v>0F</v>
      </c>
      <c r="F353">
        <v>1015</v>
      </c>
      <c r="G353" t="s">
        <v>138</v>
      </c>
      <c r="J353" t="s">
        <v>137</v>
      </c>
      <c r="K353">
        <v>0</v>
      </c>
      <c r="L353">
        <v>3</v>
      </c>
      <c r="M353">
        <v>0</v>
      </c>
      <c r="N353">
        <v>2</v>
      </c>
      <c r="O353">
        <v>1</v>
      </c>
      <c r="P353">
        <v>0</v>
      </c>
      <c r="Q353">
        <v>0</v>
      </c>
      <c r="R353" t="s">
        <v>127</v>
      </c>
      <c r="S353" t="str">
        <f>"15:39:01.828"</f>
        <v>15:39:01.828</v>
      </c>
      <c r="T353" t="str">
        <f>"15:39:01.328"</f>
        <v>15:39:01.328</v>
      </c>
      <c r="U353" t="str">
        <f t="shared" si="29"/>
        <v>A55E09</v>
      </c>
      <c r="V353">
        <v>0</v>
      </c>
      <c r="W353">
        <v>0</v>
      </c>
      <c r="X353">
        <v>2</v>
      </c>
      <c r="Y353">
        <v>0</v>
      </c>
      <c r="AA353">
        <v>0</v>
      </c>
      <c r="AB353">
        <v>9</v>
      </c>
      <c r="AC353">
        <v>3</v>
      </c>
      <c r="AD353">
        <v>0</v>
      </c>
      <c r="AE353">
        <v>9</v>
      </c>
      <c r="AF353" t="s">
        <v>128</v>
      </c>
      <c r="AG353">
        <v>0</v>
      </c>
      <c r="AH353">
        <v>0</v>
      </c>
      <c r="AI353">
        <v>1</v>
      </c>
      <c r="AJ353">
        <v>0</v>
      </c>
      <c r="AK353" t="s">
        <v>308</v>
      </c>
      <c r="AL353">
        <v>33.688974000000002</v>
      </c>
      <c r="AM353" t="s">
        <v>309</v>
      </c>
      <c r="AN353">
        <v>-101.208136</v>
      </c>
      <c r="AO353">
        <v>100</v>
      </c>
      <c r="AP353">
        <v>3300</v>
      </c>
      <c r="AQ353" t="s">
        <v>131</v>
      </c>
      <c r="AR353">
        <v>-16</v>
      </c>
      <c r="AS353">
        <v>88</v>
      </c>
      <c r="AT353">
        <v>-64</v>
      </c>
      <c r="BB353" t="str">
        <f t="shared" si="30"/>
        <v>1200</v>
      </c>
      <c r="BC353">
        <v>1</v>
      </c>
      <c r="BD353" t="str">
        <f t="shared" si="31"/>
        <v xml:space="preserve">N445JS  </v>
      </c>
      <c r="BE353">
        <v>7</v>
      </c>
      <c r="BG353">
        <v>0</v>
      </c>
      <c r="BH353">
        <v>0</v>
      </c>
      <c r="BI353">
        <v>0</v>
      </c>
      <c r="BJ353">
        <v>3100</v>
      </c>
      <c r="BK353">
        <v>-200</v>
      </c>
      <c r="BL353" t="s">
        <v>132</v>
      </c>
      <c r="BM353">
        <v>1</v>
      </c>
      <c r="BN353">
        <v>1</v>
      </c>
      <c r="BO353">
        <v>1</v>
      </c>
      <c r="BP353">
        <v>0</v>
      </c>
      <c r="BT353">
        <v>0</v>
      </c>
      <c r="BU353">
        <v>0</v>
      </c>
      <c r="CE353" t="str">
        <f>"15:39:01.834"</f>
        <v>15:39:01.834</v>
      </c>
      <c r="CF353">
        <v>834296910</v>
      </c>
      <c r="CS353">
        <v>0</v>
      </c>
      <c r="CT353">
        <v>2</v>
      </c>
      <c r="CU353">
        <v>0</v>
      </c>
      <c r="CV353">
        <v>2</v>
      </c>
      <c r="CW353">
        <v>0</v>
      </c>
      <c r="CX353">
        <v>5</v>
      </c>
      <c r="CY353">
        <v>7</v>
      </c>
      <c r="CZ353" t="s">
        <v>133</v>
      </c>
      <c r="DA353">
        <v>125</v>
      </c>
      <c r="DB353">
        <v>1</v>
      </c>
      <c r="DC353" t="s">
        <v>134</v>
      </c>
      <c r="DD353" t="s">
        <v>135</v>
      </c>
      <c r="DG353">
        <v>2531373</v>
      </c>
      <c r="DI353">
        <v>0</v>
      </c>
      <c r="DJ353">
        <v>0</v>
      </c>
      <c r="DK353">
        <v>1</v>
      </c>
      <c r="DL353">
        <v>0</v>
      </c>
      <c r="DM353">
        <v>0</v>
      </c>
      <c r="DN353">
        <v>0</v>
      </c>
      <c r="DO353">
        <v>0</v>
      </c>
      <c r="DP353">
        <v>0</v>
      </c>
      <c r="DQ353">
        <v>0</v>
      </c>
      <c r="DR353">
        <v>0</v>
      </c>
      <c r="DS353">
        <v>0</v>
      </c>
    </row>
    <row r="354" spans="1:123" x14ac:dyDescent="0.25">
      <c r="A354" t="str">
        <f>"04/17/2026 15:39:03.137"</f>
        <v>04/17/2026 15:39:03.137</v>
      </c>
      <c r="C354" t="str">
        <f t="shared" si="28"/>
        <v>FFDFD3C0</v>
      </c>
      <c r="D354" t="s">
        <v>139</v>
      </c>
      <c r="E354" t="str">
        <f>"28"</f>
        <v>28</v>
      </c>
      <c r="H354">
        <v>140</v>
      </c>
      <c r="I354" t="s">
        <v>140</v>
      </c>
      <c r="J354" t="s">
        <v>141</v>
      </c>
      <c r="K354">
        <v>0</v>
      </c>
      <c r="L354">
        <v>3</v>
      </c>
      <c r="M354">
        <v>0</v>
      </c>
      <c r="N354">
        <v>2</v>
      </c>
      <c r="O354">
        <v>1</v>
      </c>
      <c r="P354">
        <v>0</v>
      </c>
      <c r="Q354">
        <v>0</v>
      </c>
      <c r="R354" t="s">
        <v>127</v>
      </c>
      <c r="S354" t="str">
        <f>"15:39:02.852"</f>
        <v>15:39:02.852</v>
      </c>
      <c r="T354" t="str">
        <f>"15:39:02.452"</f>
        <v>15:39:02.452</v>
      </c>
      <c r="U354" t="str">
        <f t="shared" si="29"/>
        <v>A55E09</v>
      </c>
      <c r="V354">
        <v>0</v>
      </c>
      <c r="W354">
        <v>0</v>
      </c>
      <c r="X354">
        <v>2</v>
      </c>
      <c r="Y354">
        <v>0</v>
      </c>
      <c r="AA354">
        <v>0</v>
      </c>
      <c r="AB354">
        <v>9</v>
      </c>
      <c r="AC354">
        <v>3</v>
      </c>
      <c r="AD354">
        <v>0</v>
      </c>
      <c r="AE354">
        <v>9</v>
      </c>
      <c r="AF354" t="s">
        <v>128</v>
      </c>
      <c r="AG354">
        <v>0</v>
      </c>
      <c r="AH354">
        <v>0</v>
      </c>
      <c r="AI354">
        <v>1</v>
      </c>
      <c r="AJ354">
        <v>0</v>
      </c>
      <c r="AK354" t="s">
        <v>310</v>
      </c>
      <c r="AL354">
        <v>33.689382000000002</v>
      </c>
      <c r="AM354" t="s">
        <v>311</v>
      </c>
      <c r="AN354">
        <v>-101.20822200000001</v>
      </c>
      <c r="AO354">
        <v>100</v>
      </c>
      <c r="AP354">
        <v>3300</v>
      </c>
      <c r="AQ354" t="s">
        <v>131</v>
      </c>
      <c r="AR354">
        <v>-16</v>
      </c>
      <c r="AS354">
        <v>88</v>
      </c>
      <c r="AT354">
        <v>-64</v>
      </c>
      <c r="BB354" t="str">
        <f t="shared" si="30"/>
        <v>1200</v>
      </c>
      <c r="BC354">
        <v>1</v>
      </c>
      <c r="BD354" t="str">
        <f t="shared" si="31"/>
        <v xml:space="preserve">N445JS  </v>
      </c>
      <c r="BE354">
        <v>7</v>
      </c>
      <c r="BG354">
        <v>0</v>
      </c>
      <c r="BH354">
        <v>0</v>
      </c>
      <c r="BI354">
        <v>0</v>
      </c>
      <c r="BJ354">
        <v>3100</v>
      </c>
      <c r="BK354">
        <v>-200</v>
      </c>
      <c r="BL354" t="s">
        <v>132</v>
      </c>
      <c r="BM354">
        <v>1</v>
      </c>
      <c r="BN354">
        <v>1</v>
      </c>
      <c r="BO354">
        <v>1</v>
      </c>
      <c r="BP354">
        <v>0</v>
      </c>
      <c r="BT354">
        <v>0</v>
      </c>
      <c r="BU354">
        <v>0</v>
      </c>
      <c r="CE354" t="str">
        <f>"15:39:02.854"</f>
        <v>15:39:02.854</v>
      </c>
      <c r="CF354">
        <v>854196945</v>
      </c>
      <c r="CS354">
        <v>0</v>
      </c>
      <c r="CT354">
        <v>2</v>
      </c>
      <c r="CU354">
        <v>0</v>
      </c>
      <c r="CV354">
        <v>2</v>
      </c>
      <c r="CW354">
        <v>0</v>
      </c>
      <c r="CX354">
        <v>6</v>
      </c>
      <c r="CY354">
        <v>7</v>
      </c>
      <c r="CZ354" t="s">
        <v>133</v>
      </c>
      <c r="DA354">
        <v>125</v>
      </c>
      <c r="DB354">
        <v>1</v>
      </c>
      <c r="DC354" t="s">
        <v>134</v>
      </c>
      <c r="DD354" t="s">
        <v>135</v>
      </c>
      <c r="DG354">
        <v>2532342</v>
      </c>
      <c r="DI354">
        <v>0</v>
      </c>
      <c r="DJ354">
        <v>0</v>
      </c>
      <c r="DK354">
        <v>0</v>
      </c>
      <c r="DL354">
        <v>0</v>
      </c>
      <c r="DM354">
        <v>0</v>
      </c>
      <c r="DN354">
        <v>0</v>
      </c>
      <c r="DO354">
        <v>0</v>
      </c>
      <c r="DP354">
        <v>0</v>
      </c>
      <c r="DQ354">
        <v>0</v>
      </c>
      <c r="DR354">
        <v>0</v>
      </c>
      <c r="DS354">
        <v>0</v>
      </c>
    </row>
    <row r="355" spans="1:123" x14ac:dyDescent="0.25">
      <c r="A355" t="str">
        <f>"04/17/2026 15:39:03.150"</f>
        <v>04/17/2026 15:39:03.150</v>
      </c>
      <c r="C355" t="str">
        <f t="shared" si="28"/>
        <v>FFDFD3C0</v>
      </c>
      <c r="D355" t="s">
        <v>136</v>
      </c>
      <c r="E355" t="str">
        <f>"0E"</f>
        <v>0E</v>
      </c>
      <c r="F355">
        <v>1014</v>
      </c>
      <c r="G355" t="s">
        <v>125</v>
      </c>
      <c r="J355" t="s">
        <v>137</v>
      </c>
      <c r="K355">
        <v>0</v>
      </c>
      <c r="L355">
        <v>3</v>
      </c>
      <c r="M355">
        <v>0</v>
      </c>
      <c r="N355">
        <v>2</v>
      </c>
      <c r="O355">
        <v>1</v>
      </c>
      <c r="P355">
        <v>0</v>
      </c>
      <c r="Q355">
        <v>0</v>
      </c>
      <c r="R355" t="s">
        <v>127</v>
      </c>
      <c r="S355" t="str">
        <f>"15:39:02.852"</f>
        <v>15:39:02.852</v>
      </c>
      <c r="T355" t="str">
        <f>"15:39:02.452"</f>
        <v>15:39:02.452</v>
      </c>
      <c r="U355" t="str">
        <f t="shared" si="29"/>
        <v>A55E09</v>
      </c>
      <c r="V355">
        <v>0</v>
      </c>
      <c r="W355">
        <v>0</v>
      </c>
      <c r="X355">
        <v>2</v>
      </c>
      <c r="Y355">
        <v>0</v>
      </c>
      <c r="AA355">
        <v>0</v>
      </c>
      <c r="AB355">
        <v>9</v>
      </c>
      <c r="AC355">
        <v>3</v>
      </c>
      <c r="AD355">
        <v>0</v>
      </c>
      <c r="AE355">
        <v>9</v>
      </c>
      <c r="AF355" t="s">
        <v>128</v>
      </c>
      <c r="AG355">
        <v>0</v>
      </c>
      <c r="AH355">
        <v>0</v>
      </c>
      <c r="AI355">
        <v>1</v>
      </c>
      <c r="AJ355">
        <v>0</v>
      </c>
      <c r="AK355" t="s">
        <v>310</v>
      </c>
      <c r="AL355">
        <v>33.689382000000002</v>
      </c>
      <c r="AM355" t="s">
        <v>311</v>
      </c>
      <c r="AN355">
        <v>-101.20822200000001</v>
      </c>
      <c r="AO355">
        <v>100</v>
      </c>
      <c r="AP355">
        <v>3300</v>
      </c>
      <c r="AQ355" t="s">
        <v>131</v>
      </c>
      <c r="AR355">
        <v>-16</v>
      </c>
      <c r="AS355">
        <v>88</v>
      </c>
      <c r="AT355">
        <v>-64</v>
      </c>
      <c r="BB355" t="str">
        <f t="shared" si="30"/>
        <v>1200</v>
      </c>
      <c r="BC355">
        <v>1</v>
      </c>
      <c r="BD355" t="str">
        <f t="shared" si="31"/>
        <v xml:space="preserve">N445JS  </v>
      </c>
      <c r="BE355">
        <v>7</v>
      </c>
      <c r="BG355">
        <v>0</v>
      </c>
      <c r="BH355">
        <v>0</v>
      </c>
      <c r="BI355">
        <v>0</v>
      </c>
      <c r="BJ355">
        <v>3100</v>
      </c>
      <c r="BK355">
        <v>-200</v>
      </c>
      <c r="BL355" t="s">
        <v>132</v>
      </c>
      <c r="BM355">
        <v>1</v>
      </c>
      <c r="BN355">
        <v>1</v>
      </c>
      <c r="BO355">
        <v>1</v>
      </c>
      <c r="BP355">
        <v>0</v>
      </c>
      <c r="BT355">
        <v>0</v>
      </c>
      <c r="BU355">
        <v>0</v>
      </c>
      <c r="CE355" t="str">
        <f>"15:39:02.854"</f>
        <v>15:39:02.854</v>
      </c>
      <c r="CF355">
        <v>854196945</v>
      </c>
      <c r="CS355">
        <v>0</v>
      </c>
      <c r="CT355">
        <v>2</v>
      </c>
      <c r="CU355">
        <v>0</v>
      </c>
      <c r="CV355">
        <v>2</v>
      </c>
      <c r="CW355">
        <v>0</v>
      </c>
      <c r="CX355">
        <v>6</v>
      </c>
      <c r="CY355">
        <v>7</v>
      </c>
      <c r="CZ355" t="s">
        <v>133</v>
      </c>
      <c r="DA355">
        <v>125</v>
      </c>
      <c r="DB355">
        <v>1</v>
      </c>
      <c r="DC355" t="s">
        <v>134</v>
      </c>
      <c r="DD355" t="s">
        <v>135</v>
      </c>
      <c r="DG355">
        <v>2532342</v>
      </c>
      <c r="DI355">
        <v>0</v>
      </c>
      <c r="DJ355">
        <v>0</v>
      </c>
      <c r="DK355">
        <v>1</v>
      </c>
      <c r="DL355">
        <v>0</v>
      </c>
      <c r="DM355">
        <v>0</v>
      </c>
      <c r="DN355">
        <v>0</v>
      </c>
      <c r="DO355">
        <v>0</v>
      </c>
      <c r="DP355">
        <v>0</v>
      </c>
      <c r="DQ355">
        <v>0</v>
      </c>
      <c r="DR355">
        <v>0</v>
      </c>
      <c r="DS355">
        <v>0</v>
      </c>
    </row>
    <row r="356" spans="1:123" x14ac:dyDescent="0.25">
      <c r="A356" t="str">
        <f>"04/17/2026 15:39:03.152"</f>
        <v>04/17/2026 15:39:03.152</v>
      </c>
      <c r="C356" t="str">
        <f t="shared" si="28"/>
        <v>FFDFD3C0</v>
      </c>
      <c r="D356" t="s">
        <v>136</v>
      </c>
      <c r="E356" t="str">
        <f>"0F"</f>
        <v>0F</v>
      </c>
      <c r="F356">
        <v>1015</v>
      </c>
      <c r="G356" t="s">
        <v>138</v>
      </c>
      <c r="J356" t="s">
        <v>137</v>
      </c>
      <c r="K356">
        <v>0</v>
      </c>
      <c r="L356">
        <v>3</v>
      </c>
      <c r="M356">
        <v>0</v>
      </c>
      <c r="N356">
        <v>2</v>
      </c>
      <c r="O356">
        <v>1</v>
      </c>
      <c r="P356">
        <v>0</v>
      </c>
      <c r="Q356">
        <v>0</v>
      </c>
      <c r="R356" t="s">
        <v>127</v>
      </c>
      <c r="S356" t="str">
        <f>"15:39:02.852"</f>
        <v>15:39:02.852</v>
      </c>
      <c r="T356" t="str">
        <f>"15:39:02.452"</f>
        <v>15:39:02.452</v>
      </c>
      <c r="U356" t="str">
        <f t="shared" si="29"/>
        <v>A55E09</v>
      </c>
      <c r="V356">
        <v>0</v>
      </c>
      <c r="W356">
        <v>0</v>
      </c>
      <c r="X356">
        <v>2</v>
      </c>
      <c r="Y356">
        <v>0</v>
      </c>
      <c r="AA356">
        <v>0</v>
      </c>
      <c r="AB356">
        <v>9</v>
      </c>
      <c r="AC356">
        <v>3</v>
      </c>
      <c r="AD356">
        <v>0</v>
      </c>
      <c r="AE356">
        <v>9</v>
      </c>
      <c r="AF356" t="s">
        <v>128</v>
      </c>
      <c r="AG356">
        <v>0</v>
      </c>
      <c r="AH356">
        <v>0</v>
      </c>
      <c r="AI356">
        <v>1</v>
      </c>
      <c r="AJ356">
        <v>0</v>
      </c>
      <c r="AK356" t="s">
        <v>310</v>
      </c>
      <c r="AL356">
        <v>33.689382000000002</v>
      </c>
      <c r="AM356" t="s">
        <v>311</v>
      </c>
      <c r="AN356">
        <v>-101.20822200000001</v>
      </c>
      <c r="AO356">
        <v>100</v>
      </c>
      <c r="AP356">
        <v>3300</v>
      </c>
      <c r="AQ356" t="s">
        <v>131</v>
      </c>
      <c r="AR356">
        <v>-16</v>
      </c>
      <c r="AS356">
        <v>88</v>
      </c>
      <c r="AT356">
        <v>-64</v>
      </c>
      <c r="BB356" t="str">
        <f t="shared" si="30"/>
        <v>1200</v>
      </c>
      <c r="BC356">
        <v>1</v>
      </c>
      <c r="BD356" t="str">
        <f t="shared" si="31"/>
        <v xml:space="preserve">N445JS  </v>
      </c>
      <c r="BE356">
        <v>7</v>
      </c>
      <c r="BG356">
        <v>0</v>
      </c>
      <c r="BH356">
        <v>0</v>
      </c>
      <c r="BI356">
        <v>0</v>
      </c>
      <c r="BJ356">
        <v>3100</v>
      </c>
      <c r="BK356">
        <v>-200</v>
      </c>
      <c r="BL356" t="s">
        <v>132</v>
      </c>
      <c r="BM356">
        <v>1</v>
      </c>
      <c r="BN356">
        <v>1</v>
      </c>
      <c r="BO356">
        <v>1</v>
      </c>
      <c r="BP356">
        <v>0</v>
      </c>
      <c r="BT356">
        <v>0</v>
      </c>
      <c r="BU356">
        <v>0</v>
      </c>
      <c r="CE356" t="str">
        <f>"15:39:02.854"</f>
        <v>15:39:02.854</v>
      </c>
      <c r="CF356">
        <v>854196945</v>
      </c>
      <c r="CS356">
        <v>0</v>
      </c>
      <c r="CT356">
        <v>2</v>
      </c>
      <c r="CU356">
        <v>0</v>
      </c>
      <c r="CV356">
        <v>2</v>
      </c>
      <c r="CW356">
        <v>0</v>
      </c>
      <c r="CX356">
        <v>6</v>
      </c>
      <c r="CY356">
        <v>7</v>
      </c>
      <c r="CZ356" t="s">
        <v>133</v>
      </c>
      <c r="DA356">
        <v>125</v>
      </c>
      <c r="DB356">
        <v>1</v>
      </c>
      <c r="DC356" t="s">
        <v>134</v>
      </c>
      <c r="DD356" t="s">
        <v>135</v>
      </c>
      <c r="DG356">
        <v>2532342</v>
      </c>
      <c r="DI356">
        <v>0</v>
      </c>
      <c r="DJ356">
        <v>0</v>
      </c>
      <c r="DK356">
        <v>1</v>
      </c>
      <c r="DL356">
        <v>0</v>
      </c>
      <c r="DM356">
        <v>0</v>
      </c>
      <c r="DN356">
        <v>0</v>
      </c>
      <c r="DO356">
        <v>0</v>
      </c>
      <c r="DP356">
        <v>0</v>
      </c>
      <c r="DQ356">
        <v>0</v>
      </c>
      <c r="DR356">
        <v>0</v>
      </c>
      <c r="DS356">
        <v>0</v>
      </c>
    </row>
    <row r="357" spans="1:123" x14ac:dyDescent="0.25">
      <c r="A357" t="str">
        <f>"04/17/2026 15:39:03.162"</f>
        <v>04/17/2026 15:39:03.162</v>
      </c>
      <c r="C357" t="str">
        <f t="shared" si="28"/>
        <v>FFDFD3C0</v>
      </c>
      <c r="D357" t="s">
        <v>124</v>
      </c>
      <c r="E357" t="str">
        <f>"03"</f>
        <v>03</v>
      </c>
      <c r="H357">
        <v>160</v>
      </c>
      <c r="I357" t="s">
        <v>125</v>
      </c>
      <c r="J357" t="s">
        <v>126</v>
      </c>
      <c r="K357">
        <v>0</v>
      </c>
      <c r="L357">
        <v>3</v>
      </c>
      <c r="M357">
        <v>0</v>
      </c>
      <c r="N357">
        <v>2</v>
      </c>
      <c r="O357">
        <v>1</v>
      </c>
      <c r="P357">
        <v>0</v>
      </c>
      <c r="Q357">
        <v>0</v>
      </c>
      <c r="R357" t="s">
        <v>127</v>
      </c>
      <c r="S357" t="str">
        <f>"15:39:02.852"</f>
        <v>15:39:02.852</v>
      </c>
      <c r="T357" t="str">
        <f>"15:39:02.452"</f>
        <v>15:39:02.452</v>
      </c>
      <c r="U357" t="str">
        <f t="shared" si="29"/>
        <v>A55E09</v>
      </c>
      <c r="V357">
        <v>0</v>
      </c>
      <c r="W357">
        <v>0</v>
      </c>
      <c r="X357">
        <v>2</v>
      </c>
      <c r="Y357">
        <v>0</v>
      </c>
      <c r="AA357">
        <v>0</v>
      </c>
      <c r="AB357">
        <v>9</v>
      </c>
      <c r="AC357">
        <v>3</v>
      </c>
      <c r="AD357">
        <v>0</v>
      </c>
      <c r="AE357">
        <v>9</v>
      </c>
      <c r="AF357" t="s">
        <v>128</v>
      </c>
      <c r="AG357">
        <v>0</v>
      </c>
      <c r="AH357">
        <v>0</v>
      </c>
      <c r="AI357">
        <v>1</v>
      </c>
      <c r="AJ357">
        <v>0</v>
      </c>
      <c r="AK357" t="s">
        <v>310</v>
      </c>
      <c r="AL357">
        <v>33.689382000000002</v>
      </c>
      <c r="AM357" t="s">
        <v>311</v>
      </c>
      <c r="AN357">
        <v>-101.20822200000001</v>
      </c>
      <c r="AO357">
        <v>100</v>
      </c>
      <c r="AP357">
        <v>3300</v>
      </c>
      <c r="AQ357" t="s">
        <v>131</v>
      </c>
      <c r="AR357">
        <v>-16</v>
      </c>
      <c r="AS357">
        <v>88</v>
      </c>
      <c r="AT357">
        <v>-64</v>
      </c>
      <c r="BB357" t="str">
        <f t="shared" si="30"/>
        <v>1200</v>
      </c>
      <c r="BC357">
        <v>1</v>
      </c>
      <c r="BD357" t="str">
        <f t="shared" si="31"/>
        <v xml:space="preserve">N445JS  </v>
      </c>
      <c r="BE357">
        <v>7</v>
      </c>
      <c r="BG357">
        <v>0</v>
      </c>
      <c r="BH357">
        <v>0</v>
      </c>
      <c r="BI357">
        <v>0</v>
      </c>
      <c r="BJ357">
        <v>3100</v>
      </c>
      <c r="BK357">
        <v>-200</v>
      </c>
      <c r="BL357" t="s">
        <v>132</v>
      </c>
      <c r="BM357">
        <v>1</v>
      </c>
      <c r="BN357">
        <v>1</v>
      </c>
      <c r="BO357">
        <v>1</v>
      </c>
      <c r="BP357">
        <v>0</v>
      </c>
      <c r="BT357">
        <v>0</v>
      </c>
      <c r="BU357">
        <v>0</v>
      </c>
      <c r="CE357" t="str">
        <f>"15:39:02.854"</f>
        <v>15:39:02.854</v>
      </c>
      <c r="CF357">
        <v>854196945</v>
      </c>
      <c r="CS357">
        <v>0</v>
      </c>
      <c r="CT357">
        <v>2</v>
      </c>
      <c r="CU357">
        <v>0</v>
      </c>
      <c r="CV357">
        <v>2</v>
      </c>
      <c r="CW357">
        <v>0</v>
      </c>
      <c r="CX357">
        <v>6</v>
      </c>
      <c r="CY357">
        <v>7</v>
      </c>
      <c r="CZ357" t="s">
        <v>133</v>
      </c>
      <c r="DA357">
        <v>125</v>
      </c>
      <c r="DB357">
        <v>1</v>
      </c>
      <c r="DC357" t="s">
        <v>134</v>
      </c>
      <c r="DD357" t="s">
        <v>135</v>
      </c>
      <c r="DG357">
        <v>2532342</v>
      </c>
      <c r="DI357">
        <v>0</v>
      </c>
      <c r="DJ357">
        <v>0</v>
      </c>
      <c r="DK357">
        <v>1</v>
      </c>
      <c r="DL357">
        <v>0</v>
      </c>
      <c r="DM357">
        <v>0</v>
      </c>
      <c r="DN357">
        <v>0</v>
      </c>
      <c r="DO357">
        <v>0</v>
      </c>
      <c r="DP357">
        <v>0</v>
      </c>
      <c r="DQ357">
        <v>0</v>
      </c>
      <c r="DR357">
        <v>0</v>
      </c>
      <c r="DS357">
        <v>0</v>
      </c>
    </row>
    <row r="358" spans="1:123" x14ac:dyDescent="0.25">
      <c r="A358" t="str">
        <f>"04/17/2026 15:39:04.089"</f>
        <v>04/17/2026 15:39:04.089</v>
      </c>
      <c r="C358" t="str">
        <f t="shared" si="28"/>
        <v>FFDFD3C0</v>
      </c>
      <c r="D358" t="s">
        <v>139</v>
      </c>
      <c r="E358" t="str">
        <f>"28"</f>
        <v>28</v>
      </c>
      <c r="H358">
        <v>140</v>
      </c>
      <c r="I358" t="s">
        <v>140</v>
      </c>
      <c r="J358" t="s">
        <v>141</v>
      </c>
      <c r="K358">
        <v>0</v>
      </c>
      <c r="L358">
        <v>3</v>
      </c>
      <c r="M358">
        <v>0</v>
      </c>
      <c r="N358">
        <v>2</v>
      </c>
      <c r="O358">
        <v>1</v>
      </c>
      <c r="P358">
        <v>0</v>
      </c>
      <c r="Q358">
        <v>0</v>
      </c>
      <c r="R358" t="s">
        <v>127</v>
      </c>
      <c r="S358" t="str">
        <f>"15:39:03.828"</f>
        <v>15:39:03.828</v>
      </c>
      <c r="T358" t="str">
        <f>"15:39:03.528"</f>
        <v>15:39:03.528</v>
      </c>
      <c r="U358" t="str">
        <f t="shared" si="29"/>
        <v>A55E09</v>
      </c>
      <c r="V358">
        <v>0</v>
      </c>
      <c r="W358">
        <v>0</v>
      </c>
      <c r="X358">
        <v>2</v>
      </c>
      <c r="Y358">
        <v>0</v>
      </c>
      <c r="AA358">
        <v>0</v>
      </c>
      <c r="AB358">
        <v>9</v>
      </c>
      <c r="AC358">
        <v>3</v>
      </c>
      <c r="AD358">
        <v>0</v>
      </c>
      <c r="AE358">
        <v>9</v>
      </c>
      <c r="AF358" t="s">
        <v>128</v>
      </c>
      <c r="AG358">
        <v>0</v>
      </c>
      <c r="AH358">
        <v>0</v>
      </c>
      <c r="AI358">
        <v>1</v>
      </c>
      <c r="AJ358">
        <v>0</v>
      </c>
      <c r="AK358" t="s">
        <v>312</v>
      </c>
      <c r="AL358">
        <v>33.689810999999999</v>
      </c>
      <c r="AM358" t="s">
        <v>313</v>
      </c>
      <c r="AN358">
        <v>-101.20835099999999</v>
      </c>
      <c r="AO358">
        <v>100</v>
      </c>
      <c r="AP358">
        <v>3300</v>
      </c>
      <c r="AQ358" t="s">
        <v>131</v>
      </c>
      <c r="AR358">
        <v>-16</v>
      </c>
      <c r="AS358">
        <v>87</v>
      </c>
      <c r="AT358">
        <v>-64</v>
      </c>
      <c r="BB358" t="str">
        <f t="shared" si="30"/>
        <v>1200</v>
      </c>
      <c r="BC358">
        <v>1</v>
      </c>
      <c r="BD358" t="str">
        <f t="shared" si="31"/>
        <v xml:space="preserve">N445JS  </v>
      </c>
      <c r="BE358">
        <v>7</v>
      </c>
      <c r="BG358">
        <v>0</v>
      </c>
      <c r="BH358">
        <v>0</v>
      </c>
      <c r="BI358">
        <v>0</v>
      </c>
      <c r="BJ358">
        <v>3100</v>
      </c>
      <c r="BK358">
        <v>-200</v>
      </c>
      <c r="BL358" t="s">
        <v>132</v>
      </c>
      <c r="BM358">
        <v>1</v>
      </c>
      <c r="BN358">
        <v>1</v>
      </c>
      <c r="BO358">
        <v>1</v>
      </c>
      <c r="BP358">
        <v>0</v>
      </c>
      <c r="BT358">
        <v>0</v>
      </c>
      <c r="BU358">
        <v>0</v>
      </c>
      <c r="CE358" t="str">
        <f>"15:39:03.829"</f>
        <v>15:39:03.829</v>
      </c>
      <c r="CF358">
        <v>829101385</v>
      </c>
      <c r="CS358">
        <v>0</v>
      </c>
      <c r="CT358">
        <v>2</v>
      </c>
      <c r="CU358">
        <v>0</v>
      </c>
      <c r="CV358">
        <v>2</v>
      </c>
      <c r="CW358">
        <v>0</v>
      </c>
      <c r="CX358">
        <v>6</v>
      </c>
      <c r="CY358">
        <v>7</v>
      </c>
      <c r="CZ358" t="s">
        <v>133</v>
      </c>
      <c r="DA358">
        <v>125</v>
      </c>
      <c r="DB358">
        <v>1</v>
      </c>
      <c r="DC358" t="s">
        <v>134</v>
      </c>
      <c r="DD358" t="s">
        <v>135</v>
      </c>
      <c r="DG358">
        <v>2533287</v>
      </c>
      <c r="DI358">
        <v>0</v>
      </c>
      <c r="DJ358">
        <v>0</v>
      </c>
      <c r="DK358">
        <v>0</v>
      </c>
      <c r="DL358">
        <v>0</v>
      </c>
      <c r="DM358">
        <v>0</v>
      </c>
      <c r="DN358">
        <v>0</v>
      </c>
      <c r="DO358">
        <v>0</v>
      </c>
      <c r="DP358">
        <v>0</v>
      </c>
      <c r="DQ358">
        <v>0</v>
      </c>
      <c r="DR358">
        <v>0</v>
      </c>
      <c r="DS358">
        <v>0</v>
      </c>
    </row>
    <row r="359" spans="1:123" x14ac:dyDescent="0.25">
      <c r="A359" t="str">
        <f>"04/17/2026 15:39:04.102"</f>
        <v>04/17/2026 15:39:04.102</v>
      </c>
      <c r="C359" t="str">
        <f t="shared" si="28"/>
        <v>FFDFD3C0</v>
      </c>
      <c r="D359" t="s">
        <v>136</v>
      </c>
      <c r="E359" t="str">
        <f>"0E"</f>
        <v>0E</v>
      </c>
      <c r="F359">
        <v>1014</v>
      </c>
      <c r="G359" t="s">
        <v>125</v>
      </c>
      <c r="J359" t="s">
        <v>137</v>
      </c>
      <c r="K359">
        <v>0</v>
      </c>
      <c r="L359">
        <v>3</v>
      </c>
      <c r="M359">
        <v>0</v>
      </c>
      <c r="N359">
        <v>2</v>
      </c>
      <c r="O359">
        <v>1</v>
      </c>
      <c r="P359">
        <v>0</v>
      </c>
      <c r="Q359">
        <v>0</v>
      </c>
      <c r="R359" t="s">
        <v>127</v>
      </c>
      <c r="S359" t="str">
        <f>"15:39:03.828"</f>
        <v>15:39:03.828</v>
      </c>
      <c r="T359" t="str">
        <f>"15:39:03.528"</f>
        <v>15:39:03.528</v>
      </c>
      <c r="U359" t="str">
        <f t="shared" si="29"/>
        <v>A55E09</v>
      </c>
      <c r="V359">
        <v>0</v>
      </c>
      <c r="W359">
        <v>0</v>
      </c>
      <c r="X359">
        <v>2</v>
      </c>
      <c r="Y359">
        <v>0</v>
      </c>
      <c r="AA359">
        <v>0</v>
      </c>
      <c r="AB359">
        <v>9</v>
      </c>
      <c r="AC359">
        <v>3</v>
      </c>
      <c r="AD359">
        <v>0</v>
      </c>
      <c r="AE359">
        <v>9</v>
      </c>
      <c r="AF359" t="s">
        <v>128</v>
      </c>
      <c r="AG359">
        <v>0</v>
      </c>
      <c r="AH359">
        <v>0</v>
      </c>
      <c r="AI359">
        <v>1</v>
      </c>
      <c r="AJ359">
        <v>0</v>
      </c>
      <c r="AK359" t="s">
        <v>312</v>
      </c>
      <c r="AL359">
        <v>33.689810999999999</v>
      </c>
      <c r="AM359" t="s">
        <v>313</v>
      </c>
      <c r="AN359">
        <v>-101.20835099999999</v>
      </c>
      <c r="AO359">
        <v>100</v>
      </c>
      <c r="AP359">
        <v>3300</v>
      </c>
      <c r="AQ359" t="s">
        <v>131</v>
      </c>
      <c r="AR359">
        <v>-16</v>
      </c>
      <c r="AS359">
        <v>87</v>
      </c>
      <c r="AT359">
        <v>-64</v>
      </c>
      <c r="BB359" t="str">
        <f t="shared" si="30"/>
        <v>1200</v>
      </c>
      <c r="BC359">
        <v>1</v>
      </c>
      <c r="BD359" t="str">
        <f t="shared" si="31"/>
        <v xml:space="preserve">N445JS  </v>
      </c>
      <c r="BE359">
        <v>7</v>
      </c>
      <c r="BG359">
        <v>0</v>
      </c>
      <c r="BH359">
        <v>0</v>
      </c>
      <c r="BI359">
        <v>0</v>
      </c>
      <c r="BJ359">
        <v>3100</v>
      </c>
      <c r="BK359">
        <v>-200</v>
      </c>
      <c r="BL359" t="s">
        <v>132</v>
      </c>
      <c r="BM359">
        <v>1</v>
      </c>
      <c r="BN359">
        <v>1</v>
      </c>
      <c r="BO359">
        <v>1</v>
      </c>
      <c r="BP359">
        <v>0</v>
      </c>
      <c r="BT359">
        <v>0</v>
      </c>
      <c r="BU359">
        <v>0</v>
      </c>
      <c r="CE359" t="str">
        <f>"15:39:03.829"</f>
        <v>15:39:03.829</v>
      </c>
      <c r="CF359">
        <v>829101385</v>
      </c>
      <c r="CS359">
        <v>0</v>
      </c>
      <c r="CT359">
        <v>2</v>
      </c>
      <c r="CU359">
        <v>0</v>
      </c>
      <c r="CV359">
        <v>2</v>
      </c>
      <c r="CW359">
        <v>0</v>
      </c>
      <c r="CX359">
        <v>6</v>
      </c>
      <c r="CY359">
        <v>7</v>
      </c>
      <c r="CZ359" t="s">
        <v>133</v>
      </c>
      <c r="DA359">
        <v>125</v>
      </c>
      <c r="DB359">
        <v>1</v>
      </c>
      <c r="DC359" t="s">
        <v>134</v>
      </c>
      <c r="DD359" t="s">
        <v>135</v>
      </c>
      <c r="DG359">
        <v>2533287</v>
      </c>
      <c r="DI359">
        <v>0</v>
      </c>
      <c r="DJ359">
        <v>0</v>
      </c>
      <c r="DK359">
        <v>1</v>
      </c>
      <c r="DL359">
        <v>0</v>
      </c>
      <c r="DM359">
        <v>0</v>
      </c>
      <c r="DN359">
        <v>0</v>
      </c>
      <c r="DO359">
        <v>0</v>
      </c>
      <c r="DP359">
        <v>0</v>
      </c>
      <c r="DQ359">
        <v>0</v>
      </c>
      <c r="DR359">
        <v>0</v>
      </c>
      <c r="DS359">
        <v>0</v>
      </c>
    </row>
    <row r="360" spans="1:123" x14ac:dyDescent="0.25">
      <c r="A360" t="str">
        <f>"04/17/2026 15:39:04.104"</f>
        <v>04/17/2026 15:39:04.104</v>
      </c>
      <c r="C360" t="str">
        <f t="shared" si="28"/>
        <v>FFDFD3C0</v>
      </c>
      <c r="D360" t="s">
        <v>136</v>
      </c>
      <c r="E360" t="str">
        <f>"0F"</f>
        <v>0F</v>
      </c>
      <c r="F360">
        <v>1015</v>
      </c>
      <c r="G360" t="s">
        <v>138</v>
      </c>
      <c r="J360" t="s">
        <v>137</v>
      </c>
      <c r="K360">
        <v>0</v>
      </c>
      <c r="L360">
        <v>3</v>
      </c>
      <c r="M360">
        <v>0</v>
      </c>
      <c r="N360">
        <v>2</v>
      </c>
      <c r="O360">
        <v>1</v>
      </c>
      <c r="P360">
        <v>0</v>
      </c>
      <c r="Q360">
        <v>0</v>
      </c>
      <c r="R360" t="s">
        <v>127</v>
      </c>
      <c r="S360" t="str">
        <f>"15:39:03.828"</f>
        <v>15:39:03.828</v>
      </c>
      <c r="T360" t="str">
        <f>"15:39:03.528"</f>
        <v>15:39:03.528</v>
      </c>
      <c r="U360" t="str">
        <f t="shared" si="29"/>
        <v>A55E09</v>
      </c>
      <c r="V360">
        <v>0</v>
      </c>
      <c r="W360">
        <v>0</v>
      </c>
      <c r="X360">
        <v>2</v>
      </c>
      <c r="Y360">
        <v>0</v>
      </c>
      <c r="AA360">
        <v>0</v>
      </c>
      <c r="AB360">
        <v>9</v>
      </c>
      <c r="AC360">
        <v>3</v>
      </c>
      <c r="AD360">
        <v>0</v>
      </c>
      <c r="AE360">
        <v>9</v>
      </c>
      <c r="AF360" t="s">
        <v>128</v>
      </c>
      <c r="AG360">
        <v>0</v>
      </c>
      <c r="AH360">
        <v>0</v>
      </c>
      <c r="AI360">
        <v>1</v>
      </c>
      <c r="AJ360">
        <v>0</v>
      </c>
      <c r="AK360" t="s">
        <v>312</v>
      </c>
      <c r="AL360">
        <v>33.689810999999999</v>
      </c>
      <c r="AM360" t="s">
        <v>313</v>
      </c>
      <c r="AN360">
        <v>-101.20835099999999</v>
      </c>
      <c r="AO360">
        <v>100</v>
      </c>
      <c r="AP360">
        <v>3300</v>
      </c>
      <c r="AQ360" t="s">
        <v>131</v>
      </c>
      <c r="AR360">
        <v>-16</v>
      </c>
      <c r="AS360">
        <v>87</v>
      </c>
      <c r="AT360">
        <v>-64</v>
      </c>
      <c r="BB360" t="str">
        <f t="shared" si="30"/>
        <v>1200</v>
      </c>
      <c r="BC360">
        <v>1</v>
      </c>
      <c r="BD360" t="str">
        <f t="shared" si="31"/>
        <v xml:space="preserve">N445JS  </v>
      </c>
      <c r="BE360">
        <v>7</v>
      </c>
      <c r="BG360">
        <v>0</v>
      </c>
      <c r="BH360">
        <v>0</v>
      </c>
      <c r="BI360">
        <v>0</v>
      </c>
      <c r="BJ360">
        <v>3100</v>
      </c>
      <c r="BK360">
        <v>-200</v>
      </c>
      <c r="BL360" t="s">
        <v>132</v>
      </c>
      <c r="BM360">
        <v>1</v>
      </c>
      <c r="BN360">
        <v>1</v>
      </c>
      <c r="BO360">
        <v>1</v>
      </c>
      <c r="BP360">
        <v>0</v>
      </c>
      <c r="BT360">
        <v>0</v>
      </c>
      <c r="BU360">
        <v>0</v>
      </c>
      <c r="CE360" t="str">
        <f>"15:39:03.829"</f>
        <v>15:39:03.829</v>
      </c>
      <c r="CF360">
        <v>829101385</v>
      </c>
      <c r="CS360">
        <v>0</v>
      </c>
      <c r="CT360">
        <v>2</v>
      </c>
      <c r="CU360">
        <v>0</v>
      </c>
      <c r="CV360">
        <v>2</v>
      </c>
      <c r="CW360">
        <v>0</v>
      </c>
      <c r="CX360">
        <v>6</v>
      </c>
      <c r="CY360">
        <v>7</v>
      </c>
      <c r="CZ360" t="s">
        <v>133</v>
      </c>
      <c r="DA360">
        <v>125</v>
      </c>
      <c r="DB360">
        <v>1</v>
      </c>
      <c r="DC360" t="s">
        <v>134</v>
      </c>
      <c r="DD360" t="s">
        <v>135</v>
      </c>
      <c r="DG360">
        <v>2533287</v>
      </c>
      <c r="DI360">
        <v>0</v>
      </c>
      <c r="DJ360">
        <v>0</v>
      </c>
      <c r="DK360">
        <v>1</v>
      </c>
      <c r="DL360">
        <v>0</v>
      </c>
      <c r="DM360">
        <v>0</v>
      </c>
      <c r="DN360">
        <v>0</v>
      </c>
      <c r="DO360">
        <v>0</v>
      </c>
      <c r="DP360">
        <v>0</v>
      </c>
      <c r="DQ360">
        <v>0</v>
      </c>
      <c r="DR360">
        <v>0</v>
      </c>
      <c r="DS360">
        <v>0</v>
      </c>
    </row>
    <row r="361" spans="1:123" x14ac:dyDescent="0.25">
      <c r="A361" t="str">
        <f>"04/17/2026 15:39:04.114"</f>
        <v>04/17/2026 15:39:04.114</v>
      </c>
      <c r="C361" t="str">
        <f t="shared" si="28"/>
        <v>FFDFD3C0</v>
      </c>
      <c r="D361" t="s">
        <v>124</v>
      </c>
      <c r="E361" t="str">
        <f>"03"</f>
        <v>03</v>
      </c>
      <c r="H361">
        <v>160</v>
      </c>
      <c r="I361" t="s">
        <v>125</v>
      </c>
      <c r="J361" t="s">
        <v>126</v>
      </c>
      <c r="K361">
        <v>0</v>
      </c>
      <c r="L361">
        <v>3</v>
      </c>
      <c r="M361">
        <v>0</v>
      </c>
      <c r="N361">
        <v>2</v>
      </c>
      <c r="O361">
        <v>1</v>
      </c>
      <c r="P361">
        <v>0</v>
      </c>
      <c r="Q361">
        <v>0</v>
      </c>
      <c r="R361" t="s">
        <v>127</v>
      </c>
      <c r="S361" t="str">
        <f>"15:39:03.828"</f>
        <v>15:39:03.828</v>
      </c>
      <c r="T361" t="str">
        <f>"15:39:03.528"</f>
        <v>15:39:03.528</v>
      </c>
      <c r="U361" t="str">
        <f t="shared" si="29"/>
        <v>A55E09</v>
      </c>
      <c r="V361">
        <v>0</v>
      </c>
      <c r="W361">
        <v>0</v>
      </c>
      <c r="X361">
        <v>2</v>
      </c>
      <c r="Y361">
        <v>0</v>
      </c>
      <c r="AA361">
        <v>0</v>
      </c>
      <c r="AB361">
        <v>9</v>
      </c>
      <c r="AC361">
        <v>3</v>
      </c>
      <c r="AD361">
        <v>0</v>
      </c>
      <c r="AE361">
        <v>9</v>
      </c>
      <c r="AF361" t="s">
        <v>128</v>
      </c>
      <c r="AG361">
        <v>0</v>
      </c>
      <c r="AH361">
        <v>0</v>
      </c>
      <c r="AI361">
        <v>1</v>
      </c>
      <c r="AJ361">
        <v>0</v>
      </c>
      <c r="AK361" t="s">
        <v>312</v>
      </c>
      <c r="AL361">
        <v>33.689810999999999</v>
      </c>
      <c r="AM361" t="s">
        <v>313</v>
      </c>
      <c r="AN361">
        <v>-101.20835099999999</v>
      </c>
      <c r="AO361">
        <v>100</v>
      </c>
      <c r="AP361">
        <v>3300</v>
      </c>
      <c r="AQ361" t="s">
        <v>131</v>
      </c>
      <c r="AR361">
        <v>-16</v>
      </c>
      <c r="AS361">
        <v>87</v>
      </c>
      <c r="AT361">
        <v>-64</v>
      </c>
      <c r="BB361" t="str">
        <f t="shared" si="30"/>
        <v>1200</v>
      </c>
      <c r="BC361">
        <v>1</v>
      </c>
      <c r="BD361" t="str">
        <f t="shared" si="31"/>
        <v xml:space="preserve">N445JS  </v>
      </c>
      <c r="BE361">
        <v>7</v>
      </c>
      <c r="BG361">
        <v>0</v>
      </c>
      <c r="BH361">
        <v>0</v>
      </c>
      <c r="BI361">
        <v>0</v>
      </c>
      <c r="BJ361">
        <v>3100</v>
      </c>
      <c r="BK361">
        <v>-200</v>
      </c>
      <c r="BL361" t="s">
        <v>132</v>
      </c>
      <c r="BM361">
        <v>1</v>
      </c>
      <c r="BN361">
        <v>1</v>
      </c>
      <c r="BO361">
        <v>1</v>
      </c>
      <c r="BP361">
        <v>0</v>
      </c>
      <c r="BT361">
        <v>0</v>
      </c>
      <c r="BU361">
        <v>0</v>
      </c>
      <c r="CE361" t="str">
        <f>"15:39:03.829"</f>
        <v>15:39:03.829</v>
      </c>
      <c r="CF361">
        <v>829101385</v>
      </c>
      <c r="CS361">
        <v>0</v>
      </c>
      <c r="CT361">
        <v>2</v>
      </c>
      <c r="CU361">
        <v>0</v>
      </c>
      <c r="CV361">
        <v>2</v>
      </c>
      <c r="CW361">
        <v>0</v>
      </c>
      <c r="CX361">
        <v>6</v>
      </c>
      <c r="CY361">
        <v>7</v>
      </c>
      <c r="CZ361" t="s">
        <v>133</v>
      </c>
      <c r="DA361">
        <v>125</v>
      </c>
      <c r="DB361">
        <v>1</v>
      </c>
      <c r="DC361" t="s">
        <v>134</v>
      </c>
      <c r="DD361" t="s">
        <v>135</v>
      </c>
      <c r="DG361">
        <v>2533287</v>
      </c>
      <c r="DI361">
        <v>0</v>
      </c>
      <c r="DJ361">
        <v>0</v>
      </c>
      <c r="DK361">
        <v>1</v>
      </c>
      <c r="DL361">
        <v>0</v>
      </c>
      <c r="DM361">
        <v>0</v>
      </c>
      <c r="DN361">
        <v>0</v>
      </c>
      <c r="DO361">
        <v>0</v>
      </c>
      <c r="DP361">
        <v>0</v>
      </c>
      <c r="DQ361">
        <v>0</v>
      </c>
      <c r="DR361">
        <v>0</v>
      </c>
      <c r="DS361">
        <v>0</v>
      </c>
    </row>
    <row r="362" spans="1:123" x14ac:dyDescent="0.25">
      <c r="A362" t="str">
        <f>"04/17/2026 15:39:05.216"</f>
        <v>04/17/2026 15:39:05.216</v>
      </c>
      <c r="C362" t="str">
        <f t="shared" si="28"/>
        <v>FFDFD3C0</v>
      </c>
      <c r="D362" t="s">
        <v>124</v>
      </c>
      <c r="E362" t="str">
        <f>"03"</f>
        <v>03</v>
      </c>
      <c r="H362">
        <v>160</v>
      </c>
      <c r="I362" t="s">
        <v>125</v>
      </c>
      <c r="J362" t="s">
        <v>126</v>
      </c>
      <c r="K362">
        <v>0</v>
      </c>
      <c r="L362">
        <v>3</v>
      </c>
      <c r="M362">
        <v>0</v>
      </c>
      <c r="N362">
        <v>2</v>
      </c>
      <c r="O362">
        <v>1</v>
      </c>
      <c r="P362">
        <v>0</v>
      </c>
      <c r="Q362">
        <v>0</v>
      </c>
      <c r="R362" t="s">
        <v>127</v>
      </c>
      <c r="S362" t="str">
        <f>"15:39:04.977"</f>
        <v>15:39:04.977</v>
      </c>
      <c r="T362" t="str">
        <f>"15:39:04.477"</f>
        <v>15:39:04.477</v>
      </c>
      <c r="U362" t="str">
        <f t="shared" si="29"/>
        <v>A55E09</v>
      </c>
      <c r="V362">
        <v>0</v>
      </c>
      <c r="W362">
        <v>0</v>
      </c>
      <c r="X362">
        <v>2</v>
      </c>
      <c r="Y362">
        <v>0</v>
      </c>
      <c r="AA362">
        <v>0</v>
      </c>
      <c r="AB362">
        <v>9</v>
      </c>
      <c r="AC362">
        <v>3</v>
      </c>
      <c r="AD362">
        <v>0</v>
      </c>
      <c r="AE362">
        <v>9</v>
      </c>
      <c r="AF362" t="s">
        <v>128</v>
      </c>
      <c r="AG362">
        <v>0</v>
      </c>
      <c r="AH362">
        <v>0</v>
      </c>
      <c r="AI362">
        <v>1</v>
      </c>
      <c r="AJ362">
        <v>0</v>
      </c>
      <c r="AK362" t="s">
        <v>314</v>
      </c>
      <c r="AL362">
        <v>33.690261999999997</v>
      </c>
      <c r="AM362" t="s">
        <v>315</v>
      </c>
      <c r="AN362">
        <v>-101.208415</v>
      </c>
      <c r="AO362">
        <v>100</v>
      </c>
      <c r="AP362">
        <v>3300</v>
      </c>
      <c r="AQ362" t="s">
        <v>131</v>
      </c>
      <c r="AR362">
        <v>-16</v>
      </c>
      <c r="AS362">
        <v>88</v>
      </c>
      <c r="AT362">
        <v>-64</v>
      </c>
      <c r="BB362" t="str">
        <f t="shared" si="30"/>
        <v>1200</v>
      </c>
      <c r="BC362">
        <v>1</v>
      </c>
      <c r="BD362" t="str">
        <f t="shared" si="31"/>
        <v xml:space="preserve">N445JS  </v>
      </c>
      <c r="BE362">
        <v>7</v>
      </c>
      <c r="BG362">
        <v>0</v>
      </c>
      <c r="BH362">
        <v>0</v>
      </c>
      <c r="BI362">
        <v>0</v>
      </c>
      <c r="BJ362">
        <v>3100</v>
      </c>
      <c r="BK362">
        <v>-200</v>
      </c>
      <c r="BL362" t="s">
        <v>132</v>
      </c>
      <c r="BM362">
        <v>1</v>
      </c>
      <c r="BN362">
        <v>1</v>
      </c>
      <c r="BO362">
        <v>1</v>
      </c>
      <c r="BP362">
        <v>0</v>
      </c>
      <c r="BT362">
        <v>0</v>
      </c>
      <c r="BU362">
        <v>0</v>
      </c>
      <c r="CE362" t="str">
        <f>"15:39:04.984"</f>
        <v>15:39:04.984</v>
      </c>
      <c r="CF362">
        <v>983988182</v>
      </c>
      <c r="CS362">
        <v>0</v>
      </c>
      <c r="CT362">
        <v>2</v>
      </c>
      <c r="CU362">
        <v>0</v>
      </c>
      <c r="CV362">
        <v>2</v>
      </c>
      <c r="CW362">
        <v>0</v>
      </c>
      <c r="CX362">
        <v>6</v>
      </c>
      <c r="CY362">
        <v>7</v>
      </c>
      <c r="CZ362" t="s">
        <v>133</v>
      </c>
      <c r="DA362">
        <v>125</v>
      </c>
      <c r="DB362">
        <v>1</v>
      </c>
      <c r="DC362" t="s">
        <v>134</v>
      </c>
      <c r="DD362" t="s">
        <v>135</v>
      </c>
      <c r="DG362">
        <v>2534414</v>
      </c>
      <c r="DI362">
        <v>0</v>
      </c>
      <c r="DJ362">
        <v>0</v>
      </c>
      <c r="DK362">
        <v>0</v>
      </c>
      <c r="DL362">
        <v>0</v>
      </c>
      <c r="DM362">
        <v>0</v>
      </c>
      <c r="DN362">
        <v>0</v>
      </c>
      <c r="DO362">
        <v>0</v>
      </c>
      <c r="DP362">
        <v>0</v>
      </c>
      <c r="DQ362">
        <v>0</v>
      </c>
      <c r="DR362">
        <v>0</v>
      </c>
      <c r="DS362">
        <v>0</v>
      </c>
    </row>
    <row r="363" spans="1:123" x14ac:dyDescent="0.25">
      <c r="A363" t="str">
        <f>"04/17/2026 15:39:05.242"</f>
        <v>04/17/2026 15:39:05.242</v>
      </c>
      <c r="C363" t="str">
        <f t="shared" si="28"/>
        <v>FFDFD3C0</v>
      </c>
      <c r="D363" t="s">
        <v>139</v>
      </c>
      <c r="E363" t="str">
        <f>"28"</f>
        <v>28</v>
      </c>
      <c r="H363">
        <v>140</v>
      </c>
      <c r="I363" t="s">
        <v>140</v>
      </c>
      <c r="J363" t="s">
        <v>141</v>
      </c>
      <c r="K363">
        <v>0</v>
      </c>
      <c r="L363">
        <v>3</v>
      </c>
      <c r="M363">
        <v>0</v>
      </c>
      <c r="N363">
        <v>2</v>
      </c>
      <c r="O363">
        <v>1</v>
      </c>
      <c r="P363">
        <v>0</v>
      </c>
      <c r="Q363">
        <v>0</v>
      </c>
      <c r="R363" t="s">
        <v>127</v>
      </c>
      <c r="S363" t="str">
        <f>"15:39:04.977"</f>
        <v>15:39:04.977</v>
      </c>
      <c r="T363" t="str">
        <f>"15:39:04.477"</f>
        <v>15:39:04.477</v>
      </c>
      <c r="U363" t="str">
        <f t="shared" si="29"/>
        <v>A55E09</v>
      </c>
      <c r="V363">
        <v>0</v>
      </c>
      <c r="W363">
        <v>0</v>
      </c>
      <c r="X363">
        <v>2</v>
      </c>
      <c r="Y363">
        <v>0</v>
      </c>
      <c r="AA363">
        <v>0</v>
      </c>
      <c r="AB363">
        <v>9</v>
      </c>
      <c r="AC363">
        <v>3</v>
      </c>
      <c r="AD363">
        <v>0</v>
      </c>
      <c r="AE363">
        <v>9</v>
      </c>
      <c r="AF363" t="s">
        <v>128</v>
      </c>
      <c r="AG363">
        <v>0</v>
      </c>
      <c r="AH363">
        <v>0</v>
      </c>
      <c r="AI363">
        <v>1</v>
      </c>
      <c r="AJ363">
        <v>0</v>
      </c>
      <c r="AK363" t="s">
        <v>314</v>
      </c>
      <c r="AL363">
        <v>33.690261999999997</v>
      </c>
      <c r="AM363" t="s">
        <v>315</v>
      </c>
      <c r="AN363">
        <v>-101.208415</v>
      </c>
      <c r="AO363">
        <v>100</v>
      </c>
      <c r="AP363">
        <v>3300</v>
      </c>
      <c r="AQ363" t="s">
        <v>131</v>
      </c>
      <c r="AR363">
        <v>-16</v>
      </c>
      <c r="AS363">
        <v>88</v>
      </c>
      <c r="AT363">
        <v>-64</v>
      </c>
      <c r="BB363" t="str">
        <f t="shared" si="30"/>
        <v>1200</v>
      </c>
      <c r="BC363">
        <v>1</v>
      </c>
      <c r="BD363" t="str">
        <f t="shared" si="31"/>
        <v xml:space="preserve">N445JS  </v>
      </c>
      <c r="BE363">
        <v>7</v>
      </c>
      <c r="BG363">
        <v>0</v>
      </c>
      <c r="BH363">
        <v>0</v>
      </c>
      <c r="BI363">
        <v>0</v>
      </c>
      <c r="BJ363">
        <v>3100</v>
      </c>
      <c r="BK363">
        <v>-200</v>
      </c>
      <c r="BL363" t="s">
        <v>132</v>
      </c>
      <c r="BM363">
        <v>1</v>
      </c>
      <c r="BN363">
        <v>1</v>
      </c>
      <c r="BO363">
        <v>1</v>
      </c>
      <c r="BP363">
        <v>0</v>
      </c>
      <c r="BT363">
        <v>0</v>
      </c>
      <c r="BU363">
        <v>0</v>
      </c>
      <c r="CE363" t="str">
        <f>"15:39:04.984"</f>
        <v>15:39:04.984</v>
      </c>
      <c r="CF363">
        <v>983988182</v>
      </c>
      <c r="CS363">
        <v>0</v>
      </c>
      <c r="CT363">
        <v>2</v>
      </c>
      <c r="CU363">
        <v>0</v>
      </c>
      <c r="CV363">
        <v>2</v>
      </c>
      <c r="CW363">
        <v>0</v>
      </c>
      <c r="CX363">
        <v>6</v>
      </c>
      <c r="CY363">
        <v>7</v>
      </c>
      <c r="CZ363" t="s">
        <v>133</v>
      </c>
      <c r="DA363">
        <v>125</v>
      </c>
      <c r="DB363">
        <v>1</v>
      </c>
      <c r="DC363" t="s">
        <v>134</v>
      </c>
      <c r="DD363" t="s">
        <v>135</v>
      </c>
      <c r="DG363">
        <v>2534414</v>
      </c>
      <c r="DI363">
        <v>0</v>
      </c>
      <c r="DJ363">
        <v>0</v>
      </c>
      <c r="DK363">
        <v>1</v>
      </c>
      <c r="DL363">
        <v>0</v>
      </c>
      <c r="DM363">
        <v>0</v>
      </c>
      <c r="DN363">
        <v>0</v>
      </c>
      <c r="DO363">
        <v>0</v>
      </c>
      <c r="DP363">
        <v>0</v>
      </c>
      <c r="DQ363">
        <v>0</v>
      </c>
      <c r="DR363">
        <v>0</v>
      </c>
      <c r="DS363">
        <v>0</v>
      </c>
    </row>
    <row r="364" spans="1:123" x14ac:dyDescent="0.25">
      <c r="A364" t="str">
        <f>"04/17/2026 15:39:05.254"</f>
        <v>04/17/2026 15:39:05.254</v>
      </c>
      <c r="C364" t="str">
        <f t="shared" si="28"/>
        <v>FFDFD3C0</v>
      </c>
      <c r="D364" t="s">
        <v>136</v>
      </c>
      <c r="E364" t="str">
        <f>"0E"</f>
        <v>0E</v>
      </c>
      <c r="F364">
        <v>1014</v>
      </c>
      <c r="G364" t="s">
        <v>125</v>
      </c>
      <c r="J364" t="s">
        <v>137</v>
      </c>
      <c r="K364">
        <v>0</v>
      </c>
      <c r="L364">
        <v>3</v>
      </c>
      <c r="M364">
        <v>0</v>
      </c>
      <c r="N364">
        <v>2</v>
      </c>
      <c r="O364">
        <v>1</v>
      </c>
      <c r="P364">
        <v>0</v>
      </c>
      <c r="Q364">
        <v>0</v>
      </c>
      <c r="R364" t="s">
        <v>127</v>
      </c>
      <c r="S364" t="str">
        <f>"15:39:04.977"</f>
        <v>15:39:04.977</v>
      </c>
      <c r="T364" t="str">
        <f>"15:39:04.477"</f>
        <v>15:39:04.477</v>
      </c>
      <c r="U364" t="str">
        <f t="shared" si="29"/>
        <v>A55E09</v>
      </c>
      <c r="V364">
        <v>0</v>
      </c>
      <c r="W364">
        <v>0</v>
      </c>
      <c r="X364">
        <v>2</v>
      </c>
      <c r="Y364">
        <v>0</v>
      </c>
      <c r="AA364">
        <v>0</v>
      </c>
      <c r="AB364">
        <v>9</v>
      </c>
      <c r="AC364">
        <v>3</v>
      </c>
      <c r="AD364">
        <v>0</v>
      </c>
      <c r="AE364">
        <v>9</v>
      </c>
      <c r="AF364" t="s">
        <v>128</v>
      </c>
      <c r="AG364">
        <v>0</v>
      </c>
      <c r="AH364">
        <v>0</v>
      </c>
      <c r="AI364">
        <v>1</v>
      </c>
      <c r="AJ364">
        <v>0</v>
      </c>
      <c r="AK364" t="s">
        <v>314</v>
      </c>
      <c r="AL364">
        <v>33.690261999999997</v>
      </c>
      <c r="AM364" t="s">
        <v>315</v>
      </c>
      <c r="AN364">
        <v>-101.208415</v>
      </c>
      <c r="AO364">
        <v>100</v>
      </c>
      <c r="AP364">
        <v>3300</v>
      </c>
      <c r="AQ364" t="s">
        <v>131</v>
      </c>
      <c r="AR364">
        <v>-16</v>
      </c>
      <c r="AS364">
        <v>88</v>
      </c>
      <c r="AT364">
        <v>-64</v>
      </c>
      <c r="BB364" t="str">
        <f t="shared" si="30"/>
        <v>1200</v>
      </c>
      <c r="BC364">
        <v>1</v>
      </c>
      <c r="BD364" t="str">
        <f t="shared" si="31"/>
        <v xml:space="preserve">N445JS  </v>
      </c>
      <c r="BE364">
        <v>7</v>
      </c>
      <c r="BG364">
        <v>0</v>
      </c>
      <c r="BH364">
        <v>0</v>
      </c>
      <c r="BI364">
        <v>0</v>
      </c>
      <c r="BJ364">
        <v>3100</v>
      </c>
      <c r="BK364">
        <v>-200</v>
      </c>
      <c r="BL364" t="s">
        <v>132</v>
      </c>
      <c r="BM364">
        <v>1</v>
      </c>
      <c r="BN364">
        <v>1</v>
      </c>
      <c r="BO364">
        <v>1</v>
      </c>
      <c r="BP364">
        <v>0</v>
      </c>
      <c r="BT364">
        <v>0</v>
      </c>
      <c r="BU364">
        <v>0</v>
      </c>
      <c r="CE364" t="str">
        <f>"15:39:04.984"</f>
        <v>15:39:04.984</v>
      </c>
      <c r="CF364">
        <v>983988182</v>
      </c>
      <c r="CS364">
        <v>0</v>
      </c>
      <c r="CT364">
        <v>2</v>
      </c>
      <c r="CU364">
        <v>0</v>
      </c>
      <c r="CV364">
        <v>2</v>
      </c>
      <c r="CW364">
        <v>0</v>
      </c>
      <c r="CX364">
        <v>6</v>
      </c>
      <c r="CY364">
        <v>7</v>
      </c>
      <c r="CZ364" t="s">
        <v>133</v>
      </c>
      <c r="DA364">
        <v>125</v>
      </c>
      <c r="DB364">
        <v>1</v>
      </c>
      <c r="DC364" t="s">
        <v>134</v>
      </c>
      <c r="DD364" t="s">
        <v>135</v>
      </c>
      <c r="DG364">
        <v>2534414</v>
      </c>
      <c r="DI364">
        <v>0</v>
      </c>
      <c r="DJ364">
        <v>0</v>
      </c>
      <c r="DK364">
        <v>1</v>
      </c>
      <c r="DL364">
        <v>0</v>
      </c>
      <c r="DM364">
        <v>0</v>
      </c>
      <c r="DN364">
        <v>0</v>
      </c>
      <c r="DO364">
        <v>0</v>
      </c>
      <c r="DP364">
        <v>0</v>
      </c>
      <c r="DQ364">
        <v>0</v>
      </c>
      <c r="DR364">
        <v>0</v>
      </c>
      <c r="DS364">
        <v>0</v>
      </c>
    </row>
    <row r="365" spans="1:123" x14ac:dyDescent="0.25">
      <c r="A365" t="str">
        <f>"04/17/2026 15:39:05.256"</f>
        <v>04/17/2026 15:39:05.256</v>
      </c>
      <c r="C365" t="str">
        <f t="shared" si="28"/>
        <v>FFDFD3C0</v>
      </c>
      <c r="D365" t="s">
        <v>136</v>
      </c>
      <c r="E365" t="str">
        <f>"0F"</f>
        <v>0F</v>
      </c>
      <c r="F365">
        <v>1015</v>
      </c>
      <c r="G365" t="s">
        <v>138</v>
      </c>
      <c r="J365" t="s">
        <v>137</v>
      </c>
      <c r="K365">
        <v>0</v>
      </c>
      <c r="L365">
        <v>3</v>
      </c>
      <c r="M365">
        <v>0</v>
      </c>
      <c r="N365">
        <v>2</v>
      </c>
      <c r="O365">
        <v>1</v>
      </c>
      <c r="P365">
        <v>0</v>
      </c>
      <c r="Q365">
        <v>0</v>
      </c>
      <c r="R365" t="s">
        <v>127</v>
      </c>
      <c r="S365" t="str">
        <f>"15:39:04.977"</f>
        <v>15:39:04.977</v>
      </c>
      <c r="T365" t="str">
        <f>"15:39:04.477"</f>
        <v>15:39:04.477</v>
      </c>
      <c r="U365" t="str">
        <f t="shared" si="29"/>
        <v>A55E09</v>
      </c>
      <c r="V365">
        <v>0</v>
      </c>
      <c r="W365">
        <v>0</v>
      </c>
      <c r="X365">
        <v>2</v>
      </c>
      <c r="Y365">
        <v>0</v>
      </c>
      <c r="AA365">
        <v>0</v>
      </c>
      <c r="AB365">
        <v>9</v>
      </c>
      <c r="AC365">
        <v>3</v>
      </c>
      <c r="AD365">
        <v>0</v>
      </c>
      <c r="AE365">
        <v>9</v>
      </c>
      <c r="AF365" t="s">
        <v>128</v>
      </c>
      <c r="AG365">
        <v>0</v>
      </c>
      <c r="AH365">
        <v>0</v>
      </c>
      <c r="AI365">
        <v>1</v>
      </c>
      <c r="AJ365">
        <v>0</v>
      </c>
      <c r="AK365" t="s">
        <v>314</v>
      </c>
      <c r="AL365">
        <v>33.690261999999997</v>
      </c>
      <c r="AM365" t="s">
        <v>315</v>
      </c>
      <c r="AN365">
        <v>-101.208415</v>
      </c>
      <c r="AO365">
        <v>100</v>
      </c>
      <c r="AP365">
        <v>3300</v>
      </c>
      <c r="AQ365" t="s">
        <v>131</v>
      </c>
      <c r="AR365">
        <v>-16</v>
      </c>
      <c r="AS365">
        <v>88</v>
      </c>
      <c r="AT365">
        <v>-64</v>
      </c>
      <c r="BB365" t="str">
        <f t="shared" si="30"/>
        <v>1200</v>
      </c>
      <c r="BC365">
        <v>1</v>
      </c>
      <c r="BD365" t="str">
        <f t="shared" si="31"/>
        <v xml:space="preserve">N445JS  </v>
      </c>
      <c r="BE365">
        <v>7</v>
      </c>
      <c r="BG365">
        <v>0</v>
      </c>
      <c r="BH365">
        <v>0</v>
      </c>
      <c r="BI365">
        <v>0</v>
      </c>
      <c r="BJ365">
        <v>3100</v>
      </c>
      <c r="BK365">
        <v>-200</v>
      </c>
      <c r="BL365" t="s">
        <v>132</v>
      </c>
      <c r="BM365">
        <v>1</v>
      </c>
      <c r="BN365">
        <v>1</v>
      </c>
      <c r="BO365">
        <v>1</v>
      </c>
      <c r="BP365">
        <v>0</v>
      </c>
      <c r="BT365">
        <v>0</v>
      </c>
      <c r="BU365">
        <v>0</v>
      </c>
      <c r="CE365" t="str">
        <f>"15:39:04.984"</f>
        <v>15:39:04.984</v>
      </c>
      <c r="CF365">
        <v>983988182</v>
      </c>
      <c r="CS365">
        <v>0</v>
      </c>
      <c r="CT365">
        <v>2</v>
      </c>
      <c r="CU365">
        <v>0</v>
      </c>
      <c r="CV365">
        <v>2</v>
      </c>
      <c r="CW365">
        <v>0</v>
      </c>
      <c r="CX365">
        <v>6</v>
      </c>
      <c r="CY365">
        <v>7</v>
      </c>
      <c r="CZ365" t="s">
        <v>133</v>
      </c>
      <c r="DA365">
        <v>125</v>
      </c>
      <c r="DB365">
        <v>1</v>
      </c>
      <c r="DC365" t="s">
        <v>134</v>
      </c>
      <c r="DD365" t="s">
        <v>135</v>
      </c>
      <c r="DG365">
        <v>2534414</v>
      </c>
      <c r="DI365">
        <v>0</v>
      </c>
      <c r="DJ365">
        <v>0</v>
      </c>
      <c r="DK365">
        <v>1</v>
      </c>
      <c r="DL365">
        <v>0</v>
      </c>
      <c r="DM365">
        <v>0</v>
      </c>
      <c r="DN365">
        <v>0</v>
      </c>
      <c r="DO365">
        <v>0</v>
      </c>
      <c r="DP365">
        <v>0</v>
      </c>
      <c r="DQ365">
        <v>0</v>
      </c>
      <c r="DR365">
        <v>0</v>
      </c>
      <c r="DS365">
        <v>0</v>
      </c>
    </row>
    <row r="366" spans="1:123" x14ac:dyDescent="0.25">
      <c r="A366" t="str">
        <f>"04/17/2026 15:39:06.156"</f>
        <v>04/17/2026 15:39:06.156</v>
      </c>
      <c r="C366" t="str">
        <f t="shared" si="28"/>
        <v>FFDFD3C0</v>
      </c>
      <c r="D366" t="s">
        <v>136</v>
      </c>
      <c r="E366" t="str">
        <f>"0E"</f>
        <v>0E</v>
      </c>
      <c r="F366">
        <v>1014</v>
      </c>
      <c r="G366" t="s">
        <v>125</v>
      </c>
      <c r="J366" t="s">
        <v>137</v>
      </c>
      <c r="K366">
        <v>0</v>
      </c>
      <c r="L366">
        <v>3</v>
      </c>
      <c r="M366">
        <v>0</v>
      </c>
      <c r="N366">
        <v>2</v>
      </c>
      <c r="O366">
        <v>1</v>
      </c>
      <c r="P366">
        <v>0</v>
      </c>
      <c r="Q366">
        <v>0</v>
      </c>
      <c r="R366" t="s">
        <v>127</v>
      </c>
      <c r="S366" t="str">
        <f>"15:39:05.898"</f>
        <v>15:39:05.898</v>
      </c>
      <c r="T366" t="str">
        <f>"15:39:05.098"</f>
        <v>15:39:05.098</v>
      </c>
      <c r="U366" t="str">
        <f t="shared" si="29"/>
        <v>A55E09</v>
      </c>
      <c r="V366">
        <v>0</v>
      </c>
      <c r="W366">
        <v>0</v>
      </c>
      <c r="X366">
        <v>2</v>
      </c>
      <c r="Y366">
        <v>0</v>
      </c>
      <c r="AA366">
        <v>0</v>
      </c>
      <c r="AB366">
        <v>9</v>
      </c>
      <c r="AC366">
        <v>3</v>
      </c>
      <c r="AD366">
        <v>0</v>
      </c>
      <c r="AE366">
        <v>9</v>
      </c>
      <c r="AF366" t="s">
        <v>128</v>
      </c>
      <c r="AG366">
        <v>0</v>
      </c>
      <c r="AH366">
        <v>0</v>
      </c>
      <c r="AI366">
        <v>1</v>
      </c>
      <c r="AJ366">
        <v>0</v>
      </c>
      <c r="AK366" t="s">
        <v>316</v>
      </c>
      <c r="AL366">
        <v>33.690626999999999</v>
      </c>
      <c r="AM366" t="s">
        <v>317</v>
      </c>
      <c r="AN366">
        <v>-101.208522</v>
      </c>
      <c r="AO366">
        <v>100</v>
      </c>
      <c r="AP366">
        <v>3300</v>
      </c>
      <c r="AQ366" t="s">
        <v>131</v>
      </c>
      <c r="AR366">
        <v>-16</v>
      </c>
      <c r="AS366">
        <v>88</v>
      </c>
      <c r="AT366">
        <v>-64</v>
      </c>
      <c r="BB366" t="str">
        <f t="shared" si="30"/>
        <v>1200</v>
      </c>
      <c r="BC366">
        <v>1</v>
      </c>
      <c r="BD366" t="str">
        <f t="shared" si="31"/>
        <v xml:space="preserve">N445JS  </v>
      </c>
      <c r="BE366">
        <v>7</v>
      </c>
      <c r="BG366">
        <v>0</v>
      </c>
      <c r="BH366">
        <v>0</v>
      </c>
      <c r="BI366">
        <v>0</v>
      </c>
      <c r="BJ366">
        <v>3100</v>
      </c>
      <c r="BK366">
        <v>-200</v>
      </c>
      <c r="BL366" t="s">
        <v>132</v>
      </c>
      <c r="BM366">
        <v>1</v>
      </c>
      <c r="BN366">
        <v>1</v>
      </c>
      <c r="BO366">
        <v>1</v>
      </c>
      <c r="BP366">
        <v>0</v>
      </c>
      <c r="BT366">
        <v>0</v>
      </c>
      <c r="BU366">
        <v>0</v>
      </c>
      <c r="CE366" t="str">
        <f>"15:39:05.899"</f>
        <v>15:39:05.899</v>
      </c>
      <c r="CF366">
        <v>898898599</v>
      </c>
      <c r="CS366">
        <v>0</v>
      </c>
      <c r="CT366">
        <v>2</v>
      </c>
      <c r="CU366">
        <v>0</v>
      </c>
      <c r="CV366">
        <v>2</v>
      </c>
      <c r="CW366">
        <v>0</v>
      </c>
      <c r="CX366">
        <v>5</v>
      </c>
      <c r="CY366">
        <v>7</v>
      </c>
      <c r="CZ366" t="s">
        <v>133</v>
      </c>
      <c r="DA366">
        <v>125</v>
      </c>
      <c r="DB366">
        <v>1</v>
      </c>
      <c r="DC366" t="s">
        <v>134</v>
      </c>
      <c r="DD366" t="s">
        <v>135</v>
      </c>
      <c r="DG366">
        <v>2535358</v>
      </c>
      <c r="DI366">
        <v>0</v>
      </c>
      <c r="DJ366">
        <v>0</v>
      </c>
      <c r="DK366">
        <v>0</v>
      </c>
      <c r="DL366">
        <v>0</v>
      </c>
      <c r="DM366">
        <v>0</v>
      </c>
      <c r="DN366">
        <v>0</v>
      </c>
      <c r="DO366">
        <v>0</v>
      </c>
      <c r="DP366">
        <v>0</v>
      </c>
      <c r="DQ366">
        <v>0</v>
      </c>
      <c r="DR366">
        <v>0</v>
      </c>
      <c r="DS366">
        <v>0</v>
      </c>
    </row>
    <row r="367" spans="1:123" x14ac:dyDescent="0.25">
      <c r="A367" t="str">
        <f>"04/17/2026 15:39:06.159"</f>
        <v>04/17/2026 15:39:06.159</v>
      </c>
      <c r="C367" t="str">
        <f t="shared" si="28"/>
        <v>FFDFD3C0</v>
      </c>
      <c r="D367" t="s">
        <v>136</v>
      </c>
      <c r="E367" t="str">
        <f>"0F"</f>
        <v>0F</v>
      </c>
      <c r="F367">
        <v>1015</v>
      </c>
      <c r="G367" t="s">
        <v>138</v>
      </c>
      <c r="J367" t="s">
        <v>137</v>
      </c>
      <c r="K367">
        <v>0</v>
      </c>
      <c r="L367">
        <v>3</v>
      </c>
      <c r="M367">
        <v>0</v>
      </c>
      <c r="N367">
        <v>2</v>
      </c>
      <c r="O367">
        <v>1</v>
      </c>
      <c r="P367">
        <v>0</v>
      </c>
      <c r="Q367">
        <v>0</v>
      </c>
      <c r="R367" t="s">
        <v>127</v>
      </c>
      <c r="S367" t="str">
        <f>"15:39:05.898"</f>
        <v>15:39:05.898</v>
      </c>
      <c r="T367" t="str">
        <f>"15:39:05.098"</f>
        <v>15:39:05.098</v>
      </c>
      <c r="U367" t="str">
        <f t="shared" si="29"/>
        <v>A55E09</v>
      </c>
      <c r="V367">
        <v>0</v>
      </c>
      <c r="W367">
        <v>0</v>
      </c>
      <c r="X367">
        <v>2</v>
      </c>
      <c r="Y367">
        <v>0</v>
      </c>
      <c r="AA367">
        <v>0</v>
      </c>
      <c r="AB367">
        <v>9</v>
      </c>
      <c r="AC367">
        <v>3</v>
      </c>
      <c r="AD367">
        <v>0</v>
      </c>
      <c r="AE367">
        <v>9</v>
      </c>
      <c r="AF367" t="s">
        <v>128</v>
      </c>
      <c r="AG367">
        <v>0</v>
      </c>
      <c r="AH367">
        <v>0</v>
      </c>
      <c r="AI367">
        <v>1</v>
      </c>
      <c r="AJ367">
        <v>0</v>
      </c>
      <c r="AK367" t="s">
        <v>316</v>
      </c>
      <c r="AL367">
        <v>33.690626999999999</v>
      </c>
      <c r="AM367" t="s">
        <v>317</v>
      </c>
      <c r="AN367">
        <v>-101.208522</v>
      </c>
      <c r="AO367">
        <v>100</v>
      </c>
      <c r="AP367">
        <v>3300</v>
      </c>
      <c r="AQ367" t="s">
        <v>131</v>
      </c>
      <c r="AR367">
        <v>-16</v>
      </c>
      <c r="AS367">
        <v>88</v>
      </c>
      <c r="AT367">
        <v>-64</v>
      </c>
      <c r="BB367" t="str">
        <f t="shared" si="30"/>
        <v>1200</v>
      </c>
      <c r="BC367">
        <v>1</v>
      </c>
      <c r="BD367" t="str">
        <f t="shared" si="31"/>
        <v xml:space="preserve">N445JS  </v>
      </c>
      <c r="BE367">
        <v>7</v>
      </c>
      <c r="BG367">
        <v>0</v>
      </c>
      <c r="BH367">
        <v>0</v>
      </c>
      <c r="BI367">
        <v>0</v>
      </c>
      <c r="BJ367">
        <v>3100</v>
      </c>
      <c r="BK367">
        <v>-200</v>
      </c>
      <c r="BL367" t="s">
        <v>132</v>
      </c>
      <c r="BM367">
        <v>1</v>
      </c>
      <c r="BN367">
        <v>1</v>
      </c>
      <c r="BO367">
        <v>1</v>
      </c>
      <c r="BP367">
        <v>0</v>
      </c>
      <c r="BT367">
        <v>0</v>
      </c>
      <c r="BU367">
        <v>0</v>
      </c>
      <c r="CE367" t="str">
        <f>"15:39:05.899"</f>
        <v>15:39:05.899</v>
      </c>
      <c r="CF367">
        <v>898898599</v>
      </c>
      <c r="CS367">
        <v>0</v>
      </c>
      <c r="CT367">
        <v>2</v>
      </c>
      <c r="CU367">
        <v>0</v>
      </c>
      <c r="CV367">
        <v>2</v>
      </c>
      <c r="CW367">
        <v>0</v>
      </c>
      <c r="CX367">
        <v>5</v>
      </c>
      <c r="CY367">
        <v>7</v>
      </c>
      <c r="CZ367" t="s">
        <v>133</v>
      </c>
      <c r="DA367">
        <v>125</v>
      </c>
      <c r="DB367">
        <v>1</v>
      </c>
      <c r="DC367" t="s">
        <v>134</v>
      </c>
      <c r="DD367" t="s">
        <v>135</v>
      </c>
      <c r="DG367">
        <v>2535358</v>
      </c>
      <c r="DI367">
        <v>0</v>
      </c>
      <c r="DJ367">
        <v>0</v>
      </c>
      <c r="DK367">
        <v>1</v>
      </c>
      <c r="DL367">
        <v>0</v>
      </c>
      <c r="DM367">
        <v>0</v>
      </c>
      <c r="DN367">
        <v>0</v>
      </c>
      <c r="DO367">
        <v>0</v>
      </c>
      <c r="DP367">
        <v>0</v>
      </c>
      <c r="DQ367">
        <v>0</v>
      </c>
      <c r="DR367">
        <v>0</v>
      </c>
      <c r="DS367">
        <v>0</v>
      </c>
    </row>
    <row r="368" spans="1:123" x14ac:dyDescent="0.25">
      <c r="A368" t="str">
        <f>"04/17/2026 15:39:06.168"</f>
        <v>04/17/2026 15:39:06.168</v>
      </c>
      <c r="C368" t="str">
        <f t="shared" si="28"/>
        <v>FFDFD3C0</v>
      </c>
      <c r="D368" t="s">
        <v>124</v>
      </c>
      <c r="E368" t="str">
        <f>"03"</f>
        <v>03</v>
      </c>
      <c r="H368">
        <v>160</v>
      </c>
      <c r="I368" t="s">
        <v>125</v>
      </c>
      <c r="J368" t="s">
        <v>126</v>
      </c>
      <c r="K368">
        <v>0</v>
      </c>
      <c r="L368">
        <v>3</v>
      </c>
      <c r="M368">
        <v>0</v>
      </c>
      <c r="N368">
        <v>2</v>
      </c>
      <c r="O368">
        <v>1</v>
      </c>
      <c r="P368">
        <v>0</v>
      </c>
      <c r="Q368">
        <v>0</v>
      </c>
      <c r="R368" t="s">
        <v>127</v>
      </c>
      <c r="S368" t="str">
        <f>"15:39:05.898"</f>
        <v>15:39:05.898</v>
      </c>
      <c r="T368" t="str">
        <f>"15:39:05.098"</f>
        <v>15:39:05.098</v>
      </c>
      <c r="U368" t="str">
        <f t="shared" si="29"/>
        <v>A55E09</v>
      </c>
      <c r="V368">
        <v>0</v>
      </c>
      <c r="W368">
        <v>0</v>
      </c>
      <c r="X368">
        <v>2</v>
      </c>
      <c r="Y368">
        <v>0</v>
      </c>
      <c r="AA368">
        <v>0</v>
      </c>
      <c r="AB368">
        <v>9</v>
      </c>
      <c r="AC368">
        <v>3</v>
      </c>
      <c r="AD368">
        <v>0</v>
      </c>
      <c r="AE368">
        <v>9</v>
      </c>
      <c r="AF368" t="s">
        <v>128</v>
      </c>
      <c r="AG368">
        <v>0</v>
      </c>
      <c r="AH368">
        <v>0</v>
      </c>
      <c r="AI368">
        <v>1</v>
      </c>
      <c r="AJ368">
        <v>0</v>
      </c>
      <c r="AK368" t="s">
        <v>316</v>
      </c>
      <c r="AL368">
        <v>33.690626999999999</v>
      </c>
      <c r="AM368" t="s">
        <v>317</v>
      </c>
      <c r="AN368">
        <v>-101.208522</v>
      </c>
      <c r="AO368">
        <v>100</v>
      </c>
      <c r="AP368">
        <v>3300</v>
      </c>
      <c r="AQ368" t="s">
        <v>131</v>
      </c>
      <c r="AR368">
        <v>-16</v>
      </c>
      <c r="AS368">
        <v>88</v>
      </c>
      <c r="AT368">
        <v>-64</v>
      </c>
      <c r="BB368" t="str">
        <f t="shared" si="30"/>
        <v>1200</v>
      </c>
      <c r="BC368">
        <v>1</v>
      </c>
      <c r="BD368" t="str">
        <f t="shared" si="31"/>
        <v xml:space="preserve">N445JS  </v>
      </c>
      <c r="BE368">
        <v>7</v>
      </c>
      <c r="BG368">
        <v>0</v>
      </c>
      <c r="BH368">
        <v>0</v>
      </c>
      <c r="BI368">
        <v>0</v>
      </c>
      <c r="BJ368">
        <v>3100</v>
      </c>
      <c r="BK368">
        <v>-200</v>
      </c>
      <c r="BL368" t="s">
        <v>132</v>
      </c>
      <c r="BM368">
        <v>1</v>
      </c>
      <c r="BN368">
        <v>1</v>
      </c>
      <c r="BO368">
        <v>1</v>
      </c>
      <c r="BP368">
        <v>0</v>
      </c>
      <c r="BT368">
        <v>0</v>
      </c>
      <c r="BU368">
        <v>0</v>
      </c>
      <c r="CE368" t="str">
        <f>"15:39:05.899"</f>
        <v>15:39:05.899</v>
      </c>
      <c r="CF368">
        <v>898898599</v>
      </c>
      <c r="CS368">
        <v>0</v>
      </c>
      <c r="CT368">
        <v>2</v>
      </c>
      <c r="CU368">
        <v>0</v>
      </c>
      <c r="CV368">
        <v>2</v>
      </c>
      <c r="CW368">
        <v>0</v>
      </c>
      <c r="CX368">
        <v>5</v>
      </c>
      <c r="CY368">
        <v>7</v>
      </c>
      <c r="CZ368" t="s">
        <v>133</v>
      </c>
      <c r="DA368">
        <v>125</v>
      </c>
      <c r="DB368">
        <v>1</v>
      </c>
      <c r="DC368" t="s">
        <v>134</v>
      </c>
      <c r="DD368" t="s">
        <v>135</v>
      </c>
      <c r="DG368">
        <v>2535358</v>
      </c>
      <c r="DI368">
        <v>0</v>
      </c>
      <c r="DJ368">
        <v>0</v>
      </c>
      <c r="DK368">
        <v>1</v>
      </c>
      <c r="DL368">
        <v>0</v>
      </c>
      <c r="DM368">
        <v>0</v>
      </c>
      <c r="DN368">
        <v>0</v>
      </c>
      <c r="DO368">
        <v>0</v>
      </c>
      <c r="DP368">
        <v>0</v>
      </c>
      <c r="DQ368">
        <v>0</v>
      </c>
      <c r="DR368">
        <v>0</v>
      </c>
      <c r="DS368">
        <v>0</v>
      </c>
    </row>
    <row r="369" spans="1:123" x14ac:dyDescent="0.25">
      <c r="A369" t="str">
        <f>"04/17/2026 15:39:06.193"</f>
        <v>04/17/2026 15:39:06.193</v>
      </c>
      <c r="C369" t="str">
        <f t="shared" si="28"/>
        <v>FFDFD3C0</v>
      </c>
      <c r="D369" t="s">
        <v>139</v>
      </c>
      <c r="E369" t="str">
        <f>"28"</f>
        <v>28</v>
      </c>
      <c r="H369">
        <v>140</v>
      </c>
      <c r="I369" t="s">
        <v>140</v>
      </c>
      <c r="J369" t="s">
        <v>141</v>
      </c>
      <c r="K369">
        <v>0</v>
      </c>
      <c r="L369">
        <v>3</v>
      </c>
      <c r="M369">
        <v>0</v>
      </c>
      <c r="N369">
        <v>2</v>
      </c>
      <c r="O369">
        <v>1</v>
      </c>
      <c r="P369">
        <v>0</v>
      </c>
      <c r="Q369">
        <v>0</v>
      </c>
      <c r="R369" t="s">
        <v>127</v>
      </c>
      <c r="S369" t="str">
        <f>"15:39:05.898"</f>
        <v>15:39:05.898</v>
      </c>
      <c r="T369" t="str">
        <f>"15:39:05.098"</f>
        <v>15:39:05.098</v>
      </c>
      <c r="U369" t="str">
        <f t="shared" si="29"/>
        <v>A55E09</v>
      </c>
      <c r="V369">
        <v>0</v>
      </c>
      <c r="W369">
        <v>0</v>
      </c>
      <c r="X369">
        <v>2</v>
      </c>
      <c r="Y369">
        <v>0</v>
      </c>
      <c r="AA369">
        <v>0</v>
      </c>
      <c r="AB369">
        <v>9</v>
      </c>
      <c r="AC369">
        <v>3</v>
      </c>
      <c r="AD369">
        <v>0</v>
      </c>
      <c r="AE369">
        <v>9</v>
      </c>
      <c r="AF369" t="s">
        <v>128</v>
      </c>
      <c r="AG369">
        <v>0</v>
      </c>
      <c r="AH369">
        <v>0</v>
      </c>
      <c r="AI369">
        <v>1</v>
      </c>
      <c r="AJ369">
        <v>0</v>
      </c>
      <c r="AK369" t="s">
        <v>316</v>
      </c>
      <c r="AL369">
        <v>33.690626999999999</v>
      </c>
      <c r="AM369" t="s">
        <v>317</v>
      </c>
      <c r="AN369">
        <v>-101.208522</v>
      </c>
      <c r="AO369">
        <v>100</v>
      </c>
      <c r="AP369">
        <v>3300</v>
      </c>
      <c r="AQ369" t="s">
        <v>131</v>
      </c>
      <c r="AR369">
        <v>-16</v>
      </c>
      <c r="AS369">
        <v>88</v>
      </c>
      <c r="AT369">
        <v>-64</v>
      </c>
      <c r="BB369" t="str">
        <f t="shared" si="30"/>
        <v>1200</v>
      </c>
      <c r="BC369">
        <v>1</v>
      </c>
      <c r="BD369" t="str">
        <f t="shared" si="31"/>
        <v xml:space="preserve">N445JS  </v>
      </c>
      <c r="BE369">
        <v>7</v>
      </c>
      <c r="BG369">
        <v>0</v>
      </c>
      <c r="BH369">
        <v>0</v>
      </c>
      <c r="BI369">
        <v>0</v>
      </c>
      <c r="BJ369">
        <v>3100</v>
      </c>
      <c r="BK369">
        <v>-200</v>
      </c>
      <c r="BL369" t="s">
        <v>132</v>
      </c>
      <c r="BM369">
        <v>1</v>
      </c>
      <c r="BN369">
        <v>1</v>
      </c>
      <c r="BO369">
        <v>1</v>
      </c>
      <c r="BP369">
        <v>0</v>
      </c>
      <c r="BT369">
        <v>0</v>
      </c>
      <c r="BU369">
        <v>0</v>
      </c>
      <c r="CE369" t="str">
        <f>"15:39:05.899"</f>
        <v>15:39:05.899</v>
      </c>
      <c r="CF369">
        <v>898898599</v>
      </c>
      <c r="CS369">
        <v>0</v>
      </c>
      <c r="CT369">
        <v>2</v>
      </c>
      <c r="CU369">
        <v>0</v>
      </c>
      <c r="CV369">
        <v>2</v>
      </c>
      <c r="CW369">
        <v>0</v>
      </c>
      <c r="CX369">
        <v>5</v>
      </c>
      <c r="CY369">
        <v>7</v>
      </c>
      <c r="CZ369" t="s">
        <v>133</v>
      </c>
      <c r="DA369">
        <v>125</v>
      </c>
      <c r="DB369">
        <v>1</v>
      </c>
      <c r="DC369" t="s">
        <v>134</v>
      </c>
      <c r="DD369" t="s">
        <v>135</v>
      </c>
      <c r="DG369">
        <v>2535358</v>
      </c>
      <c r="DI369">
        <v>0</v>
      </c>
      <c r="DJ369">
        <v>0</v>
      </c>
      <c r="DK369">
        <v>1</v>
      </c>
      <c r="DL369">
        <v>0</v>
      </c>
      <c r="DM369">
        <v>0</v>
      </c>
      <c r="DN369">
        <v>0</v>
      </c>
      <c r="DO369">
        <v>0</v>
      </c>
      <c r="DP369">
        <v>0</v>
      </c>
      <c r="DQ369">
        <v>0</v>
      </c>
      <c r="DR369">
        <v>0</v>
      </c>
      <c r="DS369">
        <v>0</v>
      </c>
    </row>
    <row r="370" spans="1:123" x14ac:dyDescent="0.25">
      <c r="A370" t="str">
        <f>"04/17/2026 15:39:07.257"</f>
        <v>04/17/2026 15:39:07.257</v>
      </c>
      <c r="C370" t="str">
        <f t="shared" si="28"/>
        <v>FFDFD3C0</v>
      </c>
      <c r="D370" t="s">
        <v>136</v>
      </c>
      <c r="E370" t="str">
        <f>"0E"</f>
        <v>0E</v>
      </c>
      <c r="F370">
        <v>1014</v>
      </c>
      <c r="G370" t="s">
        <v>125</v>
      </c>
      <c r="J370" t="s">
        <v>137</v>
      </c>
      <c r="K370">
        <v>0</v>
      </c>
      <c r="L370">
        <v>3</v>
      </c>
      <c r="M370">
        <v>0</v>
      </c>
      <c r="N370">
        <v>2</v>
      </c>
      <c r="O370">
        <v>1</v>
      </c>
      <c r="P370">
        <v>0</v>
      </c>
      <c r="Q370">
        <v>0</v>
      </c>
      <c r="R370" t="s">
        <v>127</v>
      </c>
      <c r="S370" t="str">
        <f t="shared" ref="S370:T373" si="32">"15:39:07.008"</f>
        <v>15:39:07.008</v>
      </c>
      <c r="T370" t="str">
        <f t="shared" si="32"/>
        <v>15:39:07.008</v>
      </c>
      <c r="U370" t="str">
        <f t="shared" si="29"/>
        <v>A55E09</v>
      </c>
      <c r="V370">
        <v>0</v>
      </c>
      <c r="W370">
        <v>0</v>
      </c>
      <c r="X370">
        <v>2</v>
      </c>
      <c r="Y370">
        <v>0</v>
      </c>
      <c r="AA370">
        <v>0</v>
      </c>
      <c r="AB370">
        <v>9</v>
      </c>
      <c r="AC370">
        <v>3</v>
      </c>
      <c r="AD370">
        <v>0</v>
      </c>
      <c r="AE370">
        <v>9</v>
      </c>
      <c r="AF370" t="s">
        <v>128</v>
      </c>
      <c r="AG370">
        <v>0</v>
      </c>
      <c r="AH370">
        <v>0</v>
      </c>
      <c r="AI370">
        <v>1</v>
      </c>
      <c r="AJ370">
        <v>0</v>
      </c>
      <c r="AK370" t="s">
        <v>318</v>
      </c>
      <c r="AL370">
        <v>33.691077</v>
      </c>
      <c r="AM370" t="s">
        <v>319</v>
      </c>
      <c r="AN370">
        <v>-101.20863</v>
      </c>
      <c r="AO370">
        <v>100</v>
      </c>
      <c r="AP370">
        <v>3300</v>
      </c>
      <c r="AQ370" t="s">
        <v>131</v>
      </c>
      <c r="AR370">
        <v>-16</v>
      </c>
      <c r="AS370">
        <v>89</v>
      </c>
      <c r="AT370">
        <v>-128</v>
      </c>
      <c r="BB370" t="str">
        <f t="shared" si="30"/>
        <v>1200</v>
      </c>
      <c r="BC370">
        <v>1</v>
      </c>
      <c r="BD370" t="str">
        <f t="shared" si="31"/>
        <v xml:space="preserve">N445JS  </v>
      </c>
      <c r="BE370">
        <v>7</v>
      </c>
      <c r="BG370">
        <v>0</v>
      </c>
      <c r="BH370">
        <v>0</v>
      </c>
      <c r="BI370">
        <v>0</v>
      </c>
      <c r="BJ370">
        <v>3100</v>
      </c>
      <c r="BK370">
        <v>-200</v>
      </c>
      <c r="BL370" t="s">
        <v>132</v>
      </c>
      <c r="BM370">
        <v>1</v>
      </c>
      <c r="BN370">
        <v>1</v>
      </c>
      <c r="BO370">
        <v>1</v>
      </c>
      <c r="BP370">
        <v>0</v>
      </c>
      <c r="BT370">
        <v>0</v>
      </c>
      <c r="BU370">
        <v>0</v>
      </c>
      <c r="CE370" t="str">
        <f>"15:39:07.009"</f>
        <v>15:39:07.009</v>
      </c>
      <c r="CF370">
        <v>8789689</v>
      </c>
      <c r="CS370">
        <v>0</v>
      </c>
      <c r="CT370">
        <v>2</v>
      </c>
      <c r="CU370">
        <v>0</v>
      </c>
      <c r="CV370">
        <v>2</v>
      </c>
      <c r="CW370">
        <v>0</v>
      </c>
      <c r="CX370">
        <v>6</v>
      </c>
      <c r="CY370">
        <v>7</v>
      </c>
      <c r="CZ370" t="s">
        <v>133</v>
      </c>
      <c r="DA370">
        <v>125</v>
      </c>
      <c r="DB370">
        <v>1</v>
      </c>
      <c r="DC370" t="s">
        <v>134</v>
      </c>
      <c r="DD370" t="s">
        <v>135</v>
      </c>
      <c r="DG370">
        <v>2536399</v>
      </c>
      <c r="DI370">
        <v>0</v>
      </c>
      <c r="DJ370">
        <v>0</v>
      </c>
      <c r="DK370">
        <v>0</v>
      </c>
      <c r="DL370">
        <v>0</v>
      </c>
      <c r="DM370">
        <v>0</v>
      </c>
      <c r="DN370">
        <v>0</v>
      </c>
      <c r="DO370">
        <v>0</v>
      </c>
      <c r="DP370">
        <v>0</v>
      </c>
      <c r="DQ370">
        <v>0</v>
      </c>
      <c r="DR370">
        <v>0</v>
      </c>
      <c r="DS370">
        <v>0</v>
      </c>
    </row>
    <row r="371" spans="1:123" x14ac:dyDescent="0.25">
      <c r="A371" t="str">
        <f>"04/17/2026 15:39:07.260"</f>
        <v>04/17/2026 15:39:07.260</v>
      </c>
      <c r="C371" t="str">
        <f t="shared" si="28"/>
        <v>FFDFD3C0</v>
      </c>
      <c r="D371" t="s">
        <v>136</v>
      </c>
      <c r="E371" t="str">
        <f>"0F"</f>
        <v>0F</v>
      </c>
      <c r="F371">
        <v>1015</v>
      </c>
      <c r="G371" t="s">
        <v>138</v>
      </c>
      <c r="J371" t="s">
        <v>137</v>
      </c>
      <c r="K371">
        <v>0</v>
      </c>
      <c r="L371">
        <v>3</v>
      </c>
      <c r="M371">
        <v>0</v>
      </c>
      <c r="N371">
        <v>2</v>
      </c>
      <c r="O371">
        <v>1</v>
      </c>
      <c r="P371">
        <v>0</v>
      </c>
      <c r="Q371">
        <v>0</v>
      </c>
      <c r="R371" t="s">
        <v>127</v>
      </c>
      <c r="S371" t="str">
        <f t="shared" si="32"/>
        <v>15:39:07.008</v>
      </c>
      <c r="T371" t="str">
        <f t="shared" si="32"/>
        <v>15:39:07.008</v>
      </c>
      <c r="U371" t="str">
        <f t="shared" si="29"/>
        <v>A55E09</v>
      </c>
      <c r="V371">
        <v>0</v>
      </c>
      <c r="W371">
        <v>0</v>
      </c>
      <c r="X371">
        <v>2</v>
      </c>
      <c r="Y371">
        <v>0</v>
      </c>
      <c r="AA371">
        <v>0</v>
      </c>
      <c r="AB371">
        <v>9</v>
      </c>
      <c r="AC371">
        <v>3</v>
      </c>
      <c r="AD371">
        <v>0</v>
      </c>
      <c r="AE371">
        <v>9</v>
      </c>
      <c r="AF371" t="s">
        <v>128</v>
      </c>
      <c r="AG371">
        <v>0</v>
      </c>
      <c r="AH371">
        <v>0</v>
      </c>
      <c r="AI371">
        <v>1</v>
      </c>
      <c r="AJ371">
        <v>0</v>
      </c>
      <c r="AK371" t="s">
        <v>318</v>
      </c>
      <c r="AL371">
        <v>33.691077</v>
      </c>
      <c r="AM371" t="s">
        <v>319</v>
      </c>
      <c r="AN371">
        <v>-101.20863</v>
      </c>
      <c r="AO371">
        <v>100</v>
      </c>
      <c r="AP371">
        <v>3300</v>
      </c>
      <c r="AQ371" t="s">
        <v>131</v>
      </c>
      <c r="AR371">
        <v>-16</v>
      </c>
      <c r="AS371">
        <v>89</v>
      </c>
      <c r="AT371">
        <v>-128</v>
      </c>
      <c r="BB371" t="str">
        <f t="shared" si="30"/>
        <v>1200</v>
      </c>
      <c r="BC371">
        <v>1</v>
      </c>
      <c r="BD371" t="str">
        <f t="shared" si="31"/>
        <v xml:space="preserve">N445JS  </v>
      </c>
      <c r="BE371">
        <v>7</v>
      </c>
      <c r="BG371">
        <v>0</v>
      </c>
      <c r="BH371">
        <v>0</v>
      </c>
      <c r="BI371">
        <v>0</v>
      </c>
      <c r="BJ371">
        <v>3100</v>
      </c>
      <c r="BK371">
        <v>-200</v>
      </c>
      <c r="BL371" t="s">
        <v>132</v>
      </c>
      <c r="BM371">
        <v>1</v>
      </c>
      <c r="BN371">
        <v>1</v>
      </c>
      <c r="BO371">
        <v>1</v>
      </c>
      <c r="BP371">
        <v>0</v>
      </c>
      <c r="BT371">
        <v>0</v>
      </c>
      <c r="BU371">
        <v>0</v>
      </c>
      <c r="CE371" t="str">
        <f>"15:39:07.009"</f>
        <v>15:39:07.009</v>
      </c>
      <c r="CF371">
        <v>8789689</v>
      </c>
      <c r="CS371">
        <v>0</v>
      </c>
      <c r="CT371">
        <v>2</v>
      </c>
      <c r="CU371">
        <v>0</v>
      </c>
      <c r="CV371">
        <v>2</v>
      </c>
      <c r="CW371">
        <v>0</v>
      </c>
      <c r="CX371">
        <v>6</v>
      </c>
      <c r="CY371">
        <v>7</v>
      </c>
      <c r="CZ371" t="s">
        <v>133</v>
      </c>
      <c r="DA371">
        <v>125</v>
      </c>
      <c r="DB371">
        <v>1</v>
      </c>
      <c r="DC371" t="s">
        <v>134</v>
      </c>
      <c r="DD371" t="s">
        <v>135</v>
      </c>
      <c r="DG371">
        <v>2536399</v>
      </c>
      <c r="DI371">
        <v>0</v>
      </c>
      <c r="DJ371">
        <v>0</v>
      </c>
      <c r="DK371">
        <v>1</v>
      </c>
      <c r="DL371">
        <v>0</v>
      </c>
      <c r="DM371">
        <v>0</v>
      </c>
      <c r="DN371">
        <v>0</v>
      </c>
      <c r="DO371">
        <v>0</v>
      </c>
      <c r="DP371">
        <v>0</v>
      </c>
      <c r="DQ371">
        <v>0</v>
      </c>
      <c r="DR371">
        <v>0</v>
      </c>
      <c r="DS371">
        <v>0</v>
      </c>
    </row>
    <row r="372" spans="1:123" x14ac:dyDescent="0.25">
      <c r="A372" t="str">
        <f>"04/17/2026 15:39:07.270"</f>
        <v>04/17/2026 15:39:07.270</v>
      </c>
      <c r="C372" t="str">
        <f t="shared" si="28"/>
        <v>FFDFD3C0</v>
      </c>
      <c r="D372" t="s">
        <v>124</v>
      </c>
      <c r="E372" t="str">
        <f>"03"</f>
        <v>03</v>
      </c>
      <c r="H372">
        <v>160</v>
      </c>
      <c r="I372" t="s">
        <v>125</v>
      </c>
      <c r="J372" t="s">
        <v>126</v>
      </c>
      <c r="K372">
        <v>0</v>
      </c>
      <c r="L372">
        <v>3</v>
      </c>
      <c r="M372">
        <v>0</v>
      </c>
      <c r="N372">
        <v>2</v>
      </c>
      <c r="O372">
        <v>1</v>
      </c>
      <c r="P372">
        <v>0</v>
      </c>
      <c r="Q372">
        <v>0</v>
      </c>
      <c r="R372" t="s">
        <v>127</v>
      </c>
      <c r="S372" t="str">
        <f t="shared" si="32"/>
        <v>15:39:07.008</v>
      </c>
      <c r="T372" t="str">
        <f t="shared" si="32"/>
        <v>15:39:07.008</v>
      </c>
      <c r="U372" t="str">
        <f t="shared" si="29"/>
        <v>A55E09</v>
      </c>
      <c r="V372">
        <v>0</v>
      </c>
      <c r="W372">
        <v>0</v>
      </c>
      <c r="X372">
        <v>2</v>
      </c>
      <c r="Y372">
        <v>0</v>
      </c>
      <c r="AA372">
        <v>0</v>
      </c>
      <c r="AB372">
        <v>9</v>
      </c>
      <c r="AC372">
        <v>3</v>
      </c>
      <c r="AD372">
        <v>0</v>
      </c>
      <c r="AE372">
        <v>9</v>
      </c>
      <c r="AF372" t="s">
        <v>128</v>
      </c>
      <c r="AG372">
        <v>0</v>
      </c>
      <c r="AH372">
        <v>0</v>
      </c>
      <c r="AI372">
        <v>1</v>
      </c>
      <c r="AJ372">
        <v>0</v>
      </c>
      <c r="AK372" t="s">
        <v>318</v>
      </c>
      <c r="AL372">
        <v>33.691077</v>
      </c>
      <c r="AM372" t="s">
        <v>319</v>
      </c>
      <c r="AN372">
        <v>-101.20863</v>
      </c>
      <c r="AO372">
        <v>100</v>
      </c>
      <c r="AP372">
        <v>3300</v>
      </c>
      <c r="AQ372" t="s">
        <v>131</v>
      </c>
      <c r="AR372">
        <v>-16</v>
      </c>
      <c r="AS372">
        <v>89</v>
      </c>
      <c r="AT372">
        <v>-128</v>
      </c>
      <c r="BB372" t="str">
        <f t="shared" si="30"/>
        <v>1200</v>
      </c>
      <c r="BC372">
        <v>1</v>
      </c>
      <c r="BD372" t="str">
        <f t="shared" si="31"/>
        <v xml:space="preserve">N445JS  </v>
      </c>
      <c r="BE372">
        <v>7</v>
      </c>
      <c r="BG372">
        <v>0</v>
      </c>
      <c r="BH372">
        <v>0</v>
      </c>
      <c r="BI372">
        <v>0</v>
      </c>
      <c r="BJ372">
        <v>3100</v>
      </c>
      <c r="BK372">
        <v>-200</v>
      </c>
      <c r="BL372" t="s">
        <v>132</v>
      </c>
      <c r="BM372">
        <v>1</v>
      </c>
      <c r="BN372">
        <v>1</v>
      </c>
      <c r="BO372">
        <v>1</v>
      </c>
      <c r="BP372">
        <v>0</v>
      </c>
      <c r="BT372">
        <v>0</v>
      </c>
      <c r="BU372">
        <v>0</v>
      </c>
      <c r="CE372" t="str">
        <f>"15:39:07.009"</f>
        <v>15:39:07.009</v>
      </c>
      <c r="CF372">
        <v>8789689</v>
      </c>
      <c r="CS372">
        <v>0</v>
      </c>
      <c r="CT372">
        <v>2</v>
      </c>
      <c r="CU372">
        <v>0</v>
      </c>
      <c r="CV372">
        <v>2</v>
      </c>
      <c r="CW372">
        <v>0</v>
      </c>
      <c r="CX372">
        <v>6</v>
      </c>
      <c r="CY372">
        <v>7</v>
      </c>
      <c r="CZ372" t="s">
        <v>133</v>
      </c>
      <c r="DA372">
        <v>125</v>
      </c>
      <c r="DB372">
        <v>1</v>
      </c>
      <c r="DC372" t="s">
        <v>134</v>
      </c>
      <c r="DD372" t="s">
        <v>135</v>
      </c>
      <c r="DG372">
        <v>2536399</v>
      </c>
      <c r="DI372">
        <v>0</v>
      </c>
      <c r="DJ372">
        <v>0</v>
      </c>
      <c r="DK372">
        <v>1</v>
      </c>
      <c r="DL372">
        <v>0</v>
      </c>
      <c r="DM372">
        <v>0</v>
      </c>
      <c r="DN372">
        <v>0</v>
      </c>
      <c r="DO372">
        <v>0</v>
      </c>
      <c r="DP372">
        <v>0</v>
      </c>
      <c r="DQ372">
        <v>0</v>
      </c>
      <c r="DR372">
        <v>0</v>
      </c>
      <c r="DS372">
        <v>0</v>
      </c>
    </row>
    <row r="373" spans="1:123" x14ac:dyDescent="0.25">
      <c r="A373" t="str">
        <f>"04/17/2026 15:39:07.295"</f>
        <v>04/17/2026 15:39:07.295</v>
      </c>
      <c r="C373" t="str">
        <f t="shared" si="28"/>
        <v>FFDFD3C0</v>
      </c>
      <c r="D373" t="s">
        <v>139</v>
      </c>
      <c r="E373" t="str">
        <f>"28"</f>
        <v>28</v>
      </c>
      <c r="H373">
        <v>140</v>
      </c>
      <c r="I373" t="s">
        <v>140</v>
      </c>
      <c r="J373" t="s">
        <v>141</v>
      </c>
      <c r="K373">
        <v>0</v>
      </c>
      <c r="L373">
        <v>3</v>
      </c>
      <c r="M373">
        <v>0</v>
      </c>
      <c r="N373">
        <v>2</v>
      </c>
      <c r="O373">
        <v>1</v>
      </c>
      <c r="P373">
        <v>0</v>
      </c>
      <c r="Q373">
        <v>0</v>
      </c>
      <c r="R373" t="s">
        <v>127</v>
      </c>
      <c r="S373" t="str">
        <f t="shared" si="32"/>
        <v>15:39:07.008</v>
      </c>
      <c r="T373" t="str">
        <f t="shared" si="32"/>
        <v>15:39:07.008</v>
      </c>
      <c r="U373" t="str">
        <f t="shared" si="29"/>
        <v>A55E09</v>
      </c>
      <c r="V373">
        <v>0</v>
      </c>
      <c r="W373">
        <v>0</v>
      </c>
      <c r="X373">
        <v>2</v>
      </c>
      <c r="Y373">
        <v>0</v>
      </c>
      <c r="AA373">
        <v>0</v>
      </c>
      <c r="AB373">
        <v>9</v>
      </c>
      <c r="AC373">
        <v>3</v>
      </c>
      <c r="AD373">
        <v>0</v>
      </c>
      <c r="AE373">
        <v>9</v>
      </c>
      <c r="AF373" t="s">
        <v>128</v>
      </c>
      <c r="AG373">
        <v>0</v>
      </c>
      <c r="AH373">
        <v>0</v>
      </c>
      <c r="AI373">
        <v>1</v>
      </c>
      <c r="AJ373">
        <v>0</v>
      </c>
      <c r="AK373" t="s">
        <v>318</v>
      </c>
      <c r="AL373">
        <v>33.691077</v>
      </c>
      <c r="AM373" t="s">
        <v>319</v>
      </c>
      <c r="AN373">
        <v>-101.20863</v>
      </c>
      <c r="AO373">
        <v>100</v>
      </c>
      <c r="AP373">
        <v>3300</v>
      </c>
      <c r="AQ373" t="s">
        <v>131</v>
      </c>
      <c r="AR373">
        <v>-16</v>
      </c>
      <c r="AS373">
        <v>89</v>
      </c>
      <c r="AT373">
        <v>-128</v>
      </c>
      <c r="BB373" t="str">
        <f t="shared" si="30"/>
        <v>1200</v>
      </c>
      <c r="BC373">
        <v>1</v>
      </c>
      <c r="BD373" t="str">
        <f t="shared" si="31"/>
        <v xml:space="preserve">N445JS  </v>
      </c>
      <c r="BE373">
        <v>7</v>
      </c>
      <c r="BG373">
        <v>0</v>
      </c>
      <c r="BH373">
        <v>0</v>
      </c>
      <c r="BI373">
        <v>0</v>
      </c>
      <c r="BJ373">
        <v>3100</v>
      </c>
      <c r="BK373">
        <v>-200</v>
      </c>
      <c r="BL373" t="s">
        <v>132</v>
      </c>
      <c r="BM373">
        <v>1</v>
      </c>
      <c r="BN373">
        <v>1</v>
      </c>
      <c r="BO373">
        <v>1</v>
      </c>
      <c r="BP373">
        <v>0</v>
      </c>
      <c r="BT373">
        <v>0</v>
      </c>
      <c r="BU373">
        <v>0</v>
      </c>
      <c r="CE373" t="str">
        <f>"15:39:07.009"</f>
        <v>15:39:07.009</v>
      </c>
      <c r="CF373">
        <v>8789689</v>
      </c>
      <c r="CS373">
        <v>0</v>
      </c>
      <c r="CT373">
        <v>2</v>
      </c>
      <c r="CU373">
        <v>0</v>
      </c>
      <c r="CV373">
        <v>2</v>
      </c>
      <c r="CW373">
        <v>0</v>
      </c>
      <c r="CX373">
        <v>6</v>
      </c>
      <c r="CY373">
        <v>7</v>
      </c>
      <c r="CZ373" t="s">
        <v>133</v>
      </c>
      <c r="DA373">
        <v>125</v>
      </c>
      <c r="DB373">
        <v>1</v>
      </c>
      <c r="DC373" t="s">
        <v>134</v>
      </c>
      <c r="DD373" t="s">
        <v>135</v>
      </c>
      <c r="DG373">
        <v>2536399</v>
      </c>
      <c r="DI373">
        <v>0</v>
      </c>
      <c r="DJ373">
        <v>0</v>
      </c>
      <c r="DK373">
        <v>1</v>
      </c>
      <c r="DL373">
        <v>0</v>
      </c>
      <c r="DM373">
        <v>0</v>
      </c>
      <c r="DN373">
        <v>0</v>
      </c>
      <c r="DO373">
        <v>0</v>
      </c>
      <c r="DP373">
        <v>0</v>
      </c>
      <c r="DQ373">
        <v>0</v>
      </c>
      <c r="DR373">
        <v>0</v>
      </c>
      <c r="DS373">
        <v>0</v>
      </c>
    </row>
    <row r="374" spans="1:123" x14ac:dyDescent="0.25">
      <c r="A374" t="str">
        <f>"04/17/2026 15:39:08.147"</f>
        <v>04/17/2026 15:39:08.147</v>
      </c>
      <c r="C374" t="str">
        <f t="shared" si="28"/>
        <v>FFDFD3C0</v>
      </c>
      <c r="D374" t="s">
        <v>139</v>
      </c>
      <c r="E374" t="str">
        <f>"28"</f>
        <v>28</v>
      </c>
      <c r="H374">
        <v>140</v>
      </c>
      <c r="I374" t="s">
        <v>140</v>
      </c>
      <c r="J374" t="s">
        <v>141</v>
      </c>
      <c r="K374">
        <v>0</v>
      </c>
      <c r="L374">
        <v>3</v>
      </c>
      <c r="M374">
        <v>0</v>
      </c>
      <c r="N374">
        <v>2</v>
      </c>
      <c r="O374">
        <v>1</v>
      </c>
      <c r="P374">
        <v>0</v>
      </c>
      <c r="Q374">
        <v>0</v>
      </c>
      <c r="R374" t="s">
        <v>127</v>
      </c>
      <c r="S374" t="str">
        <f>"15:39:07.922"</f>
        <v>15:39:07.922</v>
      </c>
      <c r="T374" t="str">
        <f>"15:39:07.522"</f>
        <v>15:39:07.522</v>
      </c>
      <c r="U374" t="str">
        <f t="shared" si="29"/>
        <v>A55E09</v>
      </c>
      <c r="V374">
        <v>0</v>
      </c>
      <c r="W374">
        <v>0</v>
      </c>
      <c r="X374">
        <v>2</v>
      </c>
      <c r="Y374">
        <v>0</v>
      </c>
      <c r="AA374">
        <v>0</v>
      </c>
      <c r="AB374">
        <v>9</v>
      </c>
      <c r="AC374">
        <v>3</v>
      </c>
      <c r="AD374">
        <v>0</v>
      </c>
      <c r="AE374">
        <v>9</v>
      </c>
      <c r="AF374" t="s">
        <v>128</v>
      </c>
      <c r="AG374">
        <v>0</v>
      </c>
      <c r="AH374">
        <v>0</v>
      </c>
      <c r="AI374">
        <v>1</v>
      </c>
      <c r="AJ374">
        <v>0</v>
      </c>
      <c r="AK374" t="s">
        <v>320</v>
      </c>
      <c r="AL374">
        <v>33.691442000000002</v>
      </c>
      <c r="AM374" t="s">
        <v>321</v>
      </c>
      <c r="AN374">
        <v>-101.20869399999999</v>
      </c>
      <c r="AO374">
        <v>100</v>
      </c>
      <c r="AP374">
        <v>3300</v>
      </c>
      <c r="AQ374" t="s">
        <v>131</v>
      </c>
      <c r="AR374">
        <v>-16</v>
      </c>
      <c r="AS374">
        <v>88</v>
      </c>
      <c r="AT374">
        <v>-128</v>
      </c>
      <c r="BB374" t="str">
        <f t="shared" si="30"/>
        <v>1200</v>
      </c>
      <c r="BC374">
        <v>1</v>
      </c>
      <c r="BD374" t="str">
        <f t="shared" si="31"/>
        <v xml:space="preserve">N445JS  </v>
      </c>
      <c r="BE374">
        <v>7</v>
      </c>
      <c r="BG374">
        <v>0</v>
      </c>
      <c r="BH374">
        <v>0</v>
      </c>
      <c r="BI374">
        <v>0</v>
      </c>
      <c r="BJ374">
        <v>3075</v>
      </c>
      <c r="BK374">
        <v>-225</v>
      </c>
      <c r="BL374" t="s">
        <v>132</v>
      </c>
      <c r="BM374">
        <v>1</v>
      </c>
      <c r="BN374">
        <v>1</v>
      </c>
      <c r="BO374">
        <v>1</v>
      </c>
      <c r="BP374">
        <v>0</v>
      </c>
      <c r="BT374">
        <v>0</v>
      </c>
      <c r="BU374">
        <v>0</v>
      </c>
      <c r="CE374" t="str">
        <f>"15:39:07.924"</f>
        <v>15:39:07.924</v>
      </c>
      <c r="CF374">
        <v>923699982</v>
      </c>
      <c r="CS374">
        <v>0</v>
      </c>
      <c r="CT374">
        <v>2</v>
      </c>
      <c r="CU374">
        <v>0</v>
      </c>
      <c r="CV374">
        <v>2</v>
      </c>
      <c r="CW374">
        <v>0</v>
      </c>
      <c r="CX374">
        <v>6</v>
      </c>
      <c r="CY374">
        <v>7</v>
      </c>
      <c r="CZ374" t="s">
        <v>133</v>
      </c>
      <c r="DA374">
        <v>125</v>
      </c>
      <c r="DB374">
        <v>1</v>
      </c>
      <c r="DC374" t="s">
        <v>134</v>
      </c>
      <c r="DD374" t="s">
        <v>135</v>
      </c>
      <c r="DG374">
        <v>2537288</v>
      </c>
      <c r="DI374">
        <v>0</v>
      </c>
      <c r="DJ374">
        <v>0</v>
      </c>
      <c r="DK374">
        <v>0</v>
      </c>
      <c r="DL374">
        <v>0</v>
      </c>
      <c r="DM374">
        <v>0</v>
      </c>
      <c r="DN374">
        <v>0</v>
      </c>
      <c r="DO374">
        <v>0</v>
      </c>
      <c r="DP374">
        <v>0</v>
      </c>
      <c r="DQ374">
        <v>0</v>
      </c>
      <c r="DR374">
        <v>0</v>
      </c>
      <c r="DS374">
        <v>0</v>
      </c>
    </row>
    <row r="375" spans="1:123" x14ac:dyDescent="0.25">
      <c r="A375" t="str">
        <f>"04/17/2026 15:39:08.159"</f>
        <v>04/17/2026 15:39:08.159</v>
      </c>
      <c r="C375" t="str">
        <f t="shared" si="28"/>
        <v>FFDFD3C0</v>
      </c>
      <c r="D375" t="s">
        <v>136</v>
      </c>
      <c r="E375" t="str">
        <f>"0E"</f>
        <v>0E</v>
      </c>
      <c r="F375">
        <v>1014</v>
      </c>
      <c r="G375" t="s">
        <v>125</v>
      </c>
      <c r="J375" t="s">
        <v>137</v>
      </c>
      <c r="K375">
        <v>0</v>
      </c>
      <c r="L375">
        <v>3</v>
      </c>
      <c r="M375">
        <v>0</v>
      </c>
      <c r="N375">
        <v>2</v>
      </c>
      <c r="O375">
        <v>1</v>
      </c>
      <c r="P375">
        <v>0</v>
      </c>
      <c r="Q375">
        <v>0</v>
      </c>
      <c r="R375" t="s">
        <v>127</v>
      </c>
      <c r="S375" t="str">
        <f>"15:39:07.922"</f>
        <v>15:39:07.922</v>
      </c>
      <c r="T375" t="str">
        <f>"15:39:07.522"</f>
        <v>15:39:07.522</v>
      </c>
      <c r="U375" t="str">
        <f t="shared" si="29"/>
        <v>A55E09</v>
      </c>
      <c r="V375">
        <v>0</v>
      </c>
      <c r="W375">
        <v>0</v>
      </c>
      <c r="X375">
        <v>2</v>
      </c>
      <c r="Y375">
        <v>0</v>
      </c>
      <c r="AA375">
        <v>0</v>
      </c>
      <c r="AB375">
        <v>9</v>
      </c>
      <c r="AC375">
        <v>3</v>
      </c>
      <c r="AD375">
        <v>0</v>
      </c>
      <c r="AE375">
        <v>9</v>
      </c>
      <c r="AF375" t="s">
        <v>128</v>
      </c>
      <c r="AG375">
        <v>0</v>
      </c>
      <c r="AH375">
        <v>0</v>
      </c>
      <c r="AI375">
        <v>1</v>
      </c>
      <c r="AJ375">
        <v>0</v>
      </c>
      <c r="AK375" t="s">
        <v>320</v>
      </c>
      <c r="AL375">
        <v>33.691442000000002</v>
      </c>
      <c r="AM375" t="s">
        <v>321</v>
      </c>
      <c r="AN375">
        <v>-101.20869399999999</v>
      </c>
      <c r="AO375">
        <v>100</v>
      </c>
      <c r="AP375">
        <v>3300</v>
      </c>
      <c r="AQ375" t="s">
        <v>131</v>
      </c>
      <c r="AR375">
        <v>-16</v>
      </c>
      <c r="AS375">
        <v>88</v>
      </c>
      <c r="AT375">
        <v>-128</v>
      </c>
      <c r="BB375" t="str">
        <f t="shared" si="30"/>
        <v>1200</v>
      </c>
      <c r="BC375">
        <v>1</v>
      </c>
      <c r="BD375" t="str">
        <f t="shared" si="31"/>
        <v xml:space="preserve">N445JS  </v>
      </c>
      <c r="BE375">
        <v>7</v>
      </c>
      <c r="BG375">
        <v>0</v>
      </c>
      <c r="BH375">
        <v>0</v>
      </c>
      <c r="BI375">
        <v>0</v>
      </c>
      <c r="BJ375">
        <v>3075</v>
      </c>
      <c r="BK375">
        <v>-225</v>
      </c>
      <c r="BL375" t="s">
        <v>132</v>
      </c>
      <c r="BM375">
        <v>1</v>
      </c>
      <c r="BN375">
        <v>1</v>
      </c>
      <c r="BO375">
        <v>1</v>
      </c>
      <c r="BP375">
        <v>0</v>
      </c>
      <c r="BT375">
        <v>0</v>
      </c>
      <c r="BU375">
        <v>0</v>
      </c>
      <c r="CE375" t="str">
        <f>"15:39:07.924"</f>
        <v>15:39:07.924</v>
      </c>
      <c r="CF375">
        <v>923699982</v>
      </c>
      <c r="CS375">
        <v>0</v>
      </c>
      <c r="CT375">
        <v>2</v>
      </c>
      <c r="CU375">
        <v>0</v>
      </c>
      <c r="CV375">
        <v>2</v>
      </c>
      <c r="CW375">
        <v>0</v>
      </c>
      <c r="CX375">
        <v>6</v>
      </c>
      <c r="CY375">
        <v>7</v>
      </c>
      <c r="CZ375" t="s">
        <v>133</v>
      </c>
      <c r="DA375">
        <v>125</v>
      </c>
      <c r="DB375">
        <v>1</v>
      </c>
      <c r="DC375" t="s">
        <v>134</v>
      </c>
      <c r="DD375" t="s">
        <v>135</v>
      </c>
      <c r="DG375">
        <v>2537288</v>
      </c>
      <c r="DI375">
        <v>0</v>
      </c>
      <c r="DJ375">
        <v>0</v>
      </c>
      <c r="DK375">
        <v>1</v>
      </c>
      <c r="DL375">
        <v>0</v>
      </c>
      <c r="DM375">
        <v>0</v>
      </c>
      <c r="DN375">
        <v>0</v>
      </c>
      <c r="DO375">
        <v>0</v>
      </c>
      <c r="DP375">
        <v>0</v>
      </c>
      <c r="DQ375">
        <v>0</v>
      </c>
      <c r="DR375">
        <v>0</v>
      </c>
      <c r="DS375">
        <v>0</v>
      </c>
    </row>
    <row r="376" spans="1:123" x14ac:dyDescent="0.25">
      <c r="A376" t="str">
        <f>"04/17/2026 15:39:08.162"</f>
        <v>04/17/2026 15:39:08.162</v>
      </c>
      <c r="C376" t="str">
        <f t="shared" si="28"/>
        <v>FFDFD3C0</v>
      </c>
      <c r="D376" t="s">
        <v>136</v>
      </c>
      <c r="E376" t="str">
        <f>"0F"</f>
        <v>0F</v>
      </c>
      <c r="F376">
        <v>1015</v>
      </c>
      <c r="G376" t="s">
        <v>138</v>
      </c>
      <c r="J376" t="s">
        <v>137</v>
      </c>
      <c r="K376">
        <v>0</v>
      </c>
      <c r="L376">
        <v>3</v>
      </c>
      <c r="M376">
        <v>0</v>
      </c>
      <c r="N376">
        <v>2</v>
      </c>
      <c r="O376">
        <v>1</v>
      </c>
      <c r="P376">
        <v>0</v>
      </c>
      <c r="Q376">
        <v>0</v>
      </c>
      <c r="R376" t="s">
        <v>127</v>
      </c>
      <c r="S376" t="str">
        <f>"15:39:07.922"</f>
        <v>15:39:07.922</v>
      </c>
      <c r="T376" t="str">
        <f>"15:39:07.522"</f>
        <v>15:39:07.522</v>
      </c>
      <c r="U376" t="str">
        <f t="shared" si="29"/>
        <v>A55E09</v>
      </c>
      <c r="V376">
        <v>0</v>
      </c>
      <c r="W376">
        <v>0</v>
      </c>
      <c r="X376">
        <v>2</v>
      </c>
      <c r="Y376">
        <v>0</v>
      </c>
      <c r="AA376">
        <v>0</v>
      </c>
      <c r="AB376">
        <v>9</v>
      </c>
      <c r="AC376">
        <v>3</v>
      </c>
      <c r="AD376">
        <v>0</v>
      </c>
      <c r="AE376">
        <v>9</v>
      </c>
      <c r="AF376" t="s">
        <v>128</v>
      </c>
      <c r="AG376">
        <v>0</v>
      </c>
      <c r="AH376">
        <v>0</v>
      </c>
      <c r="AI376">
        <v>1</v>
      </c>
      <c r="AJ376">
        <v>0</v>
      </c>
      <c r="AK376" t="s">
        <v>320</v>
      </c>
      <c r="AL376">
        <v>33.691442000000002</v>
      </c>
      <c r="AM376" t="s">
        <v>321</v>
      </c>
      <c r="AN376">
        <v>-101.20869399999999</v>
      </c>
      <c r="AO376">
        <v>100</v>
      </c>
      <c r="AP376">
        <v>3300</v>
      </c>
      <c r="AQ376" t="s">
        <v>131</v>
      </c>
      <c r="AR376">
        <v>-16</v>
      </c>
      <c r="AS376">
        <v>88</v>
      </c>
      <c r="AT376">
        <v>-128</v>
      </c>
      <c r="BB376" t="str">
        <f t="shared" si="30"/>
        <v>1200</v>
      </c>
      <c r="BC376">
        <v>1</v>
      </c>
      <c r="BD376" t="str">
        <f t="shared" si="31"/>
        <v xml:space="preserve">N445JS  </v>
      </c>
      <c r="BE376">
        <v>7</v>
      </c>
      <c r="BG376">
        <v>0</v>
      </c>
      <c r="BH376">
        <v>0</v>
      </c>
      <c r="BI376">
        <v>0</v>
      </c>
      <c r="BJ376">
        <v>3075</v>
      </c>
      <c r="BK376">
        <v>-225</v>
      </c>
      <c r="BL376" t="s">
        <v>132</v>
      </c>
      <c r="BM376">
        <v>1</v>
      </c>
      <c r="BN376">
        <v>1</v>
      </c>
      <c r="BO376">
        <v>1</v>
      </c>
      <c r="BP376">
        <v>0</v>
      </c>
      <c r="BT376">
        <v>0</v>
      </c>
      <c r="BU376">
        <v>0</v>
      </c>
      <c r="CE376" t="str">
        <f>"15:39:07.924"</f>
        <v>15:39:07.924</v>
      </c>
      <c r="CF376">
        <v>923699982</v>
      </c>
      <c r="CS376">
        <v>0</v>
      </c>
      <c r="CT376">
        <v>2</v>
      </c>
      <c r="CU376">
        <v>0</v>
      </c>
      <c r="CV376">
        <v>2</v>
      </c>
      <c r="CW376">
        <v>0</v>
      </c>
      <c r="CX376">
        <v>6</v>
      </c>
      <c r="CY376">
        <v>7</v>
      </c>
      <c r="CZ376" t="s">
        <v>133</v>
      </c>
      <c r="DA376">
        <v>125</v>
      </c>
      <c r="DB376">
        <v>1</v>
      </c>
      <c r="DC376" t="s">
        <v>134</v>
      </c>
      <c r="DD376" t="s">
        <v>135</v>
      </c>
      <c r="DG376">
        <v>2537288</v>
      </c>
      <c r="DI376">
        <v>0</v>
      </c>
      <c r="DJ376">
        <v>0</v>
      </c>
      <c r="DK376">
        <v>1</v>
      </c>
      <c r="DL376">
        <v>0</v>
      </c>
      <c r="DM376">
        <v>0</v>
      </c>
      <c r="DN376">
        <v>0</v>
      </c>
      <c r="DO376">
        <v>0</v>
      </c>
      <c r="DP376">
        <v>0</v>
      </c>
      <c r="DQ376">
        <v>0</v>
      </c>
      <c r="DR376">
        <v>0</v>
      </c>
      <c r="DS376">
        <v>0</v>
      </c>
    </row>
    <row r="377" spans="1:123" x14ac:dyDescent="0.25">
      <c r="A377" t="str">
        <f>"04/17/2026 15:39:08.171"</f>
        <v>04/17/2026 15:39:08.171</v>
      </c>
      <c r="C377" t="str">
        <f t="shared" si="28"/>
        <v>FFDFD3C0</v>
      </c>
      <c r="D377" t="s">
        <v>124</v>
      </c>
      <c r="E377" t="str">
        <f>"03"</f>
        <v>03</v>
      </c>
      <c r="H377">
        <v>160</v>
      </c>
      <c r="I377" t="s">
        <v>125</v>
      </c>
      <c r="J377" t="s">
        <v>126</v>
      </c>
      <c r="K377">
        <v>0</v>
      </c>
      <c r="L377">
        <v>3</v>
      </c>
      <c r="M377">
        <v>0</v>
      </c>
      <c r="N377">
        <v>2</v>
      </c>
      <c r="O377">
        <v>1</v>
      </c>
      <c r="P377">
        <v>0</v>
      </c>
      <c r="Q377">
        <v>0</v>
      </c>
      <c r="R377" t="s">
        <v>127</v>
      </c>
      <c r="S377" t="str">
        <f>"15:39:07.922"</f>
        <v>15:39:07.922</v>
      </c>
      <c r="T377" t="str">
        <f>"15:39:07.522"</f>
        <v>15:39:07.522</v>
      </c>
      <c r="U377" t="str">
        <f t="shared" si="29"/>
        <v>A55E09</v>
      </c>
      <c r="V377">
        <v>0</v>
      </c>
      <c r="W377">
        <v>0</v>
      </c>
      <c r="X377">
        <v>2</v>
      </c>
      <c r="Y377">
        <v>0</v>
      </c>
      <c r="AA377">
        <v>0</v>
      </c>
      <c r="AB377">
        <v>9</v>
      </c>
      <c r="AC377">
        <v>3</v>
      </c>
      <c r="AD377">
        <v>0</v>
      </c>
      <c r="AE377">
        <v>9</v>
      </c>
      <c r="AF377" t="s">
        <v>128</v>
      </c>
      <c r="AG377">
        <v>0</v>
      </c>
      <c r="AH377">
        <v>0</v>
      </c>
      <c r="AI377">
        <v>1</v>
      </c>
      <c r="AJ377">
        <v>0</v>
      </c>
      <c r="AK377" t="s">
        <v>320</v>
      </c>
      <c r="AL377">
        <v>33.691442000000002</v>
      </c>
      <c r="AM377" t="s">
        <v>321</v>
      </c>
      <c r="AN377">
        <v>-101.20869399999999</v>
      </c>
      <c r="AO377">
        <v>100</v>
      </c>
      <c r="AP377">
        <v>3300</v>
      </c>
      <c r="AQ377" t="s">
        <v>131</v>
      </c>
      <c r="AR377">
        <v>-16</v>
      </c>
      <c r="AS377">
        <v>88</v>
      </c>
      <c r="AT377">
        <v>-128</v>
      </c>
      <c r="BB377" t="str">
        <f t="shared" si="30"/>
        <v>1200</v>
      </c>
      <c r="BC377">
        <v>1</v>
      </c>
      <c r="BD377" t="str">
        <f t="shared" si="31"/>
        <v xml:space="preserve">N445JS  </v>
      </c>
      <c r="BE377">
        <v>7</v>
      </c>
      <c r="BG377">
        <v>0</v>
      </c>
      <c r="BH377">
        <v>0</v>
      </c>
      <c r="BI377">
        <v>0</v>
      </c>
      <c r="BJ377">
        <v>3075</v>
      </c>
      <c r="BK377">
        <v>-225</v>
      </c>
      <c r="BL377" t="s">
        <v>132</v>
      </c>
      <c r="BM377">
        <v>1</v>
      </c>
      <c r="BN377">
        <v>1</v>
      </c>
      <c r="BO377">
        <v>1</v>
      </c>
      <c r="BP377">
        <v>0</v>
      </c>
      <c r="BT377">
        <v>0</v>
      </c>
      <c r="BU377">
        <v>0</v>
      </c>
      <c r="CE377" t="str">
        <f>"15:39:07.924"</f>
        <v>15:39:07.924</v>
      </c>
      <c r="CF377">
        <v>923699982</v>
      </c>
      <c r="CS377">
        <v>0</v>
      </c>
      <c r="CT377">
        <v>2</v>
      </c>
      <c r="CU377">
        <v>0</v>
      </c>
      <c r="CV377">
        <v>2</v>
      </c>
      <c r="CW377">
        <v>0</v>
      </c>
      <c r="CX377">
        <v>6</v>
      </c>
      <c r="CY377">
        <v>7</v>
      </c>
      <c r="CZ377" t="s">
        <v>133</v>
      </c>
      <c r="DA377">
        <v>125</v>
      </c>
      <c r="DB377">
        <v>1</v>
      </c>
      <c r="DC377" t="s">
        <v>134</v>
      </c>
      <c r="DD377" t="s">
        <v>135</v>
      </c>
      <c r="DG377">
        <v>2537288</v>
      </c>
      <c r="DI377">
        <v>0</v>
      </c>
      <c r="DJ377">
        <v>0</v>
      </c>
      <c r="DK377">
        <v>1</v>
      </c>
      <c r="DL377">
        <v>0</v>
      </c>
      <c r="DM377">
        <v>0</v>
      </c>
      <c r="DN377">
        <v>0</v>
      </c>
      <c r="DO377">
        <v>0</v>
      </c>
      <c r="DP377">
        <v>0</v>
      </c>
      <c r="DQ377">
        <v>0</v>
      </c>
      <c r="DR377">
        <v>0</v>
      </c>
      <c r="DS377">
        <v>0</v>
      </c>
    </row>
    <row r="378" spans="1:123" x14ac:dyDescent="0.25">
      <c r="A378" t="str">
        <f>"04/17/2026 15:39:09.149"</f>
        <v>04/17/2026 15:39:09.149</v>
      </c>
      <c r="C378" t="str">
        <f t="shared" si="28"/>
        <v>FFDFD3C0</v>
      </c>
      <c r="D378" t="s">
        <v>139</v>
      </c>
      <c r="E378" t="str">
        <f>"28"</f>
        <v>28</v>
      </c>
      <c r="H378">
        <v>140</v>
      </c>
      <c r="I378" t="s">
        <v>140</v>
      </c>
      <c r="J378" t="s">
        <v>141</v>
      </c>
      <c r="K378">
        <v>0</v>
      </c>
      <c r="L378">
        <v>3</v>
      </c>
      <c r="M378">
        <v>0</v>
      </c>
      <c r="N378">
        <v>2</v>
      </c>
      <c r="O378">
        <v>1</v>
      </c>
      <c r="P378">
        <v>0</v>
      </c>
      <c r="Q378">
        <v>0</v>
      </c>
      <c r="R378" t="s">
        <v>127</v>
      </c>
      <c r="S378" t="str">
        <f>"15:39:08.883"</f>
        <v>15:39:08.883</v>
      </c>
      <c r="T378" t="str">
        <f>"15:39:08.583"</f>
        <v>15:39:08.583</v>
      </c>
      <c r="U378" t="str">
        <f t="shared" si="29"/>
        <v>A55E09</v>
      </c>
      <c r="V378">
        <v>0</v>
      </c>
      <c r="W378">
        <v>0</v>
      </c>
      <c r="X378">
        <v>2</v>
      </c>
      <c r="Y378">
        <v>0</v>
      </c>
      <c r="AA378">
        <v>0</v>
      </c>
      <c r="AB378">
        <v>9</v>
      </c>
      <c r="AC378">
        <v>3</v>
      </c>
      <c r="AD378">
        <v>0</v>
      </c>
      <c r="AE378">
        <v>9</v>
      </c>
      <c r="AF378" t="s">
        <v>128</v>
      </c>
      <c r="AG378">
        <v>0</v>
      </c>
      <c r="AH378">
        <v>0</v>
      </c>
      <c r="AI378">
        <v>1</v>
      </c>
      <c r="AJ378">
        <v>0</v>
      </c>
      <c r="AK378" t="s">
        <v>322</v>
      </c>
      <c r="AL378">
        <v>33.691850000000002</v>
      </c>
      <c r="AM378" t="s">
        <v>323</v>
      </c>
      <c r="AN378">
        <v>-101.20880099999999</v>
      </c>
      <c r="AO378">
        <v>100</v>
      </c>
      <c r="AP378">
        <v>3300</v>
      </c>
      <c r="AQ378" t="s">
        <v>131</v>
      </c>
      <c r="AR378">
        <v>-16</v>
      </c>
      <c r="AS378">
        <v>88</v>
      </c>
      <c r="AT378">
        <v>-128</v>
      </c>
      <c r="BB378" t="str">
        <f t="shared" si="30"/>
        <v>1200</v>
      </c>
      <c r="BC378">
        <v>1</v>
      </c>
      <c r="BD378" t="str">
        <f t="shared" si="31"/>
        <v xml:space="preserve">N445JS  </v>
      </c>
      <c r="BE378">
        <v>7</v>
      </c>
      <c r="BG378">
        <v>0</v>
      </c>
      <c r="BH378">
        <v>0</v>
      </c>
      <c r="BI378">
        <v>0</v>
      </c>
      <c r="BJ378">
        <v>3075</v>
      </c>
      <c r="BK378">
        <v>-225</v>
      </c>
      <c r="BL378" t="s">
        <v>132</v>
      </c>
      <c r="BM378">
        <v>1</v>
      </c>
      <c r="BN378">
        <v>1</v>
      </c>
      <c r="BO378">
        <v>1</v>
      </c>
      <c r="BP378">
        <v>0</v>
      </c>
      <c r="BT378">
        <v>0</v>
      </c>
      <c r="BU378">
        <v>0</v>
      </c>
      <c r="CE378" t="str">
        <f>"15:39:08.884"</f>
        <v>15:39:08.884</v>
      </c>
      <c r="CF378">
        <v>883605899</v>
      </c>
      <c r="CS378">
        <v>0</v>
      </c>
      <c r="CT378">
        <v>2</v>
      </c>
      <c r="CU378">
        <v>0</v>
      </c>
      <c r="CV378">
        <v>2</v>
      </c>
      <c r="CW378">
        <v>0</v>
      </c>
      <c r="CX378">
        <v>7</v>
      </c>
      <c r="CY378">
        <v>7</v>
      </c>
      <c r="CZ378" t="s">
        <v>133</v>
      </c>
      <c r="DA378">
        <v>125</v>
      </c>
      <c r="DB378">
        <v>1</v>
      </c>
      <c r="DC378" t="s">
        <v>134</v>
      </c>
      <c r="DD378" t="s">
        <v>135</v>
      </c>
      <c r="DG378">
        <v>2538274</v>
      </c>
      <c r="DI378">
        <v>0</v>
      </c>
      <c r="DJ378">
        <v>0</v>
      </c>
      <c r="DK378">
        <v>0</v>
      </c>
      <c r="DL378">
        <v>0</v>
      </c>
      <c r="DM378">
        <v>0</v>
      </c>
      <c r="DN378">
        <v>0</v>
      </c>
      <c r="DO378">
        <v>0</v>
      </c>
      <c r="DP378">
        <v>0</v>
      </c>
      <c r="DQ378">
        <v>0</v>
      </c>
      <c r="DR378">
        <v>0</v>
      </c>
      <c r="DS378">
        <v>0</v>
      </c>
    </row>
    <row r="379" spans="1:123" x14ac:dyDescent="0.25">
      <c r="A379" t="str">
        <f>"04/17/2026 15:39:09.160"</f>
        <v>04/17/2026 15:39:09.160</v>
      </c>
      <c r="C379" t="str">
        <f t="shared" si="28"/>
        <v>FFDFD3C0</v>
      </c>
      <c r="D379" t="s">
        <v>136</v>
      </c>
      <c r="E379" t="str">
        <f>"0E"</f>
        <v>0E</v>
      </c>
      <c r="F379">
        <v>1014</v>
      </c>
      <c r="G379" t="s">
        <v>125</v>
      </c>
      <c r="J379" t="s">
        <v>137</v>
      </c>
      <c r="K379">
        <v>0</v>
      </c>
      <c r="L379">
        <v>3</v>
      </c>
      <c r="M379">
        <v>0</v>
      </c>
      <c r="N379">
        <v>2</v>
      </c>
      <c r="O379">
        <v>1</v>
      </c>
      <c r="P379">
        <v>0</v>
      </c>
      <c r="Q379">
        <v>0</v>
      </c>
      <c r="R379" t="s">
        <v>127</v>
      </c>
      <c r="S379" t="str">
        <f>"15:39:08.883"</f>
        <v>15:39:08.883</v>
      </c>
      <c r="T379" t="str">
        <f>"15:39:08.583"</f>
        <v>15:39:08.583</v>
      </c>
      <c r="U379" t="str">
        <f t="shared" si="29"/>
        <v>A55E09</v>
      </c>
      <c r="V379">
        <v>0</v>
      </c>
      <c r="W379">
        <v>0</v>
      </c>
      <c r="X379">
        <v>2</v>
      </c>
      <c r="Y379">
        <v>0</v>
      </c>
      <c r="AA379">
        <v>0</v>
      </c>
      <c r="AB379">
        <v>9</v>
      </c>
      <c r="AC379">
        <v>3</v>
      </c>
      <c r="AD379">
        <v>0</v>
      </c>
      <c r="AE379">
        <v>9</v>
      </c>
      <c r="AF379" t="s">
        <v>128</v>
      </c>
      <c r="AG379">
        <v>0</v>
      </c>
      <c r="AH379">
        <v>0</v>
      </c>
      <c r="AI379">
        <v>1</v>
      </c>
      <c r="AJ379">
        <v>0</v>
      </c>
      <c r="AK379" t="s">
        <v>322</v>
      </c>
      <c r="AL379">
        <v>33.691850000000002</v>
      </c>
      <c r="AM379" t="s">
        <v>323</v>
      </c>
      <c r="AN379">
        <v>-101.20880099999999</v>
      </c>
      <c r="AO379">
        <v>100</v>
      </c>
      <c r="AP379">
        <v>3300</v>
      </c>
      <c r="AQ379" t="s">
        <v>131</v>
      </c>
      <c r="AR379">
        <v>-16</v>
      </c>
      <c r="AS379">
        <v>88</v>
      </c>
      <c r="AT379">
        <v>-128</v>
      </c>
      <c r="BB379" t="str">
        <f t="shared" si="30"/>
        <v>1200</v>
      </c>
      <c r="BC379">
        <v>1</v>
      </c>
      <c r="BD379" t="str">
        <f t="shared" si="31"/>
        <v xml:space="preserve">N445JS  </v>
      </c>
      <c r="BE379">
        <v>7</v>
      </c>
      <c r="BG379">
        <v>0</v>
      </c>
      <c r="BH379">
        <v>0</v>
      </c>
      <c r="BI379">
        <v>0</v>
      </c>
      <c r="BJ379">
        <v>3075</v>
      </c>
      <c r="BK379">
        <v>-225</v>
      </c>
      <c r="BL379" t="s">
        <v>132</v>
      </c>
      <c r="BM379">
        <v>1</v>
      </c>
      <c r="BN379">
        <v>1</v>
      </c>
      <c r="BO379">
        <v>1</v>
      </c>
      <c r="BP379">
        <v>0</v>
      </c>
      <c r="BT379">
        <v>0</v>
      </c>
      <c r="BU379">
        <v>0</v>
      </c>
      <c r="CE379" t="str">
        <f>"15:39:08.884"</f>
        <v>15:39:08.884</v>
      </c>
      <c r="CF379">
        <v>883605899</v>
      </c>
      <c r="CS379">
        <v>0</v>
      </c>
      <c r="CT379">
        <v>2</v>
      </c>
      <c r="CU379">
        <v>0</v>
      </c>
      <c r="CV379">
        <v>2</v>
      </c>
      <c r="CW379">
        <v>0</v>
      </c>
      <c r="CX379">
        <v>7</v>
      </c>
      <c r="CY379">
        <v>7</v>
      </c>
      <c r="CZ379" t="s">
        <v>133</v>
      </c>
      <c r="DA379">
        <v>125</v>
      </c>
      <c r="DB379">
        <v>1</v>
      </c>
      <c r="DC379" t="s">
        <v>134</v>
      </c>
      <c r="DD379" t="s">
        <v>135</v>
      </c>
      <c r="DG379">
        <v>2538274</v>
      </c>
      <c r="DI379">
        <v>0</v>
      </c>
      <c r="DJ379">
        <v>0</v>
      </c>
      <c r="DK379">
        <v>1</v>
      </c>
      <c r="DL379">
        <v>0</v>
      </c>
      <c r="DM379">
        <v>0</v>
      </c>
      <c r="DN379">
        <v>0</v>
      </c>
      <c r="DO379">
        <v>0</v>
      </c>
      <c r="DP379">
        <v>0</v>
      </c>
      <c r="DQ379">
        <v>0</v>
      </c>
      <c r="DR379">
        <v>0</v>
      </c>
      <c r="DS379">
        <v>0</v>
      </c>
    </row>
    <row r="380" spans="1:123" x14ac:dyDescent="0.25">
      <c r="A380" t="str">
        <f>"04/17/2026 15:39:09.163"</f>
        <v>04/17/2026 15:39:09.163</v>
      </c>
      <c r="C380" t="str">
        <f t="shared" si="28"/>
        <v>FFDFD3C0</v>
      </c>
      <c r="D380" t="s">
        <v>136</v>
      </c>
      <c r="E380" t="str">
        <f>"0F"</f>
        <v>0F</v>
      </c>
      <c r="F380">
        <v>1015</v>
      </c>
      <c r="G380" t="s">
        <v>138</v>
      </c>
      <c r="J380" t="s">
        <v>137</v>
      </c>
      <c r="K380">
        <v>0</v>
      </c>
      <c r="L380">
        <v>3</v>
      </c>
      <c r="M380">
        <v>0</v>
      </c>
      <c r="N380">
        <v>2</v>
      </c>
      <c r="O380">
        <v>1</v>
      </c>
      <c r="P380">
        <v>0</v>
      </c>
      <c r="Q380">
        <v>0</v>
      </c>
      <c r="R380" t="s">
        <v>127</v>
      </c>
      <c r="S380" t="str">
        <f>"15:39:08.883"</f>
        <v>15:39:08.883</v>
      </c>
      <c r="T380" t="str">
        <f>"15:39:08.583"</f>
        <v>15:39:08.583</v>
      </c>
      <c r="U380" t="str">
        <f t="shared" si="29"/>
        <v>A55E09</v>
      </c>
      <c r="V380">
        <v>0</v>
      </c>
      <c r="W380">
        <v>0</v>
      </c>
      <c r="X380">
        <v>2</v>
      </c>
      <c r="Y380">
        <v>0</v>
      </c>
      <c r="AA380">
        <v>0</v>
      </c>
      <c r="AB380">
        <v>9</v>
      </c>
      <c r="AC380">
        <v>3</v>
      </c>
      <c r="AD380">
        <v>0</v>
      </c>
      <c r="AE380">
        <v>9</v>
      </c>
      <c r="AF380" t="s">
        <v>128</v>
      </c>
      <c r="AG380">
        <v>0</v>
      </c>
      <c r="AH380">
        <v>0</v>
      </c>
      <c r="AI380">
        <v>1</v>
      </c>
      <c r="AJ380">
        <v>0</v>
      </c>
      <c r="AK380" t="s">
        <v>322</v>
      </c>
      <c r="AL380">
        <v>33.691850000000002</v>
      </c>
      <c r="AM380" t="s">
        <v>323</v>
      </c>
      <c r="AN380">
        <v>-101.20880099999999</v>
      </c>
      <c r="AO380">
        <v>100</v>
      </c>
      <c r="AP380">
        <v>3300</v>
      </c>
      <c r="AQ380" t="s">
        <v>131</v>
      </c>
      <c r="AR380">
        <v>-16</v>
      </c>
      <c r="AS380">
        <v>88</v>
      </c>
      <c r="AT380">
        <v>-128</v>
      </c>
      <c r="BB380" t="str">
        <f t="shared" si="30"/>
        <v>1200</v>
      </c>
      <c r="BC380">
        <v>1</v>
      </c>
      <c r="BD380" t="str">
        <f t="shared" si="31"/>
        <v xml:space="preserve">N445JS  </v>
      </c>
      <c r="BE380">
        <v>7</v>
      </c>
      <c r="BG380">
        <v>0</v>
      </c>
      <c r="BH380">
        <v>0</v>
      </c>
      <c r="BI380">
        <v>0</v>
      </c>
      <c r="BJ380">
        <v>3075</v>
      </c>
      <c r="BK380">
        <v>-225</v>
      </c>
      <c r="BL380" t="s">
        <v>132</v>
      </c>
      <c r="BM380">
        <v>1</v>
      </c>
      <c r="BN380">
        <v>1</v>
      </c>
      <c r="BO380">
        <v>1</v>
      </c>
      <c r="BP380">
        <v>0</v>
      </c>
      <c r="BT380">
        <v>0</v>
      </c>
      <c r="BU380">
        <v>0</v>
      </c>
      <c r="CE380" t="str">
        <f>"15:39:08.884"</f>
        <v>15:39:08.884</v>
      </c>
      <c r="CF380">
        <v>883605899</v>
      </c>
      <c r="CS380">
        <v>0</v>
      </c>
      <c r="CT380">
        <v>2</v>
      </c>
      <c r="CU380">
        <v>0</v>
      </c>
      <c r="CV380">
        <v>2</v>
      </c>
      <c r="CW380">
        <v>0</v>
      </c>
      <c r="CX380">
        <v>7</v>
      </c>
      <c r="CY380">
        <v>7</v>
      </c>
      <c r="CZ380" t="s">
        <v>133</v>
      </c>
      <c r="DA380">
        <v>125</v>
      </c>
      <c r="DB380">
        <v>1</v>
      </c>
      <c r="DC380" t="s">
        <v>134</v>
      </c>
      <c r="DD380" t="s">
        <v>135</v>
      </c>
      <c r="DG380">
        <v>2538274</v>
      </c>
      <c r="DI380">
        <v>0</v>
      </c>
      <c r="DJ380">
        <v>0</v>
      </c>
      <c r="DK380">
        <v>1</v>
      </c>
      <c r="DL380">
        <v>0</v>
      </c>
      <c r="DM380">
        <v>0</v>
      </c>
      <c r="DN380">
        <v>0</v>
      </c>
      <c r="DO380">
        <v>0</v>
      </c>
      <c r="DP380">
        <v>0</v>
      </c>
      <c r="DQ380">
        <v>0</v>
      </c>
      <c r="DR380">
        <v>0</v>
      </c>
      <c r="DS380">
        <v>0</v>
      </c>
    </row>
    <row r="381" spans="1:123" x14ac:dyDescent="0.25">
      <c r="A381" t="str">
        <f>"04/17/2026 15:39:09.173"</f>
        <v>04/17/2026 15:39:09.173</v>
      </c>
      <c r="C381" t="str">
        <f t="shared" si="28"/>
        <v>FFDFD3C0</v>
      </c>
      <c r="D381" t="s">
        <v>124</v>
      </c>
      <c r="E381" t="str">
        <f>"03"</f>
        <v>03</v>
      </c>
      <c r="H381">
        <v>160</v>
      </c>
      <c r="I381" t="s">
        <v>125</v>
      </c>
      <c r="J381" t="s">
        <v>126</v>
      </c>
      <c r="K381">
        <v>0</v>
      </c>
      <c r="L381">
        <v>3</v>
      </c>
      <c r="M381">
        <v>0</v>
      </c>
      <c r="N381">
        <v>2</v>
      </c>
      <c r="O381">
        <v>1</v>
      </c>
      <c r="P381">
        <v>0</v>
      </c>
      <c r="Q381">
        <v>0</v>
      </c>
      <c r="R381" t="s">
        <v>127</v>
      </c>
      <c r="S381" t="str">
        <f>"15:39:08.883"</f>
        <v>15:39:08.883</v>
      </c>
      <c r="T381" t="str">
        <f>"15:39:08.583"</f>
        <v>15:39:08.583</v>
      </c>
      <c r="U381" t="str">
        <f t="shared" si="29"/>
        <v>A55E09</v>
      </c>
      <c r="V381">
        <v>0</v>
      </c>
      <c r="W381">
        <v>0</v>
      </c>
      <c r="X381">
        <v>2</v>
      </c>
      <c r="Y381">
        <v>0</v>
      </c>
      <c r="AA381">
        <v>0</v>
      </c>
      <c r="AB381">
        <v>9</v>
      </c>
      <c r="AC381">
        <v>3</v>
      </c>
      <c r="AD381">
        <v>0</v>
      </c>
      <c r="AE381">
        <v>9</v>
      </c>
      <c r="AF381" t="s">
        <v>128</v>
      </c>
      <c r="AG381">
        <v>0</v>
      </c>
      <c r="AH381">
        <v>0</v>
      </c>
      <c r="AI381">
        <v>1</v>
      </c>
      <c r="AJ381">
        <v>0</v>
      </c>
      <c r="AK381" t="s">
        <v>322</v>
      </c>
      <c r="AL381">
        <v>33.691850000000002</v>
      </c>
      <c r="AM381" t="s">
        <v>323</v>
      </c>
      <c r="AN381">
        <v>-101.20880099999999</v>
      </c>
      <c r="AO381">
        <v>100</v>
      </c>
      <c r="AP381">
        <v>3300</v>
      </c>
      <c r="AQ381" t="s">
        <v>131</v>
      </c>
      <c r="AR381">
        <v>-16</v>
      </c>
      <c r="AS381">
        <v>88</v>
      </c>
      <c r="AT381">
        <v>-128</v>
      </c>
      <c r="BB381" t="str">
        <f t="shared" si="30"/>
        <v>1200</v>
      </c>
      <c r="BC381">
        <v>1</v>
      </c>
      <c r="BD381" t="str">
        <f t="shared" si="31"/>
        <v xml:space="preserve">N445JS  </v>
      </c>
      <c r="BE381">
        <v>7</v>
      </c>
      <c r="BG381">
        <v>0</v>
      </c>
      <c r="BH381">
        <v>0</v>
      </c>
      <c r="BI381">
        <v>0</v>
      </c>
      <c r="BJ381">
        <v>3075</v>
      </c>
      <c r="BK381">
        <v>-225</v>
      </c>
      <c r="BL381" t="s">
        <v>132</v>
      </c>
      <c r="BM381">
        <v>1</v>
      </c>
      <c r="BN381">
        <v>1</v>
      </c>
      <c r="BO381">
        <v>1</v>
      </c>
      <c r="BP381">
        <v>0</v>
      </c>
      <c r="BT381">
        <v>0</v>
      </c>
      <c r="BU381">
        <v>0</v>
      </c>
      <c r="CE381" t="str">
        <f>"15:39:08.884"</f>
        <v>15:39:08.884</v>
      </c>
      <c r="CF381">
        <v>883605899</v>
      </c>
      <c r="CS381">
        <v>0</v>
      </c>
      <c r="CT381">
        <v>2</v>
      </c>
      <c r="CU381">
        <v>0</v>
      </c>
      <c r="CV381">
        <v>2</v>
      </c>
      <c r="CW381">
        <v>0</v>
      </c>
      <c r="CX381">
        <v>7</v>
      </c>
      <c r="CY381">
        <v>7</v>
      </c>
      <c r="CZ381" t="s">
        <v>133</v>
      </c>
      <c r="DA381">
        <v>125</v>
      </c>
      <c r="DB381">
        <v>1</v>
      </c>
      <c r="DC381" t="s">
        <v>134</v>
      </c>
      <c r="DD381" t="s">
        <v>135</v>
      </c>
      <c r="DG381">
        <v>2538274</v>
      </c>
      <c r="DI381">
        <v>0</v>
      </c>
      <c r="DJ381">
        <v>0</v>
      </c>
      <c r="DK381">
        <v>1</v>
      </c>
      <c r="DL381">
        <v>0</v>
      </c>
      <c r="DM381">
        <v>0</v>
      </c>
      <c r="DN381">
        <v>0</v>
      </c>
      <c r="DO381">
        <v>0</v>
      </c>
      <c r="DP381">
        <v>0</v>
      </c>
      <c r="DQ381">
        <v>0</v>
      </c>
      <c r="DR381">
        <v>0</v>
      </c>
      <c r="DS381">
        <v>0</v>
      </c>
    </row>
    <row r="382" spans="1:123" x14ac:dyDescent="0.25">
      <c r="A382" t="str">
        <f>"04/17/2026 15:39:10.062"</f>
        <v>04/17/2026 15:39:10.062</v>
      </c>
      <c r="C382" t="str">
        <f t="shared" si="28"/>
        <v>FFDFD3C0</v>
      </c>
      <c r="D382" t="s">
        <v>136</v>
      </c>
      <c r="E382" t="str">
        <f>"0E"</f>
        <v>0E</v>
      </c>
      <c r="F382">
        <v>1014</v>
      </c>
      <c r="G382" t="s">
        <v>125</v>
      </c>
      <c r="J382" t="s">
        <v>137</v>
      </c>
      <c r="K382">
        <v>0</v>
      </c>
      <c r="L382">
        <v>3</v>
      </c>
      <c r="M382">
        <v>0</v>
      </c>
      <c r="N382">
        <v>2</v>
      </c>
      <c r="O382">
        <v>1</v>
      </c>
      <c r="P382">
        <v>0</v>
      </c>
      <c r="Q382">
        <v>0</v>
      </c>
      <c r="R382" t="s">
        <v>127</v>
      </c>
      <c r="S382" t="str">
        <f>"15:39:09.813"</f>
        <v>15:39:09.813</v>
      </c>
      <c r="T382" t="str">
        <f>"15:39:09.613"</f>
        <v>15:39:09.613</v>
      </c>
      <c r="U382" t="str">
        <f t="shared" si="29"/>
        <v>A55E09</v>
      </c>
      <c r="V382">
        <v>0</v>
      </c>
      <c r="W382">
        <v>0</v>
      </c>
      <c r="X382">
        <v>2</v>
      </c>
      <c r="Y382">
        <v>0</v>
      </c>
      <c r="AA382">
        <v>0</v>
      </c>
      <c r="AB382">
        <v>9</v>
      </c>
      <c r="AC382">
        <v>3</v>
      </c>
      <c r="AD382">
        <v>0</v>
      </c>
      <c r="AE382">
        <v>9</v>
      </c>
      <c r="AF382" t="s">
        <v>128</v>
      </c>
      <c r="AG382">
        <v>0</v>
      </c>
      <c r="AH382">
        <v>0</v>
      </c>
      <c r="AI382">
        <v>1</v>
      </c>
      <c r="AJ382">
        <v>0</v>
      </c>
      <c r="AK382" t="s">
        <v>324</v>
      </c>
      <c r="AL382">
        <v>33.692236000000001</v>
      </c>
      <c r="AM382" t="s">
        <v>325</v>
      </c>
      <c r="AN382">
        <v>-101.208866</v>
      </c>
      <c r="AO382">
        <v>100</v>
      </c>
      <c r="AP382">
        <v>3300</v>
      </c>
      <c r="AQ382" t="s">
        <v>131</v>
      </c>
      <c r="AR382">
        <v>-16</v>
      </c>
      <c r="AS382">
        <v>88</v>
      </c>
      <c r="AT382">
        <v>-128</v>
      </c>
      <c r="BB382" t="str">
        <f t="shared" si="30"/>
        <v>1200</v>
      </c>
      <c r="BC382">
        <v>1</v>
      </c>
      <c r="BD382" t="str">
        <f t="shared" si="31"/>
        <v xml:space="preserve">N445JS  </v>
      </c>
      <c r="BE382">
        <v>7</v>
      </c>
      <c r="BG382">
        <v>0</v>
      </c>
      <c r="BH382">
        <v>0</v>
      </c>
      <c r="BI382">
        <v>0</v>
      </c>
      <c r="BJ382">
        <v>3075</v>
      </c>
      <c r="BK382">
        <v>-225</v>
      </c>
      <c r="BL382" t="s">
        <v>132</v>
      </c>
      <c r="BM382">
        <v>1</v>
      </c>
      <c r="BN382">
        <v>1</v>
      </c>
      <c r="BO382">
        <v>1</v>
      </c>
      <c r="BP382">
        <v>0</v>
      </c>
      <c r="BT382">
        <v>0</v>
      </c>
      <c r="BU382">
        <v>0</v>
      </c>
      <c r="CE382" t="str">
        <f>"15:39:09.814"</f>
        <v>15:39:09.814</v>
      </c>
      <c r="CF382">
        <v>813514745</v>
      </c>
      <c r="CS382">
        <v>0</v>
      </c>
      <c r="CT382">
        <v>2</v>
      </c>
      <c r="CU382">
        <v>0</v>
      </c>
      <c r="CV382">
        <v>2</v>
      </c>
      <c r="CW382">
        <v>0</v>
      </c>
      <c r="CX382">
        <v>7</v>
      </c>
      <c r="CY382">
        <v>7</v>
      </c>
      <c r="CZ382" t="s">
        <v>133</v>
      </c>
      <c r="DA382">
        <v>125</v>
      </c>
      <c r="DB382">
        <v>1</v>
      </c>
      <c r="DC382" t="s">
        <v>134</v>
      </c>
      <c r="DD382" t="s">
        <v>135</v>
      </c>
      <c r="DG382">
        <v>2539271</v>
      </c>
      <c r="DI382">
        <v>0</v>
      </c>
      <c r="DJ382">
        <v>0</v>
      </c>
      <c r="DK382">
        <v>0</v>
      </c>
      <c r="DL382">
        <v>0</v>
      </c>
      <c r="DM382">
        <v>0</v>
      </c>
      <c r="DN382">
        <v>0</v>
      </c>
      <c r="DO382">
        <v>0</v>
      </c>
      <c r="DP382">
        <v>0</v>
      </c>
      <c r="DQ382">
        <v>0</v>
      </c>
      <c r="DR382">
        <v>0</v>
      </c>
      <c r="DS382">
        <v>0</v>
      </c>
    </row>
    <row r="383" spans="1:123" x14ac:dyDescent="0.25">
      <c r="A383" t="str">
        <f>"04/17/2026 15:39:10.064"</f>
        <v>04/17/2026 15:39:10.064</v>
      </c>
      <c r="C383" t="str">
        <f t="shared" si="28"/>
        <v>FFDFD3C0</v>
      </c>
      <c r="D383" t="s">
        <v>136</v>
      </c>
      <c r="E383" t="str">
        <f>"0F"</f>
        <v>0F</v>
      </c>
      <c r="F383">
        <v>1015</v>
      </c>
      <c r="G383" t="s">
        <v>138</v>
      </c>
      <c r="J383" t="s">
        <v>137</v>
      </c>
      <c r="K383">
        <v>0</v>
      </c>
      <c r="L383">
        <v>3</v>
      </c>
      <c r="M383">
        <v>0</v>
      </c>
      <c r="N383">
        <v>2</v>
      </c>
      <c r="O383">
        <v>1</v>
      </c>
      <c r="P383">
        <v>0</v>
      </c>
      <c r="Q383">
        <v>0</v>
      </c>
      <c r="R383" t="s">
        <v>127</v>
      </c>
      <c r="S383" t="str">
        <f>"15:39:09.813"</f>
        <v>15:39:09.813</v>
      </c>
      <c r="T383" t="str">
        <f>"15:39:09.613"</f>
        <v>15:39:09.613</v>
      </c>
      <c r="U383" t="str">
        <f t="shared" si="29"/>
        <v>A55E09</v>
      </c>
      <c r="V383">
        <v>0</v>
      </c>
      <c r="W383">
        <v>0</v>
      </c>
      <c r="X383">
        <v>2</v>
      </c>
      <c r="Y383">
        <v>0</v>
      </c>
      <c r="AA383">
        <v>0</v>
      </c>
      <c r="AB383">
        <v>9</v>
      </c>
      <c r="AC383">
        <v>3</v>
      </c>
      <c r="AD383">
        <v>0</v>
      </c>
      <c r="AE383">
        <v>9</v>
      </c>
      <c r="AF383" t="s">
        <v>128</v>
      </c>
      <c r="AG383">
        <v>0</v>
      </c>
      <c r="AH383">
        <v>0</v>
      </c>
      <c r="AI383">
        <v>1</v>
      </c>
      <c r="AJ383">
        <v>0</v>
      </c>
      <c r="AK383" t="s">
        <v>324</v>
      </c>
      <c r="AL383">
        <v>33.692236000000001</v>
      </c>
      <c r="AM383" t="s">
        <v>325</v>
      </c>
      <c r="AN383">
        <v>-101.208866</v>
      </c>
      <c r="AO383">
        <v>100</v>
      </c>
      <c r="AP383">
        <v>3300</v>
      </c>
      <c r="AQ383" t="s">
        <v>131</v>
      </c>
      <c r="AR383">
        <v>-16</v>
      </c>
      <c r="AS383">
        <v>88</v>
      </c>
      <c r="AT383">
        <v>-128</v>
      </c>
      <c r="BB383" t="str">
        <f t="shared" si="30"/>
        <v>1200</v>
      </c>
      <c r="BC383">
        <v>1</v>
      </c>
      <c r="BD383" t="str">
        <f t="shared" si="31"/>
        <v xml:space="preserve">N445JS  </v>
      </c>
      <c r="BE383">
        <v>7</v>
      </c>
      <c r="BG383">
        <v>0</v>
      </c>
      <c r="BH383">
        <v>0</v>
      </c>
      <c r="BI383">
        <v>0</v>
      </c>
      <c r="BJ383">
        <v>3075</v>
      </c>
      <c r="BK383">
        <v>-225</v>
      </c>
      <c r="BL383" t="s">
        <v>132</v>
      </c>
      <c r="BM383">
        <v>1</v>
      </c>
      <c r="BN383">
        <v>1</v>
      </c>
      <c r="BO383">
        <v>1</v>
      </c>
      <c r="BP383">
        <v>0</v>
      </c>
      <c r="BT383">
        <v>0</v>
      </c>
      <c r="BU383">
        <v>0</v>
      </c>
      <c r="CE383" t="str">
        <f>"15:39:09.814"</f>
        <v>15:39:09.814</v>
      </c>
      <c r="CF383">
        <v>813514745</v>
      </c>
      <c r="CS383">
        <v>0</v>
      </c>
      <c r="CT383">
        <v>2</v>
      </c>
      <c r="CU383">
        <v>0</v>
      </c>
      <c r="CV383">
        <v>2</v>
      </c>
      <c r="CW383">
        <v>0</v>
      </c>
      <c r="CX383">
        <v>7</v>
      </c>
      <c r="CY383">
        <v>7</v>
      </c>
      <c r="CZ383" t="s">
        <v>133</v>
      </c>
      <c r="DA383">
        <v>125</v>
      </c>
      <c r="DB383">
        <v>1</v>
      </c>
      <c r="DC383" t="s">
        <v>134</v>
      </c>
      <c r="DD383" t="s">
        <v>135</v>
      </c>
      <c r="DG383">
        <v>2539271</v>
      </c>
      <c r="DI383">
        <v>0</v>
      </c>
      <c r="DJ383">
        <v>0</v>
      </c>
      <c r="DK383">
        <v>1</v>
      </c>
      <c r="DL383">
        <v>0</v>
      </c>
      <c r="DM383">
        <v>0</v>
      </c>
      <c r="DN383">
        <v>0</v>
      </c>
      <c r="DO383">
        <v>0</v>
      </c>
      <c r="DP383">
        <v>0</v>
      </c>
      <c r="DQ383">
        <v>0</v>
      </c>
      <c r="DR383">
        <v>0</v>
      </c>
      <c r="DS383">
        <v>0</v>
      </c>
    </row>
    <row r="384" spans="1:123" x14ac:dyDescent="0.25">
      <c r="A384" t="str">
        <f>"04/17/2026 15:39:10.075"</f>
        <v>04/17/2026 15:39:10.075</v>
      </c>
      <c r="C384" t="str">
        <f t="shared" si="28"/>
        <v>FFDFD3C0</v>
      </c>
      <c r="D384" t="s">
        <v>124</v>
      </c>
      <c r="E384" t="str">
        <f>"03"</f>
        <v>03</v>
      </c>
      <c r="H384">
        <v>160</v>
      </c>
      <c r="I384" t="s">
        <v>125</v>
      </c>
      <c r="J384" t="s">
        <v>126</v>
      </c>
      <c r="K384">
        <v>0</v>
      </c>
      <c r="L384">
        <v>3</v>
      </c>
      <c r="M384">
        <v>0</v>
      </c>
      <c r="N384">
        <v>2</v>
      </c>
      <c r="O384">
        <v>1</v>
      </c>
      <c r="P384">
        <v>0</v>
      </c>
      <c r="Q384">
        <v>0</v>
      </c>
      <c r="R384" t="s">
        <v>127</v>
      </c>
      <c r="S384" t="str">
        <f>"15:39:09.813"</f>
        <v>15:39:09.813</v>
      </c>
      <c r="T384" t="str">
        <f>"15:39:09.613"</f>
        <v>15:39:09.613</v>
      </c>
      <c r="U384" t="str">
        <f t="shared" si="29"/>
        <v>A55E09</v>
      </c>
      <c r="V384">
        <v>0</v>
      </c>
      <c r="W384">
        <v>0</v>
      </c>
      <c r="X384">
        <v>2</v>
      </c>
      <c r="Y384">
        <v>0</v>
      </c>
      <c r="AA384">
        <v>0</v>
      </c>
      <c r="AB384">
        <v>9</v>
      </c>
      <c r="AC384">
        <v>3</v>
      </c>
      <c r="AD384">
        <v>0</v>
      </c>
      <c r="AE384">
        <v>9</v>
      </c>
      <c r="AF384" t="s">
        <v>128</v>
      </c>
      <c r="AG384">
        <v>0</v>
      </c>
      <c r="AH384">
        <v>0</v>
      </c>
      <c r="AI384">
        <v>1</v>
      </c>
      <c r="AJ384">
        <v>0</v>
      </c>
      <c r="AK384" t="s">
        <v>324</v>
      </c>
      <c r="AL384">
        <v>33.692236000000001</v>
      </c>
      <c r="AM384" t="s">
        <v>325</v>
      </c>
      <c r="AN384">
        <v>-101.208866</v>
      </c>
      <c r="AO384">
        <v>100</v>
      </c>
      <c r="AP384">
        <v>3300</v>
      </c>
      <c r="AQ384" t="s">
        <v>131</v>
      </c>
      <c r="AR384">
        <v>-16</v>
      </c>
      <c r="AS384">
        <v>88</v>
      </c>
      <c r="AT384">
        <v>-128</v>
      </c>
      <c r="BB384" t="str">
        <f t="shared" si="30"/>
        <v>1200</v>
      </c>
      <c r="BC384">
        <v>1</v>
      </c>
      <c r="BD384" t="str">
        <f t="shared" si="31"/>
        <v xml:space="preserve">N445JS  </v>
      </c>
      <c r="BE384">
        <v>7</v>
      </c>
      <c r="BG384">
        <v>0</v>
      </c>
      <c r="BH384">
        <v>0</v>
      </c>
      <c r="BI384">
        <v>0</v>
      </c>
      <c r="BJ384">
        <v>3075</v>
      </c>
      <c r="BK384">
        <v>-225</v>
      </c>
      <c r="BL384" t="s">
        <v>132</v>
      </c>
      <c r="BM384">
        <v>1</v>
      </c>
      <c r="BN384">
        <v>1</v>
      </c>
      <c r="BO384">
        <v>1</v>
      </c>
      <c r="BP384">
        <v>0</v>
      </c>
      <c r="BT384">
        <v>0</v>
      </c>
      <c r="BU384">
        <v>0</v>
      </c>
      <c r="CE384" t="str">
        <f>"15:39:09.814"</f>
        <v>15:39:09.814</v>
      </c>
      <c r="CF384">
        <v>813514745</v>
      </c>
      <c r="CS384">
        <v>0</v>
      </c>
      <c r="CT384">
        <v>2</v>
      </c>
      <c r="CU384">
        <v>0</v>
      </c>
      <c r="CV384">
        <v>2</v>
      </c>
      <c r="CW384">
        <v>0</v>
      </c>
      <c r="CX384">
        <v>7</v>
      </c>
      <c r="CY384">
        <v>7</v>
      </c>
      <c r="CZ384" t="s">
        <v>133</v>
      </c>
      <c r="DA384">
        <v>125</v>
      </c>
      <c r="DB384">
        <v>1</v>
      </c>
      <c r="DC384" t="s">
        <v>134</v>
      </c>
      <c r="DD384" t="s">
        <v>135</v>
      </c>
      <c r="DG384">
        <v>2539271</v>
      </c>
      <c r="DI384">
        <v>0</v>
      </c>
      <c r="DJ384">
        <v>0</v>
      </c>
      <c r="DK384">
        <v>1</v>
      </c>
      <c r="DL384">
        <v>0</v>
      </c>
      <c r="DM384">
        <v>0</v>
      </c>
      <c r="DN384">
        <v>0</v>
      </c>
      <c r="DO384">
        <v>0</v>
      </c>
      <c r="DP384">
        <v>0</v>
      </c>
      <c r="DQ384">
        <v>0</v>
      </c>
      <c r="DR384">
        <v>0</v>
      </c>
      <c r="DS384">
        <v>0</v>
      </c>
    </row>
    <row r="385" spans="1:123" x14ac:dyDescent="0.25">
      <c r="A385" t="str">
        <f>"04/17/2026 15:39:10.101"</f>
        <v>04/17/2026 15:39:10.101</v>
      </c>
      <c r="C385" t="str">
        <f t="shared" si="28"/>
        <v>FFDFD3C0</v>
      </c>
      <c r="D385" t="s">
        <v>139</v>
      </c>
      <c r="E385" t="str">
        <f>"28"</f>
        <v>28</v>
      </c>
      <c r="H385">
        <v>140</v>
      </c>
      <c r="I385" t="s">
        <v>140</v>
      </c>
      <c r="J385" t="s">
        <v>141</v>
      </c>
      <c r="K385">
        <v>0</v>
      </c>
      <c r="L385">
        <v>3</v>
      </c>
      <c r="M385">
        <v>0</v>
      </c>
      <c r="N385">
        <v>2</v>
      </c>
      <c r="O385">
        <v>1</v>
      </c>
      <c r="P385">
        <v>0</v>
      </c>
      <c r="Q385">
        <v>0</v>
      </c>
      <c r="R385" t="s">
        <v>127</v>
      </c>
      <c r="S385" t="str">
        <f>"15:39:09.813"</f>
        <v>15:39:09.813</v>
      </c>
      <c r="T385" t="str">
        <f>"15:39:09.613"</f>
        <v>15:39:09.613</v>
      </c>
      <c r="U385" t="str">
        <f t="shared" si="29"/>
        <v>A55E09</v>
      </c>
      <c r="V385">
        <v>0</v>
      </c>
      <c r="W385">
        <v>0</v>
      </c>
      <c r="X385">
        <v>2</v>
      </c>
      <c r="Y385">
        <v>0</v>
      </c>
      <c r="AA385">
        <v>0</v>
      </c>
      <c r="AB385">
        <v>9</v>
      </c>
      <c r="AC385">
        <v>3</v>
      </c>
      <c r="AD385">
        <v>0</v>
      </c>
      <c r="AE385">
        <v>9</v>
      </c>
      <c r="AF385" t="s">
        <v>128</v>
      </c>
      <c r="AG385">
        <v>0</v>
      </c>
      <c r="AH385">
        <v>0</v>
      </c>
      <c r="AI385">
        <v>1</v>
      </c>
      <c r="AJ385">
        <v>0</v>
      </c>
      <c r="AK385" t="s">
        <v>324</v>
      </c>
      <c r="AL385">
        <v>33.692236000000001</v>
      </c>
      <c r="AM385" t="s">
        <v>325</v>
      </c>
      <c r="AN385">
        <v>-101.208866</v>
      </c>
      <c r="AO385">
        <v>100</v>
      </c>
      <c r="AP385">
        <v>3300</v>
      </c>
      <c r="AQ385" t="s">
        <v>131</v>
      </c>
      <c r="AR385">
        <v>-16</v>
      </c>
      <c r="AS385">
        <v>88</v>
      </c>
      <c r="AT385">
        <v>-128</v>
      </c>
      <c r="BB385" t="str">
        <f t="shared" si="30"/>
        <v>1200</v>
      </c>
      <c r="BC385">
        <v>1</v>
      </c>
      <c r="BD385" t="str">
        <f t="shared" si="31"/>
        <v xml:space="preserve">N445JS  </v>
      </c>
      <c r="BE385">
        <v>7</v>
      </c>
      <c r="BG385">
        <v>0</v>
      </c>
      <c r="BH385">
        <v>0</v>
      </c>
      <c r="BI385">
        <v>0</v>
      </c>
      <c r="BJ385">
        <v>3075</v>
      </c>
      <c r="BK385">
        <v>-225</v>
      </c>
      <c r="BL385" t="s">
        <v>132</v>
      </c>
      <c r="BM385">
        <v>1</v>
      </c>
      <c r="BN385">
        <v>1</v>
      </c>
      <c r="BO385">
        <v>1</v>
      </c>
      <c r="BP385">
        <v>0</v>
      </c>
      <c r="BT385">
        <v>0</v>
      </c>
      <c r="BU385">
        <v>0</v>
      </c>
      <c r="CE385" t="str">
        <f>"15:39:09.814"</f>
        <v>15:39:09.814</v>
      </c>
      <c r="CF385">
        <v>813514745</v>
      </c>
      <c r="CS385">
        <v>0</v>
      </c>
      <c r="CT385">
        <v>2</v>
      </c>
      <c r="CU385">
        <v>0</v>
      </c>
      <c r="CV385">
        <v>2</v>
      </c>
      <c r="CW385">
        <v>0</v>
      </c>
      <c r="CX385">
        <v>7</v>
      </c>
      <c r="CY385">
        <v>7</v>
      </c>
      <c r="CZ385" t="s">
        <v>133</v>
      </c>
      <c r="DA385">
        <v>125</v>
      </c>
      <c r="DB385">
        <v>1</v>
      </c>
      <c r="DC385" t="s">
        <v>134</v>
      </c>
      <c r="DD385" t="s">
        <v>135</v>
      </c>
      <c r="DG385">
        <v>2539271</v>
      </c>
      <c r="DI385">
        <v>0</v>
      </c>
      <c r="DJ385">
        <v>0</v>
      </c>
      <c r="DK385">
        <v>1</v>
      </c>
      <c r="DL385">
        <v>0</v>
      </c>
      <c r="DM385">
        <v>0</v>
      </c>
      <c r="DN385">
        <v>0</v>
      </c>
      <c r="DO385">
        <v>0</v>
      </c>
      <c r="DP385">
        <v>0</v>
      </c>
      <c r="DQ385">
        <v>0</v>
      </c>
      <c r="DR385">
        <v>0</v>
      </c>
      <c r="DS385">
        <v>0</v>
      </c>
    </row>
    <row r="386" spans="1:123" x14ac:dyDescent="0.25">
      <c r="A386" t="str">
        <f>"04/17/2026 15:39:11.553"</f>
        <v>04/17/2026 15:39:11.553</v>
      </c>
      <c r="C386" t="str">
        <f t="shared" ref="C386:C449" si="33">"FFDFD3C0"</f>
        <v>FFDFD3C0</v>
      </c>
      <c r="D386" t="s">
        <v>139</v>
      </c>
      <c r="E386" t="str">
        <f>"28"</f>
        <v>28</v>
      </c>
      <c r="H386">
        <v>140</v>
      </c>
      <c r="I386" t="s">
        <v>140</v>
      </c>
      <c r="J386" t="s">
        <v>141</v>
      </c>
      <c r="K386">
        <v>0</v>
      </c>
      <c r="L386">
        <v>3</v>
      </c>
      <c r="M386">
        <v>0</v>
      </c>
      <c r="N386">
        <v>2</v>
      </c>
      <c r="O386">
        <v>1</v>
      </c>
      <c r="P386">
        <v>0</v>
      </c>
      <c r="Q386">
        <v>0</v>
      </c>
      <c r="R386" t="s">
        <v>127</v>
      </c>
      <c r="S386" t="str">
        <f>"15:39:11.281"</f>
        <v>15:39:11.281</v>
      </c>
      <c r="T386" t="str">
        <f>"15:39:11.081"</f>
        <v>15:39:11.081</v>
      </c>
      <c r="U386" t="str">
        <f t="shared" ref="U386:U449" si="34">"A55E09"</f>
        <v>A55E09</v>
      </c>
      <c r="V386">
        <v>0</v>
      </c>
      <c r="W386">
        <v>0</v>
      </c>
      <c r="X386">
        <v>2</v>
      </c>
      <c r="Y386">
        <v>0</v>
      </c>
      <c r="AA386">
        <v>0</v>
      </c>
      <c r="AB386">
        <v>9</v>
      </c>
      <c r="AC386">
        <v>3</v>
      </c>
      <c r="AD386">
        <v>0</v>
      </c>
      <c r="AE386">
        <v>9</v>
      </c>
      <c r="AF386" t="s">
        <v>128</v>
      </c>
      <c r="AG386">
        <v>0</v>
      </c>
      <c r="AH386">
        <v>0</v>
      </c>
      <c r="AI386">
        <v>1</v>
      </c>
      <c r="AJ386">
        <v>0</v>
      </c>
      <c r="AK386" t="s">
        <v>326</v>
      </c>
      <c r="AL386">
        <v>33.692836999999997</v>
      </c>
      <c r="AM386" t="s">
        <v>327</v>
      </c>
      <c r="AN386">
        <v>-101.209037</v>
      </c>
      <c r="AO386">
        <v>100</v>
      </c>
      <c r="AP386">
        <v>3300</v>
      </c>
      <c r="AQ386" t="s">
        <v>131</v>
      </c>
      <c r="AR386">
        <v>-17</v>
      </c>
      <c r="AS386">
        <v>87</v>
      </c>
      <c r="AT386">
        <v>-128</v>
      </c>
      <c r="BB386" t="str">
        <f t="shared" ref="BB386:BB449" si="35">"1200"</f>
        <v>1200</v>
      </c>
      <c r="BC386">
        <v>1</v>
      </c>
      <c r="BD386" t="str">
        <f t="shared" ref="BD386:BD449" si="36">"N445JS  "</f>
        <v xml:space="preserve">N445JS  </v>
      </c>
      <c r="BE386">
        <v>7</v>
      </c>
      <c r="BG386">
        <v>0</v>
      </c>
      <c r="BH386">
        <v>0</v>
      </c>
      <c r="BI386">
        <v>0</v>
      </c>
      <c r="BJ386">
        <v>3075</v>
      </c>
      <c r="BK386">
        <v>-225</v>
      </c>
      <c r="BL386" t="s">
        <v>132</v>
      </c>
      <c r="BM386">
        <v>1</v>
      </c>
      <c r="BN386">
        <v>1</v>
      </c>
      <c r="BO386">
        <v>1</v>
      </c>
      <c r="BP386">
        <v>0</v>
      </c>
      <c r="BT386">
        <v>0</v>
      </c>
      <c r="BU386">
        <v>0</v>
      </c>
      <c r="CE386" t="str">
        <f>"15:39:11.283"</f>
        <v>15:39:11.283</v>
      </c>
      <c r="CF386">
        <v>283370662</v>
      </c>
      <c r="CS386">
        <v>0</v>
      </c>
      <c r="CT386">
        <v>2</v>
      </c>
      <c r="CU386">
        <v>0</v>
      </c>
      <c r="CV386">
        <v>2</v>
      </c>
      <c r="CW386">
        <v>0</v>
      </c>
      <c r="CX386">
        <v>7</v>
      </c>
      <c r="CY386">
        <v>7</v>
      </c>
      <c r="CZ386" t="s">
        <v>133</v>
      </c>
      <c r="DA386">
        <v>125</v>
      </c>
      <c r="DB386">
        <v>1</v>
      </c>
      <c r="DC386" t="s">
        <v>134</v>
      </c>
      <c r="DD386" t="s">
        <v>135</v>
      </c>
      <c r="DG386">
        <v>2540700</v>
      </c>
      <c r="DI386">
        <v>0</v>
      </c>
      <c r="DJ386">
        <v>0</v>
      </c>
      <c r="DK386">
        <v>0</v>
      </c>
      <c r="DL386">
        <v>0</v>
      </c>
      <c r="DM386">
        <v>0</v>
      </c>
      <c r="DN386">
        <v>0</v>
      </c>
      <c r="DO386">
        <v>0</v>
      </c>
      <c r="DP386">
        <v>0</v>
      </c>
      <c r="DQ386">
        <v>0</v>
      </c>
      <c r="DR386">
        <v>0</v>
      </c>
      <c r="DS386">
        <v>0</v>
      </c>
    </row>
    <row r="387" spans="1:123" x14ac:dyDescent="0.25">
      <c r="A387" t="str">
        <f>"04/17/2026 15:39:11.567"</f>
        <v>04/17/2026 15:39:11.567</v>
      </c>
      <c r="C387" t="str">
        <f t="shared" si="33"/>
        <v>FFDFD3C0</v>
      </c>
      <c r="D387" t="s">
        <v>136</v>
      </c>
      <c r="E387" t="str">
        <f>"0F"</f>
        <v>0F</v>
      </c>
      <c r="F387">
        <v>1015</v>
      </c>
      <c r="G387" t="s">
        <v>138</v>
      </c>
      <c r="J387" t="s">
        <v>137</v>
      </c>
      <c r="K387">
        <v>0</v>
      </c>
      <c r="L387">
        <v>3</v>
      </c>
      <c r="M387">
        <v>0</v>
      </c>
      <c r="N387">
        <v>2</v>
      </c>
      <c r="O387">
        <v>1</v>
      </c>
      <c r="P387">
        <v>0</v>
      </c>
      <c r="Q387">
        <v>0</v>
      </c>
      <c r="R387" t="s">
        <v>127</v>
      </c>
      <c r="S387" t="str">
        <f>"15:39:11.281"</f>
        <v>15:39:11.281</v>
      </c>
      <c r="T387" t="str">
        <f>"15:39:11.081"</f>
        <v>15:39:11.081</v>
      </c>
      <c r="U387" t="str">
        <f t="shared" si="34"/>
        <v>A55E09</v>
      </c>
      <c r="V387">
        <v>0</v>
      </c>
      <c r="W387">
        <v>0</v>
      </c>
      <c r="X387">
        <v>2</v>
      </c>
      <c r="Y387">
        <v>0</v>
      </c>
      <c r="AA387">
        <v>0</v>
      </c>
      <c r="AB387">
        <v>9</v>
      </c>
      <c r="AC387">
        <v>3</v>
      </c>
      <c r="AD387">
        <v>0</v>
      </c>
      <c r="AE387">
        <v>9</v>
      </c>
      <c r="AF387" t="s">
        <v>128</v>
      </c>
      <c r="AG387">
        <v>0</v>
      </c>
      <c r="AH387">
        <v>0</v>
      </c>
      <c r="AI387">
        <v>1</v>
      </c>
      <c r="AJ387">
        <v>0</v>
      </c>
      <c r="AK387" t="s">
        <v>326</v>
      </c>
      <c r="AL387">
        <v>33.692836999999997</v>
      </c>
      <c r="AM387" t="s">
        <v>327</v>
      </c>
      <c r="AN387">
        <v>-101.209037</v>
      </c>
      <c r="AO387">
        <v>100</v>
      </c>
      <c r="AP387">
        <v>3300</v>
      </c>
      <c r="AQ387" t="s">
        <v>131</v>
      </c>
      <c r="AR387">
        <v>-17</v>
      </c>
      <c r="AS387">
        <v>87</v>
      </c>
      <c r="AT387">
        <v>-128</v>
      </c>
      <c r="BB387" t="str">
        <f t="shared" si="35"/>
        <v>1200</v>
      </c>
      <c r="BC387">
        <v>1</v>
      </c>
      <c r="BD387" t="str">
        <f t="shared" si="36"/>
        <v xml:space="preserve">N445JS  </v>
      </c>
      <c r="BE387">
        <v>7</v>
      </c>
      <c r="BG387">
        <v>0</v>
      </c>
      <c r="BH387">
        <v>0</v>
      </c>
      <c r="BI387">
        <v>0</v>
      </c>
      <c r="BJ387">
        <v>3075</v>
      </c>
      <c r="BK387">
        <v>-225</v>
      </c>
      <c r="BL387" t="s">
        <v>132</v>
      </c>
      <c r="BM387">
        <v>1</v>
      </c>
      <c r="BN387">
        <v>1</v>
      </c>
      <c r="BO387">
        <v>1</v>
      </c>
      <c r="BP387">
        <v>0</v>
      </c>
      <c r="BT387">
        <v>0</v>
      </c>
      <c r="BU387">
        <v>0</v>
      </c>
      <c r="CE387" t="str">
        <f>"15:39:11.283"</f>
        <v>15:39:11.283</v>
      </c>
      <c r="CF387">
        <v>283370662</v>
      </c>
      <c r="CS387">
        <v>0</v>
      </c>
      <c r="CT387">
        <v>2</v>
      </c>
      <c r="CU387">
        <v>0</v>
      </c>
      <c r="CV387">
        <v>2</v>
      </c>
      <c r="CW387">
        <v>0</v>
      </c>
      <c r="CX387">
        <v>7</v>
      </c>
      <c r="CY387">
        <v>7</v>
      </c>
      <c r="CZ387" t="s">
        <v>133</v>
      </c>
      <c r="DA387">
        <v>125</v>
      </c>
      <c r="DB387">
        <v>1</v>
      </c>
      <c r="DC387" t="s">
        <v>134</v>
      </c>
      <c r="DD387" t="s">
        <v>135</v>
      </c>
      <c r="DG387">
        <v>2540700</v>
      </c>
      <c r="DI387">
        <v>0</v>
      </c>
      <c r="DJ387">
        <v>0</v>
      </c>
      <c r="DK387">
        <v>1</v>
      </c>
      <c r="DL387">
        <v>0</v>
      </c>
      <c r="DM387">
        <v>0</v>
      </c>
      <c r="DN387">
        <v>0</v>
      </c>
      <c r="DO387">
        <v>0</v>
      </c>
      <c r="DP387">
        <v>0</v>
      </c>
      <c r="DQ387">
        <v>0</v>
      </c>
      <c r="DR387">
        <v>0</v>
      </c>
      <c r="DS387">
        <v>0</v>
      </c>
    </row>
    <row r="388" spans="1:123" x14ac:dyDescent="0.25">
      <c r="A388" t="str">
        <f>"04/17/2026 15:39:11.565"</f>
        <v>04/17/2026 15:39:11.565</v>
      </c>
      <c r="C388" t="str">
        <f t="shared" si="33"/>
        <v>FFDFD3C0</v>
      </c>
      <c r="D388" t="s">
        <v>136</v>
      </c>
      <c r="E388" t="str">
        <f>"0E"</f>
        <v>0E</v>
      </c>
      <c r="F388">
        <v>1014</v>
      </c>
      <c r="G388" t="s">
        <v>125</v>
      </c>
      <c r="J388" t="s">
        <v>137</v>
      </c>
      <c r="K388">
        <v>0</v>
      </c>
      <c r="L388">
        <v>3</v>
      </c>
      <c r="M388">
        <v>0</v>
      </c>
      <c r="N388">
        <v>2</v>
      </c>
      <c r="O388">
        <v>1</v>
      </c>
      <c r="P388">
        <v>0</v>
      </c>
      <c r="Q388">
        <v>0</v>
      </c>
      <c r="R388" t="s">
        <v>127</v>
      </c>
      <c r="S388" t="str">
        <f>"15:39:11.281"</f>
        <v>15:39:11.281</v>
      </c>
      <c r="T388" t="str">
        <f>"15:39:11.081"</f>
        <v>15:39:11.081</v>
      </c>
      <c r="U388" t="str">
        <f t="shared" si="34"/>
        <v>A55E09</v>
      </c>
      <c r="V388">
        <v>0</v>
      </c>
      <c r="W388">
        <v>0</v>
      </c>
      <c r="X388">
        <v>2</v>
      </c>
      <c r="Y388">
        <v>0</v>
      </c>
      <c r="AA388">
        <v>0</v>
      </c>
      <c r="AB388">
        <v>9</v>
      </c>
      <c r="AC388">
        <v>3</v>
      </c>
      <c r="AD388">
        <v>0</v>
      </c>
      <c r="AE388">
        <v>9</v>
      </c>
      <c r="AF388" t="s">
        <v>128</v>
      </c>
      <c r="AG388">
        <v>0</v>
      </c>
      <c r="AH388">
        <v>0</v>
      </c>
      <c r="AI388">
        <v>1</v>
      </c>
      <c r="AJ388">
        <v>0</v>
      </c>
      <c r="AK388" t="s">
        <v>326</v>
      </c>
      <c r="AL388">
        <v>33.692836999999997</v>
      </c>
      <c r="AM388" t="s">
        <v>327</v>
      </c>
      <c r="AN388">
        <v>-101.209037</v>
      </c>
      <c r="AO388">
        <v>100</v>
      </c>
      <c r="AP388">
        <v>3300</v>
      </c>
      <c r="AQ388" t="s">
        <v>131</v>
      </c>
      <c r="AR388">
        <v>-17</v>
      </c>
      <c r="AS388">
        <v>87</v>
      </c>
      <c r="AT388">
        <v>-128</v>
      </c>
      <c r="BB388" t="str">
        <f t="shared" si="35"/>
        <v>1200</v>
      </c>
      <c r="BC388">
        <v>1</v>
      </c>
      <c r="BD388" t="str">
        <f t="shared" si="36"/>
        <v xml:space="preserve">N445JS  </v>
      </c>
      <c r="BE388">
        <v>7</v>
      </c>
      <c r="BG388">
        <v>0</v>
      </c>
      <c r="BH388">
        <v>0</v>
      </c>
      <c r="BI388">
        <v>0</v>
      </c>
      <c r="BJ388">
        <v>3075</v>
      </c>
      <c r="BK388">
        <v>-225</v>
      </c>
      <c r="BL388" t="s">
        <v>132</v>
      </c>
      <c r="BM388">
        <v>1</v>
      </c>
      <c r="BN388">
        <v>1</v>
      </c>
      <c r="BO388">
        <v>1</v>
      </c>
      <c r="BP388">
        <v>0</v>
      </c>
      <c r="BT388">
        <v>0</v>
      </c>
      <c r="BU388">
        <v>0</v>
      </c>
      <c r="CE388" t="str">
        <f>"15:39:11.283"</f>
        <v>15:39:11.283</v>
      </c>
      <c r="CF388">
        <v>283370662</v>
      </c>
      <c r="CS388">
        <v>0</v>
      </c>
      <c r="CT388">
        <v>2</v>
      </c>
      <c r="CU388">
        <v>0</v>
      </c>
      <c r="CV388">
        <v>2</v>
      </c>
      <c r="CW388">
        <v>0</v>
      </c>
      <c r="CX388">
        <v>7</v>
      </c>
      <c r="CY388">
        <v>7</v>
      </c>
      <c r="CZ388" t="s">
        <v>133</v>
      </c>
      <c r="DA388">
        <v>125</v>
      </c>
      <c r="DB388">
        <v>1</v>
      </c>
      <c r="DC388" t="s">
        <v>134</v>
      </c>
      <c r="DD388" t="s">
        <v>135</v>
      </c>
      <c r="DG388">
        <v>2540700</v>
      </c>
      <c r="DI388">
        <v>0</v>
      </c>
      <c r="DJ388">
        <v>0</v>
      </c>
      <c r="DK388">
        <v>1</v>
      </c>
      <c r="DL388">
        <v>0</v>
      </c>
      <c r="DM388">
        <v>0</v>
      </c>
      <c r="DN388">
        <v>0</v>
      </c>
      <c r="DO388">
        <v>0</v>
      </c>
      <c r="DP388">
        <v>0</v>
      </c>
      <c r="DQ388">
        <v>0</v>
      </c>
      <c r="DR388">
        <v>0</v>
      </c>
      <c r="DS388">
        <v>0</v>
      </c>
    </row>
    <row r="389" spans="1:123" x14ac:dyDescent="0.25">
      <c r="A389" t="str">
        <f>"04/17/2026 15:39:11.578"</f>
        <v>04/17/2026 15:39:11.578</v>
      </c>
      <c r="C389" t="str">
        <f t="shared" si="33"/>
        <v>FFDFD3C0</v>
      </c>
      <c r="D389" t="s">
        <v>124</v>
      </c>
      <c r="E389" t="str">
        <f>"03"</f>
        <v>03</v>
      </c>
      <c r="H389">
        <v>160</v>
      </c>
      <c r="I389" t="s">
        <v>125</v>
      </c>
      <c r="J389" t="s">
        <v>126</v>
      </c>
      <c r="K389">
        <v>0</v>
      </c>
      <c r="L389">
        <v>3</v>
      </c>
      <c r="M389">
        <v>0</v>
      </c>
      <c r="N389">
        <v>2</v>
      </c>
      <c r="O389">
        <v>1</v>
      </c>
      <c r="P389">
        <v>0</v>
      </c>
      <c r="Q389">
        <v>0</v>
      </c>
      <c r="R389" t="s">
        <v>127</v>
      </c>
      <c r="S389" t="str">
        <f>"15:39:11.281"</f>
        <v>15:39:11.281</v>
      </c>
      <c r="T389" t="str">
        <f>"15:39:11.081"</f>
        <v>15:39:11.081</v>
      </c>
      <c r="U389" t="str">
        <f t="shared" si="34"/>
        <v>A55E09</v>
      </c>
      <c r="V389">
        <v>0</v>
      </c>
      <c r="W389">
        <v>0</v>
      </c>
      <c r="X389">
        <v>2</v>
      </c>
      <c r="Y389">
        <v>0</v>
      </c>
      <c r="AA389">
        <v>0</v>
      </c>
      <c r="AB389">
        <v>9</v>
      </c>
      <c r="AC389">
        <v>3</v>
      </c>
      <c r="AD389">
        <v>0</v>
      </c>
      <c r="AE389">
        <v>9</v>
      </c>
      <c r="AF389" t="s">
        <v>128</v>
      </c>
      <c r="AG389">
        <v>0</v>
      </c>
      <c r="AH389">
        <v>0</v>
      </c>
      <c r="AI389">
        <v>1</v>
      </c>
      <c r="AJ389">
        <v>0</v>
      </c>
      <c r="AK389" t="s">
        <v>326</v>
      </c>
      <c r="AL389">
        <v>33.692836999999997</v>
      </c>
      <c r="AM389" t="s">
        <v>327</v>
      </c>
      <c r="AN389">
        <v>-101.209037</v>
      </c>
      <c r="AO389">
        <v>100</v>
      </c>
      <c r="AP389">
        <v>3300</v>
      </c>
      <c r="AQ389" t="s">
        <v>131</v>
      </c>
      <c r="AR389">
        <v>-17</v>
      </c>
      <c r="AS389">
        <v>87</v>
      </c>
      <c r="AT389">
        <v>-128</v>
      </c>
      <c r="BB389" t="str">
        <f t="shared" si="35"/>
        <v>1200</v>
      </c>
      <c r="BC389">
        <v>1</v>
      </c>
      <c r="BD389" t="str">
        <f t="shared" si="36"/>
        <v xml:space="preserve">N445JS  </v>
      </c>
      <c r="BE389">
        <v>7</v>
      </c>
      <c r="BG389">
        <v>0</v>
      </c>
      <c r="BH389">
        <v>0</v>
      </c>
      <c r="BI389">
        <v>0</v>
      </c>
      <c r="BJ389">
        <v>3075</v>
      </c>
      <c r="BK389">
        <v>-225</v>
      </c>
      <c r="BL389" t="s">
        <v>132</v>
      </c>
      <c r="BM389">
        <v>1</v>
      </c>
      <c r="BN389">
        <v>1</v>
      </c>
      <c r="BO389">
        <v>1</v>
      </c>
      <c r="BP389">
        <v>0</v>
      </c>
      <c r="BT389">
        <v>0</v>
      </c>
      <c r="BU389">
        <v>0</v>
      </c>
      <c r="CE389" t="str">
        <f>"15:39:11.283"</f>
        <v>15:39:11.283</v>
      </c>
      <c r="CF389">
        <v>283370662</v>
      </c>
      <c r="CS389">
        <v>0</v>
      </c>
      <c r="CT389">
        <v>2</v>
      </c>
      <c r="CU389">
        <v>0</v>
      </c>
      <c r="CV389">
        <v>2</v>
      </c>
      <c r="CW389">
        <v>0</v>
      </c>
      <c r="CX389">
        <v>7</v>
      </c>
      <c r="CY389">
        <v>7</v>
      </c>
      <c r="CZ389" t="s">
        <v>133</v>
      </c>
      <c r="DA389">
        <v>125</v>
      </c>
      <c r="DB389">
        <v>1</v>
      </c>
      <c r="DC389" t="s">
        <v>134</v>
      </c>
      <c r="DD389" t="s">
        <v>135</v>
      </c>
      <c r="DG389">
        <v>2540700</v>
      </c>
      <c r="DI389">
        <v>0</v>
      </c>
      <c r="DJ389">
        <v>0</v>
      </c>
      <c r="DK389">
        <v>1</v>
      </c>
      <c r="DL389">
        <v>0</v>
      </c>
      <c r="DM389">
        <v>0</v>
      </c>
      <c r="DN389">
        <v>0</v>
      </c>
      <c r="DO389">
        <v>0</v>
      </c>
      <c r="DP389">
        <v>0</v>
      </c>
      <c r="DQ389">
        <v>0</v>
      </c>
      <c r="DR389">
        <v>0</v>
      </c>
      <c r="DS389">
        <v>0</v>
      </c>
    </row>
    <row r="390" spans="1:123" x14ac:dyDescent="0.25">
      <c r="A390" t="str">
        <f>"04/17/2026 15:39:13.106"</f>
        <v>04/17/2026 15:39:13.106</v>
      </c>
      <c r="C390" t="str">
        <f t="shared" si="33"/>
        <v>FFDFD3C0</v>
      </c>
      <c r="D390" t="s">
        <v>139</v>
      </c>
      <c r="E390" t="str">
        <f>"28"</f>
        <v>28</v>
      </c>
      <c r="H390">
        <v>140</v>
      </c>
      <c r="I390" t="s">
        <v>140</v>
      </c>
      <c r="J390" t="s">
        <v>141</v>
      </c>
      <c r="K390">
        <v>0</v>
      </c>
      <c r="L390">
        <v>3</v>
      </c>
      <c r="M390">
        <v>0</v>
      </c>
      <c r="N390">
        <v>2</v>
      </c>
      <c r="O390">
        <v>1</v>
      </c>
      <c r="P390">
        <v>0</v>
      </c>
      <c r="Q390">
        <v>0</v>
      </c>
      <c r="R390" t="s">
        <v>127</v>
      </c>
      <c r="S390" t="str">
        <f>"15:39:12.828"</f>
        <v>15:39:12.828</v>
      </c>
      <c r="T390" t="str">
        <f>"15:39:12.628"</f>
        <v>15:39:12.628</v>
      </c>
      <c r="U390" t="str">
        <f t="shared" si="34"/>
        <v>A55E09</v>
      </c>
      <c r="V390">
        <v>0</v>
      </c>
      <c r="W390">
        <v>0</v>
      </c>
      <c r="X390">
        <v>2</v>
      </c>
      <c r="Y390">
        <v>0</v>
      </c>
      <c r="AA390">
        <v>0</v>
      </c>
      <c r="AB390">
        <v>9</v>
      </c>
      <c r="AC390">
        <v>3</v>
      </c>
      <c r="AD390">
        <v>0</v>
      </c>
      <c r="AE390">
        <v>9</v>
      </c>
      <c r="AF390" t="s">
        <v>128</v>
      </c>
      <c r="AG390">
        <v>0</v>
      </c>
      <c r="AH390">
        <v>0</v>
      </c>
      <c r="AI390">
        <v>1</v>
      </c>
      <c r="AJ390">
        <v>0</v>
      </c>
      <c r="AK390" t="s">
        <v>328</v>
      </c>
      <c r="AL390">
        <v>33.693438</v>
      </c>
      <c r="AM390" t="s">
        <v>329</v>
      </c>
      <c r="AN390">
        <v>-101.20914500000001</v>
      </c>
      <c r="AO390">
        <v>100</v>
      </c>
      <c r="AP390">
        <v>3300</v>
      </c>
      <c r="AQ390" t="s">
        <v>131</v>
      </c>
      <c r="AR390">
        <v>-18</v>
      </c>
      <c r="AS390">
        <v>86</v>
      </c>
      <c r="AT390">
        <v>64</v>
      </c>
      <c r="BB390" t="str">
        <f t="shared" si="35"/>
        <v>1200</v>
      </c>
      <c r="BC390">
        <v>1</v>
      </c>
      <c r="BD390" t="str">
        <f t="shared" si="36"/>
        <v xml:space="preserve">N445JS  </v>
      </c>
      <c r="BE390">
        <v>7</v>
      </c>
      <c r="BG390">
        <v>0</v>
      </c>
      <c r="BH390">
        <v>0</v>
      </c>
      <c r="BI390">
        <v>0</v>
      </c>
      <c r="BJ390">
        <v>3075</v>
      </c>
      <c r="BK390">
        <v>-225</v>
      </c>
      <c r="BL390" t="s">
        <v>132</v>
      </c>
      <c r="BM390">
        <v>1</v>
      </c>
      <c r="BN390">
        <v>1</v>
      </c>
      <c r="BO390">
        <v>1</v>
      </c>
      <c r="BP390">
        <v>0</v>
      </c>
      <c r="BT390">
        <v>0</v>
      </c>
      <c r="BU390">
        <v>0</v>
      </c>
      <c r="CE390" t="str">
        <f>"15:39:12.828"</f>
        <v>15:39:12.828</v>
      </c>
      <c r="CF390">
        <v>828219225</v>
      </c>
      <c r="CS390">
        <v>0</v>
      </c>
      <c r="CT390">
        <v>2</v>
      </c>
      <c r="CU390">
        <v>0</v>
      </c>
      <c r="CV390">
        <v>2</v>
      </c>
      <c r="CW390">
        <v>0</v>
      </c>
      <c r="CX390">
        <v>7</v>
      </c>
      <c r="CY390">
        <v>7</v>
      </c>
      <c r="CZ390" t="s">
        <v>133</v>
      </c>
      <c r="DA390">
        <v>125</v>
      </c>
      <c r="DB390">
        <v>1</v>
      </c>
      <c r="DC390" t="s">
        <v>134</v>
      </c>
      <c r="DD390" t="s">
        <v>135</v>
      </c>
      <c r="DG390">
        <v>2542225</v>
      </c>
      <c r="DI390">
        <v>0</v>
      </c>
      <c r="DJ390">
        <v>0</v>
      </c>
      <c r="DK390">
        <v>0</v>
      </c>
      <c r="DL390">
        <v>0</v>
      </c>
      <c r="DM390">
        <v>0</v>
      </c>
      <c r="DN390">
        <v>0</v>
      </c>
      <c r="DO390">
        <v>0</v>
      </c>
      <c r="DP390">
        <v>0</v>
      </c>
      <c r="DQ390">
        <v>0</v>
      </c>
      <c r="DR390">
        <v>0</v>
      </c>
      <c r="DS390">
        <v>0</v>
      </c>
    </row>
    <row r="391" spans="1:123" x14ac:dyDescent="0.25">
      <c r="A391" t="str">
        <f>"04/17/2026 15:39:13.117"</f>
        <v>04/17/2026 15:39:13.117</v>
      </c>
      <c r="C391" t="str">
        <f t="shared" si="33"/>
        <v>FFDFD3C0</v>
      </c>
      <c r="D391" t="s">
        <v>136</v>
      </c>
      <c r="E391" t="str">
        <f>"0E"</f>
        <v>0E</v>
      </c>
      <c r="F391">
        <v>1014</v>
      </c>
      <c r="G391" t="s">
        <v>125</v>
      </c>
      <c r="J391" t="s">
        <v>137</v>
      </c>
      <c r="K391">
        <v>0</v>
      </c>
      <c r="L391">
        <v>3</v>
      </c>
      <c r="M391">
        <v>0</v>
      </c>
      <c r="N391">
        <v>2</v>
      </c>
      <c r="O391">
        <v>1</v>
      </c>
      <c r="P391">
        <v>0</v>
      </c>
      <c r="Q391">
        <v>0</v>
      </c>
      <c r="R391" t="s">
        <v>127</v>
      </c>
      <c r="S391" t="str">
        <f>"15:39:12.828"</f>
        <v>15:39:12.828</v>
      </c>
      <c r="T391" t="str">
        <f>"15:39:12.628"</f>
        <v>15:39:12.628</v>
      </c>
      <c r="U391" t="str">
        <f t="shared" si="34"/>
        <v>A55E09</v>
      </c>
      <c r="V391">
        <v>0</v>
      </c>
      <c r="W391">
        <v>0</v>
      </c>
      <c r="X391">
        <v>2</v>
      </c>
      <c r="Y391">
        <v>0</v>
      </c>
      <c r="AA391">
        <v>0</v>
      </c>
      <c r="AB391">
        <v>9</v>
      </c>
      <c r="AC391">
        <v>3</v>
      </c>
      <c r="AD391">
        <v>0</v>
      </c>
      <c r="AE391">
        <v>9</v>
      </c>
      <c r="AF391" t="s">
        <v>128</v>
      </c>
      <c r="AG391">
        <v>0</v>
      </c>
      <c r="AH391">
        <v>0</v>
      </c>
      <c r="AI391">
        <v>1</v>
      </c>
      <c r="AJ391">
        <v>0</v>
      </c>
      <c r="AK391" t="s">
        <v>328</v>
      </c>
      <c r="AL391">
        <v>33.693438</v>
      </c>
      <c r="AM391" t="s">
        <v>329</v>
      </c>
      <c r="AN391">
        <v>-101.20914500000001</v>
      </c>
      <c r="AO391">
        <v>100</v>
      </c>
      <c r="AP391">
        <v>3300</v>
      </c>
      <c r="AQ391" t="s">
        <v>131</v>
      </c>
      <c r="AR391">
        <v>-18</v>
      </c>
      <c r="AS391">
        <v>86</v>
      </c>
      <c r="AT391">
        <v>64</v>
      </c>
      <c r="BB391" t="str">
        <f t="shared" si="35"/>
        <v>1200</v>
      </c>
      <c r="BC391">
        <v>1</v>
      </c>
      <c r="BD391" t="str">
        <f t="shared" si="36"/>
        <v xml:space="preserve">N445JS  </v>
      </c>
      <c r="BE391">
        <v>7</v>
      </c>
      <c r="BG391">
        <v>0</v>
      </c>
      <c r="BH391">
        <v>0</v>
      </c>
      <c r="BI391">
        <v>0</v>
      </c>
      <c r="BJ391">
        <v>3075</v>
      </c>
      <c r="BK391">
        <v>-225</v>
      </c>
      <c r="BL391" t="s">
        <v>132</v>
      </c>
      <c r="BM391">
        <v>1</v>
      </c>
      <c r="BN391">
        <v>1</v>
      </c>
      <c r="BO391">
        <v>1</v>
      </c>
      <c r="BP391">
        <v>0</v>
      </c>
      <c r="BT391">
        <v>0</v>
      </c>
      <c r="BU391">
        <v>0</v>
      </c>
      <c r="CE391" t="str">
        <f>"15:39:12.828"</f>
        <v>15:39:12.828</v>
      </c>
      <c r="CF391">
        <v>828219225</v>
      </c>
      <c r="CS391">
        <v>0</v>
      </c>
      <c r="CT391">
        <v>2</v>
      </c>
      <c r="CU391">
        <v>0</v>
      </c>
      <c r="CV391">
        <v>2</v>
      </c>
      <c r="CW391">
        <v>0</v>
      </c>
      <c r="CX391">
        <v>7</v>
      </c>
      <c r="CY391">
        <v>7</v>
      </c>
      <c r="CZ391" t="s">
        <v>133</v>
      </c>
      <c r="DA391">
        <v>125</v>
      </c>
      <c r="DB391">
        <v>1</v>
      </c>
      <c r="DC391" t="s">
        <v>134</v>
      </c>
      <c r="DD391" t="s">
        <v>135</v>
      </c>
      <c r="DG391">
        <v>2542225</v>
      </c>
      <c r="DI391">
        <v>0</v>
      </c>
      <c r="DJ391">
        <v>0</v>
      </c>
      <c r="DK391">
        <v>1</v>
      </c>
      <c r="DL391">
        <v>0</v>
      </c>
      <c r="DM391">
        <v>0</v>
      </c>
      <c r="DN391">
        <v>0</v>
      </c>
      <c r="DO391">
        <v>0</v>
      </c>
      <c r="DP391">
        <v>0</v>
      </c>
      <c r="DQ391">
        <v>0</v>
      </c>
      <c r="DR391">
        <v>0</v>
      </c>
      <c r="DS391">
        <v>0</v>
      </c>
    </row>
    <row r="392" spans="1:123" x14ac:dyDescent="0.25">
      <c r="A392" t="str">
        <f>"04/17/2026 15:39:13.120"</f>
        <v>04/17/2026 15:39:13.120</v>
      </c>
      <c r="C392" t="str">
        <f t="shared" si="33"/>
        <v>FFDFD3C0</v>
      </c>
      <c r="D392" t="s">
        <v>136</v>
      </c>
      <c r="E392" t="str">
        <f>"0F"</f>
        <v>0F</v>
      </c>
      <c r="F392">
        <v>1015</v>
      </c>
      <c r="G392" t="s">
        <v>138</v>
      </c>
      <c r="J392" t="s">
        <v>137</v>
      </c>
      <c r="K392">
        <v>0</v>
      </c>
      <c r="L392">
        <v>3</v>
      </c>
      <c r="M392">
        <v>0</v>
      </c>
      <c r="N392">
        <v>2</v>
      </c>
      <c r="O392">
        <v>1</v>
      </c>
      <c r="P392">
        <v>0</v>
      </c>
      <c r="Q392">
        <v>0</v>
      </c>
      <c r="R392" t="s">
        <v>127</v>
      </c>
      <c r="S392" t="str">
        <f>"15:39:12.828"</f>
        <v>15:39:12.828</v>
      </c>
      <c r="T392" t="str">
        <f>"15:39:12.628"</f>
        <v>15:39:12.628</v>
      </c>
      <c r="U392" t="str">
        <f t="shared" si="34"/>
        <v>A55E09</v>
      </c>
      <c r="V392">
        <v>0</v>
      </c>
      <c r="W392">
        <v>0</v>
      </c>
      <c r="X392">
        <v>2</v>
      </c>
      <c r="Y392">
        <v>0</v>
      </c>
      <c r="AA392">
        <v>0</v>
      </c>
      <c r="AB392">
        <v>9</v>
      </c>
      <c r="AC392">
        <v>3</v>
      </c>
      <c r="AD392">
        <v>0</v>
      </c>
      <c r="AE392">
        <v>9</v>
      </c>
      <c r="AF392" t="s">
        <v>128</v>
      </c>
      <c r="AG392">
        <v>0</v>
      </c>
      <c r="AH392">
        <v>0</v>
      </c>
      <c r="AI392">
        <v>1</v>
      </c>
      <c r="AJ392">
        <v>0</v>
      </c>
      <c r="AK392" t="s">
        <v>328</v>
      </c>
      <c r="AL392">
        <v>33.693438</v>
      </c>
      <c r="AM392" t="s">
        <v>329</v>
      </c>
      <c r="AN392">
        <v>-101.20914500000001</v>
      </c>
      <c r="AO392">
        <v>100</v>
      </c>
      <c r="AP392">
        <v>3300</v>
      </c>
      <c r="AQ392" t="s">
        <v>131</v>
      </c>
      <c r="AR392">
        <v>-18</v>
      </c>
      <c r="AS392">
        <v>86</v>
      </c>
      <c r="AT392">
        <v>64</v>
      </c>
      <c r="BB392" t="str">
        <f t="shared" si="35"/>
        <v>1200</v>
      </c>
      <c r="BC392">
        <v>1</v>
      </c>
      <c r="BD392" t="str">
        <f t="shared" si="36"/>
        <v xml:space="preserve">N445JS  </v>
      </c>
      <c r="BE392">
        <v>7</v>
      </c>
      <c r="BG392">
        <v>0</v>
      </c>
      <c r="BH392">
        <v>0</v>
      </c>
      <c r="BI392">
        <v>0</v>
      </c>
      <c r="BJ392">
        <v>3075</v>
      </c>
      <c r="BK392">
        <v>-225</v>
      </c>
      <c r="BL392" t="s">
        <v>132</v>
      </c>
      <c r="BM392">
        <v>1</v>
      </c>
      <c r="BN392">
        <v>1</v>
      </c>
      <c r="BO392">
        <v>1</v>
      </c>
      <c r="BP392">
        <v>0</v>
      </c>
      <c r="BT392">
        <v>0</v>
      </c>
      <c r="BU392">
        <v>0</v>
      </c>
      <c r="CE392" t="str">
        <f>"15:39:12.828"</f>
        <v>15:39:12.828</v>
      </c>
      <c r="CF392">
        <v>828219225</v>
      </c>
      <c r="CS392">
        <v>0</v>
      </c>
      <c r="CT392">
        <v>2</v>
      </c>
      <c r="CU392">
        <v>0</v>
      </c>
      <c r="CV392">
        <v>2</v>
      </c>
      <c r="CW392">
        <v>0</v>
      </c>
      <c r="CX392">
        <v>7</v>
      </c>
      <c r="CY392">
        <v>7</v>
      </c>
      <c r="CZ392" t="s">
        <v>133</v>
      </c>
      <c r="DA392">
        <v>125</v>
      </c>
      <c r="DB392">
        <v>1</v>
      </c>
      <c r="DC392" t="s">
        <v>134</v>
      </c>
      <c r="DD392" t="s">
        <v>135</v>
      </c>
      <c r="DG392">
        <v>2542225</v>
      </c>
      <c r="DI392">
        <v>0</v>
      </c>
      <c r="DJ392">
        <v>0</v>
      </c>
      <c r="DK392">
        <v>1</v>
      </c>
      <c r="DL392">
        <v>0</v>
      </c>
      <c r="DM392">
        <v>0</v>
      </c>
      <c r="DN392">
        <v>0</v>
      </c>
      <c r="DO392">
        <v>0</v>
      </c>
      <c r="DP392">
        <v>0</v>
      </c>
      <c r="DQ392">
        <v>0</v>
      </c>
      <c r="DR392">
        <v>0</v>
      </c>
      <c r="DS392">
        <v>0</v>
      </c>
    </row>
    <row r="393" spans="1:123" x14ac:dyDescent="0.25">
      <c r="A393" t="str">
        <f>"04/17/2026 15:39:13.130"</f>
        <v>04/17/2026 15:39:13.130</v>
      </c>
      <c r="C393" t="str">
        <f t="shared" si="33"/>
        <v>FFDFD3C0</v>
      </c>
      <c r="D393" t="s">
        <v>124</v>
      </c>
      <c r="E393" t="str">
        <f>"03"</f>
        <v>03</v>
      </c>
      <c r="H393">
        <v>160</v>
      </c>
      <c r="I393" t="s">
        <v>125</v>
      </c>
      <c r="J393" t="s">
        <v>126</v>
      </c>
      <c r="K393">
        <v>0</v>
      </c>
      <c r="L393">
        <v>3</v>
      </c>
      <c r="M393">
        <v>0</v>
      </c>
      <c r="N393">
        <v>2</v>
      </c>
      <c r="O393">
        <v>1</v>
      </c>
      <c r="P393">
        <v>0</v>
      </c>
      <c r="Q393">
        <v>0</v>
      </c>
      <c r="R393" t="s">
        <v>127</v>
      </c>
      <c r="S393" t="str">
        <f>"15:39:12.828"</f>
        <v>15:39:12.828</v>
      </c>
      <c r="T393" t="str">
        <f>"15:39:12.628"</f>
        <v>15:39:12.628</v>
      </c>
      <c r="U393" t="str">
        <f t="shared" si="34"/>
        <v>A55E09</v>
      </c>
      <c r="V393">
        <v>0</v>
      </c>
      <c r="W393">
        <v>0</v>
      </c>
      <c r="X393">
        <v>2</v>
      </c>
      <c r="Y393">
        <v>0</v>
      </c>
      <c r="AA393">
        <v>0</v>
      </c>
      <c r="AB393">
        <v>9</v>
      </c>
      <c r="AC393">
        <v>3</v>
      </c>
      <c r="AD393">
        <v>0</v>
      </c>
      <c r="AE393">
        <v>9</v>
      </c>
      <c r="AF393" t="s">
        <v>128</v>
      </c>
      <c r="AG393">
        <v>0</v>
      </c>
      <c r="AH393">
        <v>0</v>
      </c>
      <c r="AI393">
        <v>1</v>
      </c>
      <c r="AJ393">
        <v>0</v>
      </c>
      <c r="AK393" t="s">
        <v>328</v>
      </c>
      <c r="AL393">
        <v>33.693438</v>
      </c>
      <c r="AM393" t="s">
        <v>329</v>
      </c>
      <c r="AN393">
        <v>-101.20914500000001</v>
      </c>
      <c r="AO393">
        <v>100</v>
      </c>
      <c r="AP393">
        <v>3300</v>
      </c>
      <c r="AQ393" t="s">
        <v>131</v>
      </c>
      <c r="AR393">
        <v>-18</v>
      </c>
      <c r="AS393">
        <v>86</v>
      </c>
      <c r="AT393">
        <v>64</v>
      </c>
      <c r="BB393" t="str">
        <f t="shared" si="35"/>
        <v>1200</v>
      </c>
      <c r="BC393">
        <v>1</v>
      </c>
      <c r="BD393" t="str">
        <f t="shared" si="36"/>
        <v xml:space="preserve">N445JS  </v>
      </c>
      <c r="BE393">
        <v>7</v>
      </c>
      <c r="BG393">
        <v>0</v>
      </c>
      <c r="BH393">
        <v>0</v>
      </c>
      <c r="BI393">
        <v>0</v>
      </c>
      <c r="BJ393">
        <v>3075</v>
      </c>
      <c r="BK393">
        <v>-225</v>
      </c>
      <c r="BL393" t="s">
        <v>132</v>
      </c>
      <c r="BM393">
        <v>1</v>
      </c>
      <c r="BN393">
        <v>1</v>
      </c>
      <c r="BO393">
        <v>1</v>
      </c>
      <c r="BP393">
        <v>0</v>
      </c>
      <c r="BT393">
        <v>0</v>
      </c>
      <c r="BU393">
        <v>0</v>
      </c>
      <c r="CE393" t="str">
        <f>"15:39:12.828"</f>
        <v>15:39:12.828</v>
      </c>
      <c r="CF393">
        <v>828219225</v>
      </c>
      <c r="CS393">
        <v>0</v>
      </c>
      <c r="CT393">
        <v>2</v>
      </c>
      <c r="CU393">
        <v>0</v>
      </c>
      <c r="CV393">
        <v>2</v>
      </c>
      <c r="CW393">
        <v>0</v>
      </c>
      <c r="CX393">
        <v>7</v>
      </c>
      <c r="CY393">
        <v>7</v>
      </c>
      <c r="CZ393" t="s">
        <v>133</v>
      </c>
      <c r="DA393">
        <v>125</v>
      </c>
      <c r="DB393">
        <v>1</v>
      </c>
      <c r="DC393" t="s">
        <v>134</v>
      </c>
      <c r="DD393" t="s">
        <v>135</v>
      </c>
      <c r="DG393">
        <v>2542225</v>
      </c>
      <c r="DI393">
        <v>0</v>
      </c>
      <c r="DJ393">
        <v>0</v>
      </c>
      <c r="DK393">
        <v>1</v>
      </c>
      <c r="DL393">
        <v>0</v>
      </c>
      <c r="DM393">
        <v>0</v>
      </c>
      <c r="DN393">
        <v>0</v>
      </c>
      <c r="DO393">
        <v>0</v>
      </c>
      <c r="DP393">
        <v>0</v>
      </c>
      <c r="DQ393">
        <v>0</v>
      </c>
      <c r="DR393">
        <v>0</v>
      </c>
      <c r="DS393">
        <v>0</v>
      </c>
    </row>
    <row r="394" spans="1:123" x14ac:dyDescent="0.25">
      <c r="A394" t="str">
        <f>"04/17/2026 15:39:14.108"</f>
        <v>04/17/2026 15:39:14.108</v>
      </c>
      <c r="C394" t="str">
        <f t="shared" si="33"/>
        <v>FFDFD3C0</v>
      </c>
      <c r="D394" t="s">
        <v>139</v>
      </c>
      <c r="E394" t="str">
        <f>"28"</f>
        <v>28</v>
      </c>
      <c r="H394">
        <v>140</v>
      </c>
      <c r="I394" t="s">
        <v>140</v>
      </c>
      <c r="J394" t="s">
        <v>141</v>
      </c>
      <c r="K394">
        <v>0</v>
      </c>
      <c r="L394">
        <v>3</v>
      </c>
      <c r="M394">
        <v>0</v>
      </c>
      <c r="N394">
        <v>2</v>
      </c>
      <c r="O394">
        <v>1</v>
      </c>
      <c r="P394">
        <v>0</v>
      </c>
      <c r="Q394">
        <v>0</v>
      </c>
      <c r="R394" t="s">
        <v>127</v>
      </c>
      <c r="S394" t="str">
        <f>"15:39:13.828"</f>
        <v>15:39:13.828</v>
      </c>
      <c r="T394" t="str">
        <f>"15:39:13.628"</f>
        <v>15:39:13.628</v>
      </c>
      <c r="U394" t="str">
        <f t="shared" si="34"/>
        <v>A55E09</v>
      </c>
      <c r="V394">
        <v>0</v>
      </c>
      <c r="W394">
        <v>0</v>
      </c>
      <c r="X394">
        <v>2</v>
      </c>
      <c r="Y394">
        <v>0</v>
      </c>
      <c r="AA394">
        <v>0</v>
      </c>
      <c r="AB394">
        <v>9</v>
      </c>
      <c r="AC394">
        <v>3</v>
      </c>
      <c r="AD394">
        <v>0</v>
      </c>
      <c r="AE394">
        <v>9</v>
      </c>
      <c r="AF394" t="s">
        <v>128</v>
      </c>
      <c r="AG394">
        <v>0</v>
      </c>
      <c r="AH394">
        <v>0</v>
      </c>
      <c r="AI394">
        <v>1</v>
      </c>
      <c r="AJ394">
        <v>0</v>
      </c>
      <c r="AK394" t="s">
        <v>330</v>
      </c>
      <c r="AL394">
        <v>33.693823999999999</v>
      </c>
      <c r="AM394" t="s">
        <v>331</v>
      </c>
      <c r="AN394">
        <v>-101.209316</v>
      </c>
      <c r="AO394">
        <v>100</v>
      </c>
      <c r="AP394">
        <v>3300</v>
      </c>
      <c r="AQ394" t="s">
        <v>131</v>
      </c>
      <c r="AR394">
        <v>-20</v>
      </c>
      <c r="AS394">
        <v>85</v>
      </c>
      <c r="AT394">
        <v>-128</v>
      </c>
      <c r="BB394" t="str">
        <f t="shared" si="35"/>
        <v>1200</v>
      </c>
      <c r="BC394">
        <v>1</v>
      </c>
      <c r="BD394" t="str">
        <f t="shared" si="36"/>
        <v xml:space="preserve">N445JS  </v>
      </c>
      <c r="BE394">
        <v>7</v>
      </c>
      <c r="BG394">
        <v>0</v>
      </c>
      <c r="BH394">
        <v>0</v>
      </c>
      <c r="BI394">
        <v>0</v>
      </c>
      <c r="BJ394">
        <v>3075</v>
      </c>
      <c r="BK394">
        <v>-225</v>
      </c>
      <c r="BL394" t="s">
        <v>132</v>
      </c>
      <c r="BM394">
        <v>1</v>
      </c>
      <c r="BN394">
        <v>1</v>
      </c>
      <c r="BO394">
        <v>1</v>
      </c>
      <c r="BP394">
        <v>0</v>
      </c>
      <c r="BT394">
        <v>0</v>
      </c>
      <c r="BU394">
        <v>0</v>
      </c>
      <c r="CE394" t="str">
        <f>"15:39:13.833"</f>
        <v>15:39:13.833</v>
      </c>
      <c r="CF394">
        <v>833120721</v>
      </c>
      <c r="CS394">
        <v>0</v>
      </c>
      <c r="CT394">
        <v>2</v>
      </c>
      <c r="CU394">
        <v>0</v>
      </c>
      <c r="CV394">
        <v>2</v>
      </c>
      <c r="CW394">
        <v>0</v>
      </c>
      <c r="CX394">
        <v>7</v>
      </c>
      <c r="CY394">
        <v>7</v>
      </c>
      <c r="CZ394" t="s">
        <v>133</v>
      </c>
      <c r="DA394">
        <v>125</v>
      </c>
      <c r="DB394">
        <v>1</v>
      </c>
      <c r="DC394" t="s">
        <v>134</v>
      </c>
      <c r="DD394" t="s">
        <v>135</v>
      </c>
      <c r="DG394">
        <v>2543281</v>
      </c>
      <c r="DI394">
        <v>0</v>
      </c>
      <c r="DJ394">
        <v>0</v>
      </c>
      <c r="DK394">
        <v>0</v>
      </c>
      <c r="DL394">
        <v>0</v>
      </c>
      <c r="DM394">
        <v>0</v>
      </c>
      <c r="DN394">
        <v>0</v>
      </c>
      <c r="DO394">
        <v>0</v>
      </c>
      <c r="DP394">
        <v>0</v>
      </c>
      <c r="DQ394">
        <v>0</v>
      </c>
      <c r="DR394">
        <v>0</v>
      </c>
      <c r="DS394">
        <v>0</v>
      </c>
    </row>
    <row r="395" spans="1:123" x14ac:dyDescent="0.25">
      <c r="A395" t="str">
        <f>"04/17/2026 15:39:14.119"</f>
        <v>04/17/2026 15:39:14.119</v>
      </c>
      <c r="C395" t="str">
        <f t="shared" si="33"/>
        <v>FFDFD3C0</v>
      </c>
      <c r="D395" t="s">
        <v>136</v>
      </c>
      <c r="E395" t="str">
        <f>"0E"</f>
        <v>0E</v>
      </c>
      <c r="F395">
        <v>1014</v>
      </c>
      <c r="G395" t="s">
        <v>125</v>
      </c>
      <c r="J395" t="s">
        <v>137</v>
      </c>
      <c r="K395">
        <v>0</v>
      </c>
      <c r="L395">
        <v>3</v>
      </c>
      <c r="M395">
        <v>0</v>
      </c>
      <c r="N395">
        <v>2</v>
      </c>
      <c r="O395">
        <v>1</v>
      </c>
      <c r="P395">
        <v>0</v>
      </c>
      <c r="Q395">
        <v>0</v>
      </c>
      <c r="R395" t="s">
        <v>127</v>
      </c>
      <c r="S395" t="str">
        <f>"15:39:13.828"</f>
        <v>15:39:13.828</v>
      </c>
      <c r="T395" t="str">
        <f>"15:39:13.628"</f>
        <v>15:39:13.628</v>
      </c>
      <c r="U395" t="str">
        <f t="shared" si="34"/>
        <v>A55E09</v>
      </c>
      <c r="V395">
        <v>0</v>
      </c>
      <c r="W395">
        <v>0</v>
      </c>
      <c r="X395">
        <v>2</v>
      </c>
      <c r="Y395">
        <v>0</v>
      </c>
      <c r="AA395">
        <v>0</v>
      </c>
      <c r="AB395">
        <v>9</v>
      </c>
      <c r="AC395">
        <v>3</v>
      </c>
      <c r="AD395">
        <v>0</v>
      </c>
      <c r="AE395">
        <v>9</v>
      </c>
      <c r="AF395" t="s">
        <v>128</v>
      </c>
      <c r="AG395">
        <v>0</v>
      </c>
      <c r="AH395">
        <v>0</v>
      </c>
      <c r="AI395">
        <v>1</v>
      </c>
      <c r="AJ395">
        <v>0</v>
      </c>
      <c r="AK395" t="s">
        <v>330</v>
      </c>
      <c r="AL395">
        <v>33.693823999999999</v>
      </c>
      <c r="AM395" t="s">
        <v>331</v>
      </c>
      <c r="AN395">
        <v>-101.209316</v>
      </c>
      <c r="AO395">
        <v>100</v>
      </c>
      <c r="AP395">
        <v>3300</v>
      </c>
      <c r="AQ395" t="s">
        <v>131</v>
      </c>
      <c r="AR395">
        <v>-20</v>
      </c>
      <c r="AS395">
        <v>85</v>
      </c>
      <c r="AT395">
        <v>-128</v>
      </c>
      <c r="BB395" t="str">
        <f t="shared" si="35"/>
        <v>1200</v>
      </c>
      <c r="BC395">
        <v>1</v>
      </c>
      <c r="BD395" t="str">
        <f t="shared" si="36"/>
        <v xml:space="preserve">N445JS  </v>
      </c>
      <c r="BE395">
        <v>7</v>
      </c>
      <c r="BG395">
        <v>0</v>
      </c>
      <c r="BH395">
        <v>0</v>
      </c>
      <c r="BI395">
        <v>0</v>
      </c>
      <c r="BJ395">
        <v>3075</v>
      </c>
      <c r="BK395">
        <v>-225</v>
      </c>
      <c r="BL395" t="s">
        <v>132</v>
      </c>
      <c r="BM395">
        <v>1</v>
      </c>
      <c r="BN395">
        <v>1</v>
      </c>
      <c r="BO395">
        <v>1</v>
      </c>
      <c r="BP395">
        <v>0</v>
      </c>
      <c r="BT395">
        <v>0</v>
      </c>
      <c r="BU395">
        <v>0</v>
      </c>
      <c r="CE395" t="str">
        <f>"15:39:13.833"</f>
        <v>15:39:13.833</v>
      </c>
      <c r="CF395">
        <v>833120721</v>
      </c>
      <c r="CS395">
        <v>0</v>
      </c>
      <c r="CT395">
        <v>2</v>
      </c>
      <c r="CU395">
        <v>0</v>
      </c>
      <c r="CV395">
        <v>2</v>
      </c>
      <c r="CW395">
        <v>0</v>
      </c>
      <c r="CX395">
        <v>7</v>
      </c>
      <c r="CY395">
        <v>7</v>
      </c>
      <c r="CZ395" t="s">
        <v>133</v>
      </c>
      <c r="DA395">
        <v>125</v>
      </c>
      <c r="DB395">
        <v>1</v>
      </c>
      <c r="DC395" t="s">
        <v>134</v>
      </c>
      <c r="DD395" t="s">
        <v>135</v>
      </c>
      <c r="DG395">
        <v>2543281</v>
      </c>
      <c r="DI395">
        <v>0</v>
      </c>
      <c r="DJ395">
        <v>0</v>
      </c>
      <c r="DK395">
        <v>1</v>
      </c>
      <c r="DL395">
        <v>0</v>
      </c>
      <c r="DM395">
        <v>0</v>
      </c>
      <c r="DN395">
        <v>0</v>
      </c>
      <c r="DO395">
        <v>0</v>
      </c>
      <c r="DP395">
        <v>0</v>
      </c>
      <c r="DQ395">
        <v>0</v>
      </c>
      <c r="DR395">
        <v>0</v>
      </c>
      <c r="DS395">
        <v>0</v>
      </c>
    </row>
    <row r="396" spans="1:123" x14ac:dyDescent="0.25">
      <c r="A396" t="str">
        <f>"04/17/2026 15:39:14.122"</f>
        <v>04/17/2026 15:39:14.122</v>
      </c>
      <c r="C396" t="str">
        <f t="shared" si="33"/>
        <v>FFDFD3C0</v>
      </c>
      <c r="D396" t="s">
        <v>136</v>
      </c>
      <c r="E396" t="str">
        <f>"0F"</f>
        <v>0F</v>
      </c>
      <c r="F396">
        <v>1015</v>
      </c>
      <c r="G396" t="s">
        <v>138</v>
      </c>
      <c r="J396" t="s">
        <v>137</v>
      </c>
      <c r="K396">
        <v>0</v>
      </c>
      <c r="L396">
        <v>3</v>
      </c>
      <c r="M396">
        <v>0</v>
      </c>
      <c r="N396">
        <v>2</v>
      </c>
      <c r="O396">
        <v>1</v>
      </c>
      <c r="P396">
        <v>0</v>
      </c>
      <c r="Q396">
        <v>0</v>
      </c>
      <c r="R396" t="s">
        <v>127</v>
      </c>
      <c r="S396" t="str">
        <f>"15:39:13.828"</f>
        <v>15:39:13.828</v>
      </c>
      <c r="T396" t="str">
        <f>"15:39:13.628"</f>
        <v>15:39:13.628</v>
      </c>
      <c r="U396" t="str">
        <f t="shared" si="34"/>
        <v>A55E09</v>
      </c>
      <c r="V396">
        <v>0</v>
      </c>
      <c r="W396">
        <v>0</v>
      </c>
      <c r="X396">
        <v>2</v>
      </c>
      <c r="Y396">
        <v>0</v>
      </c>
      <c r="AA396">
        <v>0</v>
      </c>
      <c r="AB396">
        <v>9</v>
      </c>
      <c r="AC396">
        <v>3</v>
      </c>
      <c r="AD396">
        <v>0</v>
      </c>
      <c r="AE396">
        <v>9</v>
      </c>
      <c r="AF396" t="s">
        <v>128</v>
      </c>
      <c r="AG396">
        <v>0</v>
      </c>
      <c r="AH396">
        <v>0</v>
      </c>
      <c r="AI396">
        <v>1</v>
      </c>
      <c r="AJ396">
        <v>0</v>
      </c>
      <c r="AK396" t="s">
        <v>330</v>
      </c>
      <c r="AL396">
        <v>33.693823999999999</v>
      </c>
      <c r="AM396" t="s">
        <v>331</v>
      </c>
      <c r="AN396">
        <v>-101.209316</v>
      </c>
      <c r="AO396">
        <v>100</v>
      </c>
      <c r="AP396">
        <v>3300</v>
      </c>
      <c r="AQ396" t="s">
        <v>131</v>
      </c>
      <c r="AR396">
        <v>-20</v>
      </c>
      <c r="AS396">
        <v>85</v>
      </c>
      <c r="AT396">
        <v>-128</v>
      </c>
      <c r="BB396" t="str">
        <f t="shared" si="35"/>
        <v>1200</v>
      </c>
      <c r="BC396">
        <v>1</v>
      </c>
      <c r="BD396" t="str">
        <f t="shared" si="36"/>
        <v xml:space="preserve">N445JS  </v>
      </c>
      <c r="BE396">
        <v>7</v>
      </c>
      <c r="BG396">
        <v>0</v>
      </c>
      <c r="BH396">
        <v>0</v>
      </c>
      <c r="BI396">
        <v>0</v>
      </c>
      <c r="BJ396">
        <v>3075</v>
      </c>
      <c r="BK396">
        <v>-225</v>
      </c>
      <c r="BL396" t="s">
        <v>132</v>
      </c>
      <c r="BM396">
        <v>1</v>
      </c>
      <c r="BN396">
        <v>1</v>
      </c>
      <c r="BO396">
        <v>1</v>
      </c>
      <c r="BP396">
        <v>0</v>
      </c>
      <c r="BT396">
        <v>0</v>
      </c>
      <c r="BU396">
        <v>0</v>
      </c>
      <c r="CE396" t="str">
        <f>"15:39:13.833"</f>
        <v>15:39:13.833</v>
      </c>
      <c r="CF396">
        <v>833120721</v>
      </c>
      <c r="CS396">
        <v>0</v>
      </c>
      <c r="CT396">
        <v>2</v>
      </c>
      <c r="CU396">
        <v>0</v>
      </c>
      <c r="CV396">
        <v>2</v>
      </c>
      <c r="CW396">
        <v>0</v>
      </c>
      <c r="CX396">
        <v>7</v>
      </c>
      <c r="CY396">
        <v>7</v>
      </c>
      <c r="CZ396" t="s">
        <v>133</v>
      </c>
      <c r="DA396">
        <v>125</v>
      </c>
      <c r="DB396">
        <v>1</v>
      </c>
      <c r="DC396" t="s">
        <v>134</v>
      </c>
      <c r="DD396" t="s">
        <v>135</v>
      </c>
      <c r="DG396">
        <v>2543281</v>
      </c>
      <c r="DI396">
        <v>0</v>
      </c>
      <c r="DJ396">
        <v>0</v>
      </c>
      <c r="DK396">
        <v>1</v>
      </c>
      <c r="DL396">
        <v>0</v>
      </c>
      <c r="DM396">
        <v>0</v>
      </c>
      <c r="DN396">
        <v>0</v>
      </c>
      <c r="DO396">
        <v>0</v>
      </c>
      <c r="DP396">
        <v>0</v>
      </c>
      <c r="DQ396">
        <v>0</v>
      </c>
      <c r="DR396">
        <v>0</v>
      </c>
      <c r="DS396">
        <v>0</v>
      </c>
    </row>
    <row r="397" spans="1:123" x14ac:dyDescent="0.25">
      <c r="A397" t="str">
        <f>"04/17/2026 15:39:14.133"</f>
        <v>04/17/2026 15:39:14.133</v>
      </c>
      <c r="C397" t="str">
        <f t="shared" si="33"/>
        <v>FFDFD3C0</v>
      </c>
      <c r="D397" t="s">
        <v>124</v>
      </c>
      <c r="E397" t="str">
        <f>"03"</f>
        <v>03</v>
      </c>
      <c r="H397">
        <v>160</v>
      </c>
      <c r="I397" t="s">
        <v>125</v>
      </c>
      <c r="J397" t="s">
        <v>126</v>
      </c>
      <c r="K397">
        <v>0</v>
      </c>
      <c r="L397">
        <v>3</v>
      </c>
      <c r="M397">
        <v>0</v>
      </c>
      <c r="N397">
        <v>2</v>
      </c>
      <c r="O397">
        <v>1</v>
      </c>
      <c r="P397">
        <v>0</v>
      </c>
      <c r="Q397">
        <v>0</v>
      </c>
      <c r="R397" t="s">
        <v>127</v>
      </c>
      <c r="S397" t="str">
        <f>"15:39:13.828"</f>
        <v>15:39:13.828</v>
      </c>
      <c r="T397" t="str">
        <f>"15:39:13.628"</f>
        <v>15:39:13.628</v>
      </c>
      <c r="U397" t="str">
        <f t="shared" si="34"/>
        <v>A55E09</v>
      </c>
      <c r="V397">
        <v>0</v>
      </c>
      <c r="W397">
        <v>0</v>
      </c>
      <c r="X397">
        <v>2</v>
      </c>
      <c r="Y397">
        <v>0</v>
      </c>
      <c r="AA397">
        <v>0</v>
      </c>
      <c r="AB397">
        <v>9</v>
      </c>
      <c r="AC397">
        <v>3</v>
      </c>
      <c r="AD397">
        <v>0</v>
      </c>
      <c r="AE397">
        <v>9</v>
      </c>
      <c r="AF397" t="s">
        <v>128</v>
      </c>
      <c r="AG397">
        <v>0</v>
      </c>
      <c r="AH397">
        <v>0</v>
      </c>
      <c r="AI397">
        <v>1</v>
      </c>
      <c r="AJ397">
        <v>0</v>
      </c>
      <c r="AK397" t="s">
        <v>330</v>
      </c>
      <c r="AL397">
        <v>33.693823999999999</v>
      </c>
      <c r="AM397" t="s">
        <v>331</v>
      </c>
      <c r="AN397">
        <v>-101.209316</v>
      </c>
      <c r="AO397">
        <v>100</v>
      </c>
      <c r="AP397">
        <v>3300</v>
      </c>
      <c r="AQ397" t="s">
        <v>131</v>
      </c>
      <c r="AR397">
        <v>-20</v>
      </c>
      <c r="AS397">
        <v>85</v>
      </c>
      <c r="AT397">
        <v>-128</v>
      </c>
      <c r="BB397" t="str">
        <f t="shared" si="35"/>
        <v>1200</v>
      </c>
      <c r="BC397">
        <v>1</v>
      </c>
      <c r="BD397" t="str">
        <f t="shared" si="36"/>
        <v xml:space="preserve">N445JS  </v>
      </c>
      <c r="BE397">
        <v>7</v>
      </c>
      <c r="BG397">
        <v>0</v>
      </c>
      <c r="BH397">
        <v>0</v>
      </c>
      <c r="BI397">
        <v>0</v>
      </c>
      <c r="BJ397">
        <v>3075</v>
      </c>
      <c r="BK397">
        <v>-225</v>
      </c>
      <c r="BL397" t="s">
        <v>132</v>
      </c>
      <c r="BM397">
        <v>1</v>
      </c>
      <c r="BN397">
        <v>1</v>
      </c>
      <c r="BO397">
        <v>1</v>
      </c>
      <c r="BP397">
        <v>0</v>
      </c>
      <c r="BT397">
        <v>0</v>
      </c>
      <c r="BU397">
        <v>0</v>
      </c>
      <c r="CE397" t="str">
        <f>"15:39:13.833"</f>
        <v>15:39:13.833</v>
      </c>
      <c r="CF397">
        <v>833120721</v>
      </c>
      <c r="CS397">
        <v>0</v>
      </c>
      <c r="CT397">
        <v>2</v>
      </c>
      <c r="CU397">
        <v>0</v>
      </c>
      <c r="CV397">
        <v>2</v>
      </c>
      <c r="CW397">
        <v>0</v>
      </c>
      <c r="CX397">
        <v>7</v>
      </c>
      <c r="CY397">
        <v>7</v>
      </c>
      <c r="CZ397" t="s">
        <v>133</v>
      </c>
      <c r="DA397">
        <v>125</v>
      </c>
      <c r="DB397">
        <v>1</v>
      </c>
      <c r="DC397" t="s">
        <v>134</v>
      </c>
      <c r="DD397" t="s">
        <v>135</v>
      </c>
      <c r="DG397">
        <v>2543281</v>
      </c>
      <c r="DI397">
        <v>0</v>
      </c>
      <c r="DJ397">
        <v>0</v>
      </c>
      <c r="DK397">
        <v>1</v>
      </c>
      <c r="DL397">
        <v>0</v>
      </c>
      <c r="DM397">
        <v>0</v>
      </c>
      <c r="DN397">
        <v>0</v>
      </c>
      <c r="DO397">
        <v>0</v>
      </c>
      <c r="DP397">
        <v>0</v>
      </c>
      <c r="DQ397">
        <v>0</v>
      </c>
      <c r="DR397">
        <v>0</v>
      </c>
      <c r="DS397">
        <v>0</v>
      </c>
    </row>
    <row r="398" spans="1:123" x14ac:dyDescent="0.25">
      <c r="A398" t="str">
        <f>"04/17/2026 15:39:14.960"</f>
        <v>04/17/2026 15:39:14.960</v>
      </c>
      <c r="C398" t="str">
        <f t="shared" si="33"/>
        <v>FFDFD3C0</v>
      </c>
      <c r="D398" t="s">
        <v>139</v>
      </c>
      <c r="E398" t="str">
        <f>"28"</f>
        <v>28</v>
      </c>
      <c r="H398">
        <v>140</v>
      </c>
      <c r="I398" t="s">
        <v>140</v>
      </c>
      <c r="J398" t="s">
        <v>141</v>
      </c>
      <c r="K398">
        <v>0</v>
      </c>
      <c r="L398">
        <v>3</v>
      </c>
      <c r="M398">
        <v>0</v>
      </c>
      <c r="N398">
        <v>2</v>
      </c>
      <c r="O398">
        <v>1</v>
      </c>
      <c r="P398">
        <v>0</v>
      </c>
      <c r="Q398">
        <v>0</v>
      </c>
      <c r="R398" t="s">
        <v>127</v>
      </c>
      <c r="S398" t="str">
        <f>"15:39:14.727"</f>
        <v>15:39:14.727</v>
      </c>
      <c r="T398" t="str">
        <f>"15:39:14.627"</f>
        <v>15:39:14.627</v>
      </c>
      <c r="U398" t="str">
        <f t="shared" si="34"/>
        <v>A55E09</v>
      </c>
      <c r="V398">
        <v>0</v>
      </c>
      <c r="W398">
        <v>0</v>
      </c>
      <c r="X398">
        <v>2</v>
      </c>
      <c r="Y398">
        <v>0</v>
      </c>
      <c r="AA398">
        <v>0</v>
      </c>
      <c r="AB398">
        <v>9</v>
      </c>
      <c r="AC398">
        <v>3</v>
      </c>
      <c r="AD398">
        <v>0</v>
      </c>
      <c r="AE398">
        <v>9</v>
      </c>
      <c r="AF398" t="s">
        <v>128</v>
      </c>
      <c r="AG398">
        <v>0</v>
      </c>
      <c r="AH398">
        <v>0</v>
      </c>
      <c r="AI398">
        <v>1</v>
      </c>
      <c r="AJ398">
        <v>0</v>
      </c>
      <c r="AK398" t="s">
        <v>332</v>
      </c>
      <c r="AL398">
        <v>33.694189000000001</v>
      </c>
      <c r="AM398" t="s">
        <v>333</v>
      </c>
      <c r="AN398">
        <v>-101.20935900000001</v>
      </c>
      <c r="AO398">
        <v>100</v>
      </c>
      <c r="AP398">
        <v>3300</v>
      </c>
      <c r="AQ398" t="s">
        <v>131</v>
      </c>
      <c r="AR398">
        <v>-20</v>
      </c>
      <c r="AS398">
        <v>85</v>
      </c>
      <c r="AT398">
        <v>-128</v>
      </c>
      <c r="BB398" t="str">
        <f t="shared" si="35"/>
        <v>1200</v>
      </c>
      <c r="BC398">
        <v>1</v>
      </c>
      <c r="BD398" t="str">
        <f t="shared" si="36"/>
        <v xml:space="preserve">N445JS  </v>
      </c>
      <c r="BE398">
        <v>7</v>
      </c>
      <c r="BG398">
        <v>0</v>
      </c>
      <c r="BH398">
        <v>0</v>
      </c>
      <c r="BI398">
        <v>0</v>
      </c>
      <c r="BJ398">
        <v>3100</v>
      </c>
      <c r="BK398">
        <v>-200</v>
      </c>
      <c r="BL398" t="s">
        <v>132</v>
      </c>
      <c r="BM398">
        <v>1</v>
      </c>
      <c r="BN398">
        <v>1</v>
      </c>
      <c r="BO398">
        <v>1</v>
      </c>
      <c r="BP398">
        <v>0</v>
      </c>
      <c r="BT398">
        <v>0</v>
      </c>
      <c r="BU398">
        <v>0</v>
      </c>
      <c r="CE398" t="str">
        <f>"15:39:14.733"</f>
        <v>15:39:14.733</v>
      </c>
      <c r="CF398">
        <v>733032490</v>
      </c>
      <c r="CS398">
        <v>0</v>
      </c>
      <c r="CT398">
        <v>2</v>
      </c>
      <c r="CU398">
        <v>0</v>
      </c>
      <c r="CV398">
        <v>2</v>
      </c>
      <c r="CW398">
        <v>0</v>
      </c>
      <c r="CX398">
        <v>7</v>
      </c>
      <c r="CY398">
        <v>7</v>
      </c>
      <c r="CZ398" t="s">
        <v>133</v>
      </c>
      <c r="DA398">
        <v>125</v>
      </c>
      <c r="DB398">
        <v>1</v>
      </c>
      <c r="DC398" t="s">
        <v>134</v>
      </c>
      <c r="DD398" t="s">
        <v>135</v>
      </c>
      <c r="DG398">
        <v>2544218</v>
      </c>
      <c r="DI398">
        <v>0</v>
      </c>
      <c r="DJ398">
        <v>0</v>
      </c>
      <c r="DK398">
        <v>0</v>
      </c>
      <c r="DL398">
        <v>0</v>
      </c>
      <c r="DM398">
        <v>0</v>
      </c>
      <c r="DN398">
        <v>0</v>
      </c>
      <c r="DO398">
        <v>0</v>
      </c>
      <c r="DP398">
        <v>0</v>
      </c>
      <c r="DQ398">
        <v>0</v>
      </c>
      <c r="DR398">
        <v>0</v>
      </c>
      <c r="DS398">
        <v>0</v>
      </c>
    </row>
    <row r="399" spans="1:123" x14ac:dyDescent="0.25">
      <c r="A399" t="str">
        <f>"04/17/2026 15:39:14.971"</f>
        <v>04/17/2026 15:39:14.971</v>
      </c>
      <c r="C399" t="str">
        <f t="shared" si="33"/>
        <v>FFDFD3C0</v>
      </c>
      <c r="D399" t="s">
        <v>136</v>
      </c>
      <c r="E399" t="str">
        <f>"0E"</f>
        <v>0E</v>
      </c>
      <c r="F399">
        <v>1014</v>
      </c>
      <c r="G399" t="s">
        <v>125</v>
      </c>
      <c r="J399" t="s">
        <v>137</v>
      </c>
      <c r="K399">
        <v>0</v>
      </c>
      <c r="L399">
        <v>3</v>
      </c>
      <c r="M399">
        <v>0</v>
      </c>
      <c r="N399">
        <v>2</v>
      </c>
      <c r="O399">
        <v>1</v>
      </c>
      <c r="P399">
        <v>0</v>
      </c>
      <c r="Q399">
        <v>0</v>
      </c>
      <c r="R399" t="s">
        <v>127</v>
      </c>
      <c r="S399" t="str">
        <f>"15:39:14.727"</f>
        <v>15:39:14.727</v>
      </c>
      <c r="T399" t="str">
        <f>"15:39:14.627"</f>
        <v>15:39:14.627</v>
      </c>
      <c r="U399" t="str">
        <f t="shared" si="34"/>
        <v>A55E09</v>
      </c>
      <c r="V399">
        <v>0</v>
      </c>
      <c r="W399">
        <v>0</v>
      </c>
      <c r="X399">
        <v>2</v>
      </c>
      <c r="Y399">
        <v>0</v>
      </c>
      <c r="AA399">
        <v>0</v>
      </c>
      <c r="AB399">
        <v>9</v>
      </c>
      <c r="AC399">
        <v>3</v>
      </c>
      <c r="AD399">
        <v>0</v>
      </c>
      <c r="AE399">
        <v>9</v>
      </c>
      <c r="AF399" t="s">
        <v>128</v>
      </c>
      <c r="AG399">
        <v>0</v>
      </c>
      <c r="AH399">
        <v>0</v>
      </c>
      <c r="AI399">
        <v>1</v>
      </c>
      <c r="AJ399">
        <v>0</v>
      </c>
      <c r="AK399" t="s">
        <v>332</v>
      </c>
      <c r="AL399">
        <v>33.694189000000001</v>
      </c>
      <c r="AM399" t="s">
        <v>333</v>
      </c>
      <c r="AN399">
        <v>-101.20935900000001</v>
      </c>
      <c r="AO399">
        <v>100</v>
      </c>
      <c r="AP399">
        <v>3300</v>
      </c>
      <c r="AQ399" t="s">
        <v>131</v>
      </c>
      <c r="AR399">
        <v>-20</v>
      </c>
      <c r="AS399">
        <v>85</v>
      </c>
      <c r="AT399">
        <v>-128</v>
      </c>
      <c r="BB399" t="str">
        <f t="shared" si="35"/>
        <v>1200</v>
      </c>
      <c r="BC399">
        <v>1</v>
      </c>
      <c r="BD399" t="str">
        <f t="shared" si="36"/>
        <v xml:space="preserve">N445JS  </v>
      </c>
      <c r="BE399">
        <v>7</v>
      </c>
      <c r="BG399">
        <v>0</v>
      </c>
      <c r="BH399">
        <v>0</v>
      </c>
      <c r="BI399">
        <v>0</v>
      </c>
      <c r="BJ399">
        <v>3100</v>
      </c>
      <c r="BK399">
        <v>-200</v>
      </c>
      <c r="BL399" t="s">
        <v>132</v>
      </c>
      <c r="BM399">
        <v>1</v>
      </c>
      <c r="BN399">
        <v>1</v>
      </c>
      <c r="BO399">
        <v>1</v>
      </c>
      <c r="BP399">
        <v>0</v>
      </c>
      <c r="BT399">
        <v>0</v>
      </c>
      <c r="BU399">
        <v>0</v>
      </c>
      <c r="CE399" t="str">
        <f>"15:39:14.733"</f>
        <v>15:39:14.733</v>
      </c>
      <c r="CF399">
        <v>733032490</v>
      </c>
      <c r="CS399">
        <v>0</v>
      </c>
      <c r="CT399">
        <v>2</v>
      </c>
      <c r="CU399">
        <v>0</v>
      </c>
      <c r="CV399">
        <v>2</v>
      </c>
      <c r="CW399">
        <v>0</v>
      </c>
      <c r="CX399">
        <v>7</v>
      </c>
      <c r="CY399">
        <v>7</v>
      </c>
      <c r="CZ399" t="s">
        <v>133</v>
      </c>
      <c r="DA399">
        <v>125</v>
      </c>
      <c r="DB399">
        <v>1</v>
      </c>
      <c r="DC399" t="s">
        <v>134</v>
      </c>
      <c r="DD399" t="s">
        <v>135</v>
      </c>
      <c r="DG399">
        <v>2544218</v>
      </c>
      <c r="DI399">
        <v>0</v>
      </c>
      <c r="DJ399">
        <v>0</v>
      </c>
      <c r="DK399">
        <v>1</v>
      </c>
      <c r="DL399">
        <v>0</v>
      </c>
      <c r="DM399">
        <v>0</v>
      </c>
      <c r="DN399">
        <v>0</v>
      </c>
      <c r="DO399">
        <v>0</v>
      </c>
      <c r="DP399">
        <v>0</v>
      </c>
      <c r="DQ399">
        <v>0</v>
      </c>
      <c r="DR399">
        <v>0</v>
      </c>
      <c r="DS399">
        <v>0</v>
      </c>
    </row>
    <row r="400" spans="1:123" x14ac:dyDescent="0.25">
      <c r="A400" t="str">
        <f>"04/17/2026 15:39:14.973"</f>
        <v>04/17/2026 15:39:14.973</v>
      </c>
      <c r="C400" t="str">
        <f t="shared" si="33"/>
        <v>FFDFD3C0</v>
      </c>
      <c r="D400" t="s">
        <v>136</v>
      </c>
      <c r="E400" t="str">
        <f>"0F"</f>
        <v>0F</v>
      </c>
      <c r="F400">
        <v>1015</v>
      </c>
      <c r="G400" t="s">
        <v>138</v>
      </c>
      <c r="J400" t="s">
        <v>137</v>
      </c>
      <c r="K400">
        <v>0</v>
      </c>
      <c r="L400">
        <v>3</v>
      </c>
      <c r="M400">
        <v>0</v>
      </c>
      <c r="N400">
        <v>2</v>
      </c>
      <c r="O400">
        <v>1</v>
      </c>
      <c r="P400">
        <v>0</v>
      </c>
      <c r="Q400">
        <v>0</v>
      </c>
      <c r="R400" t="s">
        <v>127</v>
      </c>
      <c r="S400" t="str">
        <f>"15:39:14.727"</f>
        <v>15:39:14.727</v>
      </c>
      <c r="T400" t="str">
        <f>"15:39:14.627"</f>
        <v>15:39:14.627</v>
      </c>
      <c r="U400" t="str">
        <f t="shared" si="34"/>
        <v>A55E09</v>
      </c>
      <c r="V400">
        <v>0</v>
      </c>
      <c r="W400">
        <v>0</v>
      </c>
      <c r="X400">
        <v>2</v>
      </c>
      <c r="Y400">
        <v>0</v>
      </c>
      <c r="AA400">
        <v>0</v>
      </c>
      <c r="AB400">
        <v>9</v>
      </c>
      <c r="AC400">
        <v>3</v>
      </c>
      <c r="AD400">
        <v>0</v>
      </c>
      <c r="AE400">
        <v>9</v>
      </c>
      <c r="AF400" t="s">
        <v>128</v>
      </c>
      <c r="AG400">
        <v>0</v>
      </c>
      <c r="AH400">
        <v>0</v>
      </c>
      <c r="AI400">
        <v>1</v>
      </c>
      <c r="AJ400">
        <v>0</v>
      </c>
      <c r="AK400" t="s">
        <v>332</v>
      </c>
      <c r="AL400">
        <v>33.694189000000001</v>
      </c>
      <c r="AM400" t="s">
        <v>333</v>
      </c>
      <c r="AN400">
        <v>-101.20935900000001</v>
      </c>
      <c r="AO400">
        <v>100</v>
      </c>
      <c r="AP400">
        <v>3300</v>
      </c>
      <c r="AQ400" t="s">
        <v>131</v>
      </c>
      <c r="AR400">
        <v>-20</v>
      </c>
      <c r="AS400">
        <v>85</v>
      </c>
      <c r="AT400">
        <v>-128</v>
      </c>
      <c r="BB400" t="str">
        <f t="shared" si="35"/>
        <v>1200</v>
      </c>
      <c r="BC400">
        <v>1</v>
      </c>
      <c r="BD400" t="str">
        <f t="shared" si="36"/>
        <v xml:space="preserve">N445JS  </v>
      </c>
      <c r="BE400">
        <v>7</v>
      </c>
      <c r="BG400">
        <v>0</v>
      </c>
      <c r="BH400">
        <v>0</v>
      </c>
      <c r="BI400">
        <v>0</v>
      </c>
      <c r="BJ400">
        <v>3100</v>
      </c>
      <c r="BK400">
        <v>-200</v>
      </c>
      <c r="BL400" t="s">
        <v>132</v>
      </c>
      <c r="BM400">
        <v>1</v>
      </c>
      <c r="BN400">
        <v>1</v>
      </c>
      <c r="BO400">
        <v>1</v>
      </c>
      <c r="BP400">
        <v>0</v>
      </c>
      <c r="BT400">
        <v>0</v>
      </c>
      <c r="BU400">
        <v>0</v>
      </c>
      <c r="CE400" t="str">
        <f>"15:39:14.733"</f>
        <v>15:39:14.733</v>
      </c>
      <c r="CF400">
        <v>733032490</v>
      </c>
      <c r="CS400">
        <v>0</v>
      </c>
      <c r="CT400">
        <v>2</v>
      </c>
      <c r="CU400">
        <v>0</v>
      </c>
      <c r="CV400">
        <v>2</v>
      </c>
      <c r="CW400">
        <v>0</v>
      </c>
      <c r="CX400">
        <v>7</v>
      </c>
      <c r="CY400">
        <v>7</v>
      </c>
      <c r="CZ400" t="s">
        <v>133</v>
      </c>
      <c r="DA400">
        <v>125</v>
      </c>
      <c r="DB400">
        <v>1</v>
      </c>
      <c r="DC400" t="s">
        <v>134</v>
      </c>
      <c r="DD400" t="s">
        <v>135</v>
      </c>
      <c r="DG400">
        <v>2544218</v>
      </c>
      <c r="DI400">
        <v>0</v>
      </c>
      <c r="DJ400">
        <v>0</v>
      </c>
      <c r="DK400">
        <v>1</v>
      </c>
      <c r="DL400">
        <v>0</v>
      </c>
      <c r="DM400">
        <v>0</v>
      </c>
      <c r="DN400">
        <v>0</v>
      </c>
      <c r="DO400">
        <v>0</v>
      </c>
      <c r="DP400">
        <v>0</v>
      </c>
      <c r="DQ400">
        <v>0</v>
      </c>
      <c r="DR400">
        <v>0</v>
      </c>
      <c r="DS400">
        <v>0</v>
      </c>
    </row>
    <row r="401" spans="1:123" x14ac:dyDescent="0.25">
      <c r="A401" t="str">
        <f>"04/17/2026 15:39:14.984"</f>
        <v>04/17/2026 15:39:14.984</v>
      </c>
      <c r="C401" t="str">
        <f t="shared" si="33"/>
        <v>FFDFD3C0</v>
      </c>
      <c r="D401" t="s">
        <v>124</v>
      </c>
      <c r="E401" t="str">
        <f>"03"</f>
        <v>03</v>
      </c>
      <c r="H401">
        <v>160</v>
      </c>
      <c r="I401" t="s">
        <v>125</v>
      </c>
      <c r="J401" t="s">
        <v>126</v>
      </c>
      <c r="K401">
        <v>0</v>
      </c>
      <c r="L401">
        <v>3</v>
      </c>
      <c r="M401">
        <v>0</v>
      </c>
      <c r="N401">
        <v>2</v>
      </c>
      <c r="O401">
        <v>1</v>
      </c>
      <c r="P401">
        <v>0</v>
      </c>
      <c r="Q401">
        <v>0</v>
      </c>
      <c r="R401" t="s">
        <v>127</v>
      </c>
      <c r="S401" t="str">
        <f>"15:39:14.727"</f>
        <v>15:39:14.727</v>
      </c>
      <c r="T401" t="str">
        <f>"15:39:14.627"</f>
        <v>15:39:14.627</v>
      </c>
      <c r="U401" t="str">
        <f t="shared" si="34"/>
        <v>A55E09</v>
      </c>
      <c r="V401">
        <v>0</v>
      </c>
      <c r="W401">
        <v>0</v>
      </c>
      <c r="X401">
        <v>2</v>
      </c>
      <c r="Y401">
        <v>0</v>
      </c>
      <c r="AA401">
        <v>0</v>
      </c>
      <c r="AB401">
        <v>9</v>
      </c>
      <c r="AC401">
        <v>3</v>
      </c>
      <c r="AD401">
        <v>0</v>
      </c>
      <c r="AE401">
        <v>9</v>
      </c>
      <c r="AF401" t="s">
        <v>128</v>
      </c>
      <c r="AG401">
        <v>0</v>
      </c>
      <c r="AH401">
        <v>0</v>
      </c>
      <c r="AI401">
        <v>1</v>
      </c>
      <c r="AJ401">
        <v>0</v>
      </c>
      <c r="AK401" t="s">
        <v>332</v>
      </c>
      <c r="AL401">
        <v>33.694189000000001</v>
      </c>
      <c r="AM401" t="s">
        <v>333</v>
      </c>
      <c r="AN401">
        <v>-101.20935900000001</v>
      </c>
      <c r="AO401">
        <v>100</v>
      </c>
      <c r="AP401">
        <v>3300</v>
      </c>
      <c r="AQ401" t="s">
        <v>131</v>
      </c>
      <c r="AR401">
        <v>-20</v>
      </c>
      <c r="AS401">
        <v>85</v>
      </c>
      <c r="AT401">
        <v>-128</v>
      </c>
      <c r="BB401" t="str">
        <f t="shared" si="35"/>
        <v>1200</v>
      </c>
      <c r="BC401">
        <v>1</v>
      </c>
      <c r="BD401" t="str">
        <f t="shared" si="36"/>
        <v xml:space="preserve">N445JS  </v>
      </c>
      <c r="BE401">
        <v>7</v>
      </c>
      <c r="BG401">
        <v>0</v>
      </c>
      <c r="BH401">
        <v>0</v>
      </c>
      <c r="BI401">
        <v>0</v>
      </c>
      <c r="BJ401">
        <v>3100</v>
      </c>
      <c r="BK401">
        <v>-200</v>
      </c>
      <c r="BL401" t="s">
        <v>132</v>
      </c>
      <c r="BM401">
        <v>1</v>
      </c>
      <c r="BN401">
        <v>1</v>
      </c>
      <c r="BO401">
        <v>1</v>
      </c>
      <c r="BP401">
        <v>0</v>
      </c>
      <c r="BT401">
        <v>0</v>
      </c>
      <c r="BU401">
        <v>0</v>
      </c>
      <c r="CE401" t="str">
        <f>"15:39:14.733"</f>
        <v>15:39:14.733</v>
      </c>
      <c r="CF401">
        <v>733032490</v>
      </c>
      <c r="CS401">
        <v>0</v>
      </c>
      <c r="CT401">
        <v>2</v>
      </c>
      <c r="CU401">
        <v>0</v>
      </c>
      <c r="CV401">
        <v>2</v>
      </c>
      <c r="CW401">
        <v>0</v>
      </c>
      <c r="CX401">
        <v>7</v>
      </c>
      <c r="CY401">
        <v>7</v>
      </c>
      <c r="CZ401" t="s">
        <v>133</v>
      </c>
      <c r="DA401">
        <v>125</v>
      </c>
      <c r="DB401">
        <v>1</v>
      </c>
      <c r="DC401" t="s">
        <v>134</v>
      </c>
      <c r="DD401" t="s">
        <v>135</v>
      </c>
      <c r="DG401">
        <v>2544218</v>
      </c>
      <c r="DI401">
        <v>0</v>
      </c>
      <c r="DJ401">
        <v>0</v>
      </c>
      <c r="DK401">
        <v>1</v>
      </c>
      <c r="DL401">
        <v>0</v>
      </c>
      <c r="DM401">
        <v>0</v>
      </c>
      <c r="DN401">
        <v>0</v>
      </c>
      <c r="DO401">
        <v>0</v>
      </c>
      <c r="DP401">
        <v>0</v>
      </c>
      <c r="DQ401">
        <v>0</v>
      </c>
      <c r="DR401">
        <v>0</v>
      </c>
      <c r="DS401">
        <v>0</v>
      </c>
    </row>
    <row r="402" spans="1:123" x14ac:dyDescent="0.25">
      <c r="A402" t="str">
        <f>"04/17/2026 15:39:16.036"</f>
        <v>04/17/2026 15:39:16.036</v>
      </c>
      <c r="C402" t="str">
        <f t="shared" si="33"/>
        <v>FFDFD3C0</v>
      </c>
      <c r="D402" t="s">
        <v>124</v>
      </c>
      <c r="E402" t="str">
        <f>"03"</f>
        <v>03</v>
      </c>
      <c r="H402">
        <v>160</v>
      </c>
      <c r="I402" t="s">
        <v>125</v>
      </c>
      <c r="J402" t="s">
        <v>126</v>
      </c>
      <c r="K402">
        <v>0</v>
      </c>
      <c r="L402">
        <v>3</v>
      </c>
      <c r="M402">
        <v>0</v>
      </c>
      <c r="N402">
        <v>2</v>
      </c>
      <c r="O402">
        <v>1</v>
      </c>
      <c r="P402">
        <v>0</v>
      </c>
      <c r="Q402">
        <v>0</v>
      </c>
      <c r="R402" t="s">
        <v>127</v>
      </c>
      <c r="S402" t="str">
        <f>"15:39:15.766"</f>
        <v>15:39:15.766</v>
      </c>
      <c r="T402" t="str">
        <f>"15:39:15.666"</f>
        <v>15:39:15.666</v>
      </c>
      <c r="U402" t="str">
        <f t="shared" si="34"/>
        <v>A55E09</v>
      </c>
      <c r="V402">
        <v>0</v>
      </c>
      <c r="W402">
        <v>0</v>
      </c>
      <c r="X402">
        <v>2</v>
      </c>
      <c r="Y402">
        <v>0</v>
      </c>
      <c r="AA402">
        <v>0</v>
      </c>
      <c r="AB402">
        <v>9</v>
      </c>
      <c r="AC402">
        <v>3</v>
      </c>
      <c r="AD402">
        <v>0</v>
      </c>
      <c r="AE402">
        <v>9</v>
      </c>
      <c r="AF402" t="s">
        <v>128</v>
      </c>
      <c r="AG402">
        <v>0</v>
      </c>
      <c r="AH402">
        <v>0</v>
      </c>
      <c r="AI402">
        <v>1</v>
      </c>
      <c r="AJ402">
        <v>0</v>
      </c>
      <c r="AK402" t="s">
        <v>334</v>
      </c>
      <c r="AL402">
        <v>33.694617999999998</v>
      </c>
      <c r="AM402" t="s">
        <v>335</v>
      </c>
      <c r="AN402">
        <v>-101.20946600000001</v>
      </c>
      <c r="AO402">
        <v>100</v>
      </c>
      <c r="AP402">
        <v>3300</v>
      </c>
      <c r="AQ402" t="s">
        <v>131</v>
      </c>
      <c r="AR402">
        <v>-20</v>
      </c>
      <c r="AS402">
        <v>85</v>
      </c>
      <c r="AT402">
        <v>-128</v>
      </c>
      <c r="BB402" t="str">
        <f t="shared" si="35"/>
        <v>1200</v>
      </c>
      <c r="BC402">
        <v>1</v>
      </c>
      <c r="BD402" t="str">
        <f t="shared" si="36"/>
        <v xml:space="preserve">N445JS  </v>
      </c>
      <c r="BE402">
        <v>7</v>
      </c>
      <c r="BG402">
        <v>0</v>
      </c>
      <c r="BH402">
        <v>0</v>
      </c>
      <c r="BI402">
        <v>0</v>
      </c>
      <c r="BJ402">
        <v>3075</v>
      </c>
      <c r="BK402">
        <v>-225</v>
      </c>
      <c r="BL402" t="s">
        <v>132</v>
      </c>
      <c r="BM402">
        <v>1</v>
      </c>
      <c r="BN402">
        <v>1</v>
      </c>
      <c r="BO402">
        <v>1</v>
      </c>
      <c r="BP402">
        <v>0</v>
      </c>
      <c r="BT402">
        <v>0</v>
      </c>
      <c r="BU402">
        <v>0</v>
      </c>
      <c r="CE402" t="str">
        <f>"15:39:15.768"</f>
        <v>15:39:15.768</v>
      </c>
      <c r="CF402">
        <v>767931054</v>
      </c>
      <c r="CS402">
        <v>0</v>
      </c>
      <c r="CT402">
        <v>2</v>
      </c>
      <c r="CU402">
        <v>0</v>
      </c>
      <c r="CV402">
        <v>2</v>
      </c>
      <c r="CW402">
        <v>0</v>
      </c>
      <c r="CX402">
        <v>7</v>
      </c>
      <c r="CY402">
        <v>7</v>
      </c>
      <c r="CZ402" t="s">
        <v>133</v>
      </c>
      <c r="DA402">
        <v>125</v>
      </c>
      <c r="DB402">
        <v>1</v>
      </c>
      <c r="DC402" t="s">
        <v>134</v>
      </c>
      <c r="DD402" t="s">
        <v>135</v>
      </c>
      <c r="DG402">
        <v>2545279</v>
      </c>
      <c r="DI402">
        <v>0</v>
      </c>
      <c r="DJ402">
        <v>0</v>
      </c>
      <c r="DK402">
        <v>0</v>
      </c>
      <c r="DL402">
        <v>0</v>
      </c>
      <c r="DM402">
        <v>0</v>
      </c>
      <c r="DN402">
        <v>0</v>
      </c>
      <c r="DO402">
        <v>0</v>
      </c>
      <c r="DP402">
        <v>0</v>
      </c>
      <c r="DQ402">
        <v>0</v>
      </c>
      <c r="DR402">
        <v>0</v>
      </c>
      <c r="DS402">
        <v>0</v>
      </c>
    </row>
    <row r="403" spans="1:123" x14ac:dyDescent="0.25">
      <c r="A403" t="str">
        <f>"04/17/2026 15:39:16.063"</f>
        <v>04/17/2026 15:39:16.063</v>
      </c>
      <c r="C403" t="str">
        <f t="shared" si="33"/>
        <v>FFDFD3C0</v>
      </c>
      <c r="D403" t="s">
        <v>139</v>
      </c>
      <c r="E403" t="str">
        <f>"28"</f>
        <v>28</v>
      </c>
      <c r="H403">
        <v>140</v>
      </c>
      <c r="I403" t="s">
        <v>140</v>
      </c>
      <c r="J403" t="s">
        <v>141</v>
      </c>
      <c r="K403">
        <v>0</v>
      </c>
      <c r="L403">
        <v>3</v>
      </c>
      <c r="M403">
        <v>0</v>
      </c>
      <c r="N403">
        <v>2</v>
      </c>
      <c r="O403">
        <v>1</v>
      </c>
      <c r="P403">
        <v>0</v>
      </c>
      <c r="Q403">
        <v>0</v>
      </c>
      <c r="R403" t="s">
        <v>127</v>
      </c>
      <c r="S403" t="str">
        <f>"15:39:15.766"</f>
        <v>15:39:15.766</v>
      </c>
      <c r="T403" t="str">
        <f>"15:39:15.666"</f>
        <v>15:39:15.666</v>
      </c>
      <c r="U403" t="str">
        <f t="shared" si="34"/>
        <v>A55E09</v>
      </c>
      <c r="V403">
        <v>0</v>
      </c>
      <c r="W403">
        <v>0</v>
      </c>
      <c r="X403">
        <v>2</v>
      </c>
      <c r="Y403">
        <v>0</v>
      </c>
      <c r="AA403">
        <v>0</v>
      </c>
      <c r="AB403">
        <v>9</v>
      </c>
      <c r="AC403">
        <v>3</v>
      </c>
      <c r="AD403">
        <v>0</v>
      </c>
      <c r="AE403">
        <v>9</v>
      </c>
      <c r="AF403" t="s">
        <v>128</v>
      </c>
      <c r="AG403">
        <v>0</v>
      </c>
      <c r="AH403">
        <v>0</v>
      </c>
      <c r="AI403">
        <v>1</v>
      </c>
      <c r="AJ403">
        <v>0</v>
      </c>
      <c r="AK403" t="s">
        <v>334</v>
      </c>
      <c r="AL403">
        <v>33.694617999999998</v>
      </c>
      <c r="AM403" t="s">
        <v>335</v>
      </c>
      <c r="AN403">
        <v>-101.20946600000001</v>
      </c>
      <c r="AO403">
        <v>100</v>
      </c>
      <c r="AP403">
        <v>3300</v>
      </c>
      <c r="AQ403" t="s">
        <v>131</v>
      </c>
      <c r="AR403">
        <v>-20</v>
      </c>
      <c r="AS403">
        <v>85</v>
      </c>
      <c r="AT403">
        <v>-128</v>
      </c>
      <c r="BB403" t="str">
        <f t="shared" si="35"/>
        <v>1200</v>
      </c>
      <c r="BC403">
        <v>1</v>
      </c>
      <c r="BD403" t="str">
        <f t="shared" si="36"/>
        <v xml:space="preserve">N445JS  </v>
      </c>
      <c r="BE403">
        <v>7</v>
      </c>
      <c r="BG403">
        <v>0</v>
      </c>
      <c r="BH403">
        <v>0</v>
      </c>
      <c r="BI403">
        <v>0</v>
      </c>
      <c r="BJ403">
        <v>3075</v>
      </c>
      <c r="BK403">
        <v>-225</v>
      </c>
      <c r="BL403" t="s">
        <v>132</v>
      </c>
      <c r="BM403">
        <v>1</v>
      </c>
      <c r="BN403">
        <v>1</v>
      </c>
      <c r="BO403">
        <v>1</v>
      </c>
      <c r="BP403">
        <v>0</v>
      </c>
      <c r="BT403">
        <v>0</v>
      </c>
      <c r="BU403">
        <v>0</v>
      </c>
      <c r="CE403" t="str">
        <f>"15:39:15.768"</f>
        <v>15:39:15.768</v>
      </c>
      <c r="CF403">
        <v>767931054</v>
      </c>
      <c r="CS403">
        <v>0</v>
      </c>
      <c r="CT403">
        <v>2</v>
      </c>
      <c r="CU403">
        <v>0</v>
      </c>
      <c r="CV403">
        <v>2</v>
      </c>
      <c r="CW403">
        <v>0</v>
      </c>
      <c r="CX403">
        <v>7</v>
      </c>
      <c r="CY403">
        <v>7</v>
      </c>
      <c r="CZ403" t="s">
        <v>133</v>
      </c>
      <c r="DA403">
        <v>125</v>
      </c>
      <c r="DB403">
        <v>1</v>
      </c>
      <c r="DC403" t="s">
        <v>134</v>
      </c>
      <c r="DD403" t="s">
        <v>135</v>
      </c>
      <c r="DG403">
        <v>2545279</v>
      </c>
      <c r="DI403">
        <v>0</v>
      </c>
      <c r="DJ403">
        <v>0</v>
      </c>
      <c r="DK403">
        <v>1</v>
      </c>
      <c r="DL403">
        <v>0</v>
      </c>
      <c r="DM403">
        <v>0</v>
      </c>
      <c r="DN403">
        <v>0</v>
      </c>
      <c r="DO403">
        <v>0</v>
      </c>
      <c r="DP403">
        <v>0</v>
      </c>
      <c r="DQ403">
        <v>0</v>
      </c>
      <c r="DR403">
        <v>0</v>
      </c>
      <c r="DS403">
        <v>0</v>
      </c>
    </row>
    <row r="404" spans="1:123" x14ac:dyDescent="0.25">
      <c r="A404" t="str">
        <f>"04/17/2026 15:39:16.072"</f>
        <v>04/17/2026 15:39:16.072</v>
      </c>
      <c r="C404" t="str">
        <f t="shared" si="33"/>
        <v>FFDFD3C0</v>
      </c>
      <c r="D404" t="s">
        <v>136</v>
      </c>
      <c r="E404" t="str">
        <f>"0E"</f>
        <v>0E</v>
      </c>
      <c r="F404">
        <v>1014</v>
      </c>
      <c r="G404" t="s">
        <v>125</v>
      </c>
      <c r="J404" t="s">
        <v>137</v>
      </c>
      <c r="K404">
        <v>0</v>
      </c>
      <c r="L404">
        <v>3</v>
      </c>
      <c r="M404">
        <v>0</v>
      </c>
      <c r="N404">
        <v>2</v>
      </c>
      <c r="O404">
        <v>1</v>
      </c>
      <c r="P404">
        <v>0</v>
      </c>
      <c r="Q404">
        <v>0</v>
      </c>
      <c r="R404" t="s">
        <v>127</v>
      </c>
      <c r="S404" t="str">
        <f>"15:39:15.766"</f>
        <v>15:39:15.766</v>
      </c>
      <c r="T404" t="str">
        <f>"15:39:15.666"</f>
        <v>15:39:15.666</v>
      </c>
      <c r="U404" t="str">
        <f t="shared" si="34"/>
        <v>A55E09</v>
      </c>
      <c r="V404">
        <v>0</v>
      </c>
      <c r="W404">
        <v>0</v>
      </c>
      <c r="X404">
        <v>2</v>
      </c>
      <c r="Y404">
        <v>0</v>
      </c>
      <c r="AA404">
        <v>0</v>
      </c>
      <c r="AB404">
        <v>9</v>
      </c>
      <c r="AC404">
        <v>3</v>
      </c>
      <c r="AD404">
        <v>0</v>
      </c>
      <c r="AE404">
        <v>9</v>
      </c>
      <c r="AF404" t="s">
        <v>128</v>
      </c>
      <c r="AG404">
        <v>0</v>
      </c>
      <c r="AH404">
        <v>0</v>
      </c>
      <c r="AI404">
        <v>1</v>
      </c>
      <c r="AJ404">
        <v>0</v>
      </c>
      <c r="AK404" t="s">
        <v>334</v>
      </c>
      <c r="AL404">
        <v>33.694617999999998</v>
      </c>
      <c r="AM404" t="s">
        <v>335</v>
      </c>
      <c r="AN404">
        <v>-101.20946600000001</v>
      </c>
      <c r="AO404">
        <v>100</v>
      </c>
      <c r="AP404">
        <v>3300</v>
      </c>
      <c r="AQ404" t="s">
        <v>131</v>
      </c>
      <c r="AR404">
        <v>-20</v>
      </c>
      <c r="AS404">
        <v>85</v>
      </c>
      <c r="AT404">
        <v>-128</v>
      </c>
      <c r="BB404" t="str">
        <f t="shared" si="35"/>
        <v>1200</v>
      </c>
      <c r="BC404">
        <v>1</v>
      </c>
      <c r="BD404" t="str">
        <f t="shared" si="36"/>
        <v xml:space="preserve">N445JS  </v>
      </c>
      <c r="BE404">
        <v>7</v>
      </c>
      <c r="BG404">
        <v>0</v>
      </c>
      <c r="BH404">
        <v>0</v>
      </c>
      <c r="BI404">
        <v>0</v>
      </c>
      <c r="BJ404">
        <v>3075</v>
      </c>
      <c r="BK404">
        <v>-225</v>
      </c>
      <c r="BL404" t="s">
        <v>132</v>
      </c>
      <c r="BM404">
        <v>1</v>
      </c>
      <c r="BN404">
        <v>1</v>
      </c>
      <c r="BO404">
        <v>1</v>
      </c>
      <c r="BP404">
        <v>0</v>
      </c>
      <c r="BT404">
        <v>0</v>
      </c>
      <c r="BU404">
        <v>0</v>
      </c>
      <c r="CE404" t="str">
        <f>"15:39:15.768"</f>
        <v>15:39:15.768</v>
      </c>
      <c r="CF404">
        <v>767931054</v>
      </c>
      <c r="CS404">
        <v>0</v>
      </c>
      <c r="CT404">
        <v>2</v>
      </c>
      <c r="CU404">
        <v>0</v>
      </c>
      <c r="CV404">
        <v>2</v>
      </c>
      <c r="CW404">
        <v>0</v>
      </c>
      <c r="CX404">
        <v>7</v>
      </c>
      <c r="CY404">
        <v>7</v>
      </c>
      <c r="CZ404" t="s">
        <v>133</v>
      </c>
      <c r="DA404">
        <v>125</v>
      </c>
      <c r="DB404">
        <v>1</v>
      </c>
      <c r="DC404" t="s">
        <v>134</v>
      </c>
      <c r="DD404" t="s">
        <v>135</v>
      </c>
      <c r="DG404">
        <v>2545279</v>
      </c>
      <c r="DI404">
        <v>0</v>
      </c>
      <c r="DJ404">
        <v>0</v>
      </c>
      <c r="DK404">
        <v>1</v>
      </c>
      <c r="DL404">
        <v>0</v>
      </c>
      <c r="DM404">
        <v>0</v>
      </c>
      <c r="DN404">
        <v>0</v>
      </c>
      <c r="DO404">
        <v>0</v>
      </c>
      <c r="DP404">
        <v>0</v>
      </c>
      <c r="DQ404">
        <v>0</v>
      </c>
      <c r="DR404">
        <v>0</v>
      </c>
      <c r="DS404">
        <v>0</v>
      </c>
    </row>
    <row r="405" spans="1:123" x14ac:dyDescent="0.25">
      <c r="A405" t="str">
        <f>"04/17/2026 15:39:16.075"</f>
        <v>04/17/2026 15:39:16.075</v>
      </c>
      <c r="C405" t="str">
        <f t="shared" si="33"/>
        <v>FFDFD3C0</v>
      </c>
      <c r="D405" t="s">
        <v>136</v>
      </c>
      <c r="E405" t="str">
        <f>"0F"</f>
        <v>0F</v>
      </c>
      <c r="F405">
        <v>1015</v>
      </c>
      <c r="G405" t="s">
        <v>138</v>
      </c>
      <c r="J405" t="s">
        <v>137</v>
      </c>
      <c r="K405">
        <v>0</v>
      </c>
      <c r="L405">
        <v>3</v>
      </c>
      <c r="M405">
        <v>0</v>
      </c>
      <c r="N405">
        <v>2</v>
      </c>
      <c r="O405">
        <v>1</v>
      </c>
      <c r="P405">
        <v>0</v>
      </c>
      <c r="Q405">
        <v>0</v>
      </c>
      <c r="R405" t="s">
        <v>127</v>
      </c>
      <c r="S405" t="str">
        <f>"15:39:15.766"</f>
        <v>15:39:15.766</v>
      </c>
      <c r="T405" t="str">
        <f>"15:39:15.666"</f>
        <v>15:39:15.666</v>
      </c>
      <c r="U405" t="str">
        <f t="shared" si="34"/>
        <v>A55E09</v>
      </c>
      <c r="V405">
        <v>0</v>
      </c>
      <c r="W405">
        <v>0</v>
      </c>
      <c r="X405">
        <v>2</v>
      </c>
      <c r="Y405">
        <v>0</v>
      </c>
      <c r="AA405">
        <v>0</v>
      </c>
      <c r="AB405">
        <v>9</v>
      </c>
      <c r="AC405">
        <v>3</v>
      </c>
      <c r="AD405">
        <v>0</v>
      </c>
      <c r="AE405">
        <v>9</v>
      </c>
      <c r="AF405" t="s">
        <v>128</v>
      </c>
      <c r="AG405">
        <v>0</v>
      </c>
      <c r="AH405">
        <v>0</v>
      </c>
      <c r="AI405">
        <v>1</v>
      </c>
      <c r="AJ405">
        <v>0</v>
      </c>
      <c r="AK405" t="s">
        <v>334</v>
      </c>
      <c r="AL405">
        <v>33.694617999999998</v>
      </c>
      <c r="AM405" t="s">
        <v>335</v>
      </c>
      <c r="AN405">
        <v>-101.20946600000001</v>
      </c>
      <c r="AO405">
        <v>100</v>
      </c>
      <c r="AP405">
        <v>3300</v>
      </c>
      <c r="AQ405" t="s">
        <v>131</v>
      </c>
      <c r="AR405">
        <v>-20</v>
      </c>
      <c r="AS405">
        <v>85</v>
      </c>
      <c r="AT405">
        <v>-128</v>
      </c>
      <c r="BB405" t="str">
        <f t="shared" si="35"/>
        <v>1200</v>
      </c>
      <c r="BC405">
        <v>1</v>
      </c>
      <c r="BD405" t="str">
        <f t="shared" si="36"/>
        <v xml:space="preserve">N445JS  </v>
      </c>
      <c r="BE405">
        <v>7</v>
      </c>
      <c r="BG405">
        <v>0</v>
      </c>
      <c r="BH405">
        <v>0</v>
      </c>
      <c r="BI405">
        <v>0</v>
      </c>
      <c r="BJ405">
        <v>3075</v>
      </c>
      <c r="BK405">
        <v>-225</v>
      </c>
      <c r="BL405" t="s">
        <v>132</v>
      </c>
      <c r="BM405">
        <v>1</v>
      </c>
      <c r="BN405">
        <v>1</v>
      </c>
      <c r="BO405">
        <v>1</v>
      </c>
      <c r="BP405">
        <v>0</v>
      </c>
      <c r="BT405">
        <v>0</v>
      </c>
      <c r="BU405">
        <v>0</v>
      </c>
      <c r="CE405" t="str">
        <f>"15:39:15.768"</f>
        <v>15:39:15.768</v>
      </c>
      <c r="CF405">
        <v>767931054</v>
      </c>
      <c r="CS405">
        <v>0</v>
      </c>
      <c r="CT405">
        <v>2</v>
      </c>
      <c r="CU405">
        <v>0</v>
      </c>
      <c r="CV405">
        <v>2</v>
      </c>
      <c r="CW405">
        <v>0</v>
      </c>
      <c r="CX405">
        <v>7</v>
      </c>
      <c r="CY405">
        <v>7</v>
      </c>
      <c r="CZ405" t="s">
        <v>133</v>
      </c>
      <c r="DA405">
        <v>125</v>
      </c>
      <c r="DB405">
        <v>1</v>
      </c>
      <c r="DC405" t="s">
        <v>134</v>
      </c>
      <c r="DD405" t="s">
        <v>135</v>
      </c>
      <c r="DG405">
        <v>2545279</v>
      </c>
      <c r="DI405">
        <v>0</v>
      </c>
      <c r="DJ405">
        <v>0</v>
      </c>
      <c r="DK405">
        <v>1</v>
      </c>
      <c r="DL405">
        <v>0</v>
      </c>
      <c r="DM405">
        <v>0</v>
      </c>
      <c r="DN405">
        <v>0</v>
      </c>
      <c r="DO405">
        <v>0</v>
      </c>
      <c r="DP405">
        <v>0</v>
      </c>
      <c r="DQ405">
        <v>0</v>
      </c>
      <c r="DR405">
        <v>0</v>
      </c>
      <c r="DS405">
        <v>0</v>
      </c>
    </row>
    <row r="406" spans="1:123" x14ac:dyDescent="0.25">
      <c r="A406" t="str">
        <f>"04/17/2026 15:39:17.188"</f>
        <v>04/17/2026 15:39:17.188</v>
      </c>
      <c r="C406" t="str">
        <f t="shared" si="33"/>
        <v>FFDFD3C0</v>
      </c>
      <c r="D406" t="s">
        <v>124</v>
      </c>
      <c r="E406" t="str">
        <f>"03"</f>
        <v>03</v>
      </c>
      <c r="H406">
        <v>160</v>
      </c>
      <c r="I406" t="s">
        <v>125</v>
      </c>
      <c r="J406" t="s">
        <v>126</v>
      </c>
      <c r="K406">
        <v>0</v>
      </c>
      <c r="L406">
        <v>3</v>
      </c>
      <c r="M406">
        <v>0</v>
      </c>
      <c r="N406">
        <v>2</v>
      </c>
      <c r="O406">
        <v>1</v>
      </c>
      <c r="P406">
        <v>0</v>
      </c>
      <c r="Q406">
        <v>0</v>
      </c>
      <c r="R406" t="s">
        <v>127</v>
      </c>
      <c r="S406" t="str">
        <f>"15:39:16.906"</f>
        <v>15:39:16.906</v>
      </c>
      <c r="T406" t="str">
        <f>"15:39:16.606"</f>
        <v>15:39:16.606</v>
      </c>
      <c r="U406" t="str">
        <f t="shared" si="34"/>
        <v>A55E09</v>
      </c>
      <c r="V406">
        <v>0</v>
      </c>
      <c r="W406">
        <v>0</v>
      </c>
      <c r="X406">
        <v>2</v>
      </c>
      <c r="Y406">
        <v>0</v>
      </c>
      <c r="AA406">
        <v>0</v>
      </c>
      <c r="AB406">
        <v>9</v>
      </c>
      <c r="AC406">
        <v>3</v>
      </c>
      <c r="AD406">
        <v>0</v>
      </c>
      <c r="AE406">
        <v>9</v>
      </c>
      <c r="AF406" t="s">
        <v>128</v>
      </c>
      <c r="AG406">
        <v>0</v>
      </c>
      <c r="AH406">
        <v>0</v>
      </c>
      <c r="AI406">
        <v>1</v>
      </c>
      <c r="AJ406">
        <v>0</v>
      </c>
      <c r="AK406" t="s">
        <v>336</v>
      </c>
      <c r="AL406">
        <v>33.695025000000001</v>
      </c>
      <c r="AM406" t="s">
        <v>337</v>
      </c>
      <c r="AN406">
        <v>-101.20959499999999</v>
      </c>
      <c r="AO406">
        <v>100</v>
      </c>
      <c r="AP406">
        <v>3300</v>
      </c>
      <c r="AQ406" t="s">
        <v>131</v>
      </c>
      <c r="AR406">
        <v>-21</v>
      </c>
      <c r="AS406">
        <v>84</v>
      </c>
      <c r="AT406">
        <v>-64</v>
      </c>
      <c r="BB406" t="str">
        <f t="shared" si="35"/>
        <v>1200</v>
      </c>
      <c r="BC406">
        <v>1</v>
      </c>
      <c r="BD406" t="str">
        <f t="shared" si="36"/>
        <v xml:space="preserve">N445JS  </v>
      </c>
      <c r="BE406">
        <v>7</v>
      </c>
      <c r="BG406">
        <v>0</v>
      </c>
      <c r="BH406">
        <v>0</v>
      </c>
      <c r="BI406">
        <v>0</v>
      </c>
      <c r="BJ406">
        <v>3075</v>
      </c>
      <c r="BK406">
        <v>-225</v>
      </c>
      <c r="BL406" t="s">
        <v>132</v>
      </c>
      <c r="BM406">
        <v>1</v>
      </c>
      <c r="BN406">
        <v>1</v>
      </c>
      <c r="BO406">
        <v>1</v>
      </c>
      <c r="BP406">
        <v>0</v>
      </c>
      <c r="BT406">
        <v>0</v>
      </c>
      <c r="BU406">
        <v>0</v>
      </c>
      <c r="CE406" t="str">
        <f>"15:39:16.908"</f>
        <v>15:39:16.908</v>
      </c>
      <c r="CF406">
        <v>907819280</v>
      </c>
      <c r="CS406">
        <v>0</v>
      </c>
      <c r="CT406">
        <v>2</v>
      </c>
      <c r="CU406">
        <v>0</v>
      </c>
      <c r="CV406">
        <v>2</v>
      </c>
      <c r="CW406">
        <v>0</v>
      </c>
      <c r="CX406">
        <v>7</v>
      </c>
      <c r="CY406">
        <v>7</v>
      </c>
      <c r="CZ406" t="s">
        <v>133</v>
      </c>
      <c r="DA406">
        <v>125</v>
      </c>
      <c r="DB406">
        <v>0</v>
      </c>
      <c r="DC406" t="s">
        <v>134</v>
      </c>
      <c r="DD406" t="s">
        <v>135</v>
      </c>
      <c r="DG406">
        <v>3506579</v>
      </c>
      <c r="DI406">
        <v>0</v>
      </c>
      <c r="DJ406">
        <v>0</v>
      </c>
      <c r="DK406">
        <v>0</v>
      </c>
      <c r="DL406">
        <v>0</v>
      </c>
      <c r="DM406">
        <v>0</v>
      </c>
      <c r="DN406">
        <v>0</v>
      </c>
      <c r="DO406">
        <v>0</v>
      </c>
      <c r="DP406">
        <v>0</v>
      </c>
      <c r="DQ406">
        <v>0</v>
      </c>
      <c r="DR406">
        <v>0</v>
      </c>
      <c r="DS406">
        <v>0</v>
      </c>
    </row>
    <row r="407" spans="1:123" x14ac:dyDescent="0.25">
      <c r="A407" t="str">
        <f>"04/17/2026 15:39:17.215"</f>
        <v>04/17/2026 15:39:17.215</v>
      </c>
      <c r="C407" t="str">
        <f t="shared" si="33"/>
        <v>FFDFD3C0</v>
      </c>
      <c r="D407" t="s">
        <v>139</v>
      </c>
      <c r="E407" t="str">
        <f>"28"</f>
        <v>28</v>
      </c>
      <c r="H407">
        <v>140</v>
      </c>
      <c r="I407" t="s">
        <v>140</v>
      </c>
      <c r="J407" t="s">
        <v>141</v>
      </c>
      <c r="K407">
        <v>0</v>
      </c>
      <c r="L407">
        <v>3</v>
      </c>
      <c r="M407">
        <v>0</v>
      </c>
      <c r="N407">
        <v>2</v>
      </c>
      <c r="O407">
        <v>1</v>
      </c>
      <c r="P407">
        <v>0</v>
      </c>
      <c r="Q407">
        <v>0</v>
      </c>
      <c r="R407" t="s">
        <v>127</v>
      </c>
      <c r="S407" t="str">
        <f>"15:39:16.906"</f>
        <v>15:39:16.906</v>
      </c>
      <c r="T407" t="str">
        <f>"15:39:16.606"</f>
        <v>15:39:16.606</v>
      </c>
      <c r="U407" t="str">
        <f t="shared" si="34"/>
        <v>A55E09</v>
      </c>
      <c r="V407">
        <v>0</v>
      </c>
      <c r="W407">
        <v>0</v>
      </c>
      <c r="X407">
        <v>2</v>
      </c>
      <c r="Y407">
        <v>0</v>
      </c>
      <c r="AA407">
        <v>0</v>
      </c>
      <c r="AB407">
        <v>9</v>
      </c>
      <c r="AC407">
        <v>3</v>
      </c>
      <c r="AD407">
        <v>0</v>
      </c>
      <c r="AE407">
        <v>9</v>
      </c>
      <c r="AF407" t="s">
        <v>128</v>
      </c>
      <c r="AG407">
        <v>0</v>
      </c>
      <c r="AH407">
        <v>0</v>
      </c>
      <c r="AI407">
        <v>1</v>
      </c>
      <c r="AJ407">
        <v>0</v>
      </c>
      <c r="AK407" t="s">
        <v>336</v>
      </c>
      <c r="AL407">
        <v>33.695025000000001</v>
      </c>
      <c r="AM407" t="s">
        <v>337</v>
      </c>
      <c r="AN407">
        <v>-101.20959499999999</v>
      </c>
      <c r="AO407">
        <v>100</v>
      </c>
      <c r="AP407">
        <v>3300</v>
      </c>
      <c r="AQ407" t="s">
        <v>131</v>
      </c>
      <c r="AR407">
        <v>-21</v>
      </c>
      <c r="AS407">
        <v>84</v>
      </c>
      <c r="AT407">
        <v>-64</v>
      </c>
      <c r="BB407" t="str">
        <f t="shared" si="35"/>
        <v>1200</v>
      </c>
      <c r="BC407">
        <v>1</v>
      </c>
      <c r="BD407" t="str">
        <f t="shared" si="36"/>
        <v xml:space="preserve">N445JS  </v>
      </c>
      <c r="BE407">
        <v>7</v>
      </c>
      <c r="BG407">
        <v>0</v>
      </c>
      <c r="BH407">
        <v>0</v>
      </c>
      <c r="BI407">
        <v>0</v>
      </c>
      <c r="BJ407">
        <v>3075</v>
      </c>
      <c r="BK407">
        <v>-225</v>
      </c>
      <c r="BL407" t="s">
        <v>132</v>
      </c>
      <c r="BM407">
        <v>1</v>
      </c>
      <c r="BN407">
        <v>1</v>
      </c>
      <c r="BO407">
        <v>1</v>
      </c>
      <c r="BP407">
        <v>0</v>
      </c>
      <c r="BT407">
        <v>0</v>
      </c>
      <c r="BU407">
        <v>0</v>
      </c>
      <c r="CE407" t="str">
        <f>"15:39:16.908"</f>
        <v>15:39:16.908</v>
      </c>
      <c r="CF407">
        <v>907819280</v>
      </c>
      <c r="CS407">
        <v>0</v>
      </c>
      <c r="CT407">
        <v>2</v>
      </c>
      <c r="CU407">
        <v>0</v>
      </c>
      <c r="CV407">
        <v>2</v>
      </c>
      <c r="CW407">
        <v>0</v>
      </c>
      <c r="CX407">
        <v>7</v>
      </c>
      <c r="CY407">
        <v>7</v>
      </c>
      <c r="CZ407" t="s">
        <v>133</v>
      </c>
      <c r="DA407">
        <v>125</v>
      </c>
      <c r="DB407">
        <v>0</v>
      </c>
      <c r="DC407" t="s">
        <v>134</v>
      </c>
      <c r="DD407" t="s">
        <v>135</v>
      </c>
      <c r="DG407">
        <v>3506579</v>
      </c>
      <c r="DI407">
        <v>0</v>
      </c>
      <c r="DJ407">
        <v>0</v>
      </c>
      <c r="DK407">
        <v>1</v>
      </c>
      <c r="DL407">
        <v>0</v>
      </c>
      <c r="DM407">
        <v>0</v>
      </c>
      <c r="DN407">
        <v>0</v>
      </c>
      <c r="DO407">
        <v>0</v>
      </c>
      <c r="DP407">
        <v>0</v>
      </c>
      <c r="DQ407">
        <v>0</v>
      </c>
      <c r="DR407">
        <v>0</v>
      </c>
      <c r="DS407">
        <v>0</v>
      </c>
    </row>
    <row r="408" spans="1:123" x14ac:dyDescent="0.25">
      <c r="A408" t="str">
        <f>"04/17/2026 15:39:17.224"</f>
        <v>04/17/2026 15:39:17.224</v>
      </c>
      <c r="C408" t="str">
        <f t="shared" si="33"/>
        <v>FFDFD3C0</v>
      </c>
      <c r="D408" t="s">
        <v>136</v>
      </c>
      <c r="E408" t="str">
        <f>"0E"</f>
        <v>0E</v>
      </c>
      <c r="F408">
        <v>1014</v>
      </c>
      <c r="G408" t="s">
        <v>125</v>
      </c>
      <c r="J408" t="s">
        <v>137</v>
      </c>
      <c r="K408">
        <v>0</v>
      </c>
      <c r="L408">
        <v>3</v>
      </c>
      <c r="M408">
        <v>0</v>
      </c>
      <c r="N408">
        <v>2</v>
      </c>
      <c r="O408">
        <v>1</v>
      </c>
      <c r="P408">
        <v>0</v>
      </c>
      <c r="Q408">
        <v>0</v>
      </c>
      <c r="R408" t="s">
        <v>127</v>
      </c>
      <c r="S408" t="str">
        <f>"15:39:16.906"</f>
        <v>15:39:16.906</v>
      </c>
      <c r="T408" t="str">
        <f>"15:39:16.606"</f>
        <v>15:39:16.606</v>
      </c>
      <c r="U408" t="str">
        <f t="shared" si="34"/>
        <v>A55E09</v>
      </c>
      <c r="V408">
        <v>0</v>
      </c>
      <c r="W408">
        <v>0</v>
      </c>
      <c r="X408">
        <v>2</v>
      </c>
      <c r="Y408">
        <v>0</v>
      </c>
      <c r="AA408">
        <v>0</v>
      </c>
      <c r="AB408">
        <v>9</v>
      </c>
      <c r="AC408">
        <v>3</v>
      </c>
      <c r="AD408">
        <v>0</v>
      </c>
      <c r="AE408">
        <v>9</v>
      </c>
      <c r="AF408" t="s">
        <v>128</v>
      </c>
      <c r="AG408">
        <v>0</v>
      </c>
      <c r="AH408">
        <v>0</v>
      </c>
      <c r="AI408">
        <v>1</v>
      </c>
      <c r="AJ408">
        <v>0</v>
      </c>
      <c r="AK408" t="s">
        <v>336</v>
      </c>
      <c r="AL408">
        <v>33.695025000000001</v>
      </c>
      <c r="AM408" t="s">
        <v>337</v>
      </c>
      <c r="AN408">
        <v>-101.20959499999999</v>
      </c>
      <c r="AO408">
        <v>100</v>
      </c>
      <c r="AP408">
        <v>3300</v>
      </c>
      <c r="AQ408" t="s">
        <v>131</v>
      </c>
      <c r="AR408">
        <v>-21</v>
      </c>
      <c r="AS408">
        <v>84</v>
      </c>
      <c r="AT408">
        <v>-64</v>
      </c>
      <c r="BB408" t="str">
        <f t="shared" si="35"/>
        <v>1200</v>
      </c>
      <c r="BC408">
        <v>1</v>
      </c>
      <c r="BD408" t="str">
        <f t="shared" si="36"/>
        <v xml:space="preserve">N445JS  </v>
      </c>
      <c r="BE408">
        <v>7</v>
      </c>
      <c r="BG408">
        <v>0</v>
      </c>
      <c r="BH408">
        <v>0</v>
      </c>
      <c r="BI408">
        <v>0</v>
      </c>
      <c r="BJ408">
        <v>3075</v>
      </c>
      <c r="BK408">
        <v>-225</v>
      </c>
      <c r="BL408" t="s">
        <v>132</v>
      </c>
      <c r="BM408">
        <v>1</v>
      </c>
      <c r="BN408">
        <v>1</v>
      </c>
      <c r="BO408">
        <v>1</v>
      </c>
      <c r="BP408">
        <v>0</v>
      </c>
      <c r="BT408">
        <v>0</v>
      </c>
      <c r="BU408">
        <v>0</v>
      </c>
      <c r="CE408" t="str">
        <f>"15:39:16.908"</f>
        <v>15:39:16.908</v>
      </c>
      <c r="CF408">
        <v>907819280</v>
      </c>
      <c r="CS408">
        <v>0</v>
      </c>
      <c r="CT408">
        <v>2</v>
      </c>
      <c r="CU408">
        <v>0</v>
      </c>
      <c r="CV408">
        <v>2</v>
      </c>
      <c r="CW408">
        <v>0</v>
      </c>
      <c r="CX408">
        <v>7</v>
      </c>
      <c r="CY408">
        <v>7</v>
      </c>
      <c r="CZ408" t="s">
        <v>133</v>
      </c>
      <c r="DA408">
        <v>125</v>
      </c>
      <c r="DB408">
        <v>0</v>
      </c>
      <c r="DC408" t="s">
        <v>134</v>
      </c>
      <c r="DD408" t="s">
        <v>135</v>
      </c>
      <c r="DG408">
        <v>3506579</v>
      </c>
      <c r="DI408">
        <v>0</v>
      </c>
      <c r="DJ408">
        <v>0</v>
      </c>
      <c r="DK408">
        <v>1</v>
      </c>
      <c r="DL408">
        <v>0</v>
      </c>
      <c r="DM408">
        <v>0</v>
      </c>
      <c r="DN408">
        <v>0</v>
      </c>
      <c r="DO408">
        <v>0</v>
      </c>
      <c r="DP408">
        <v>0</v>
      </c>
      <c r="DQ408">
        <v>0</v>
      </c>
      <c r="DR408">
        <v>0</v>
      </c>
      <c r="DS408">
        <v>0</v>
      </c>
    </row>
    <row r="409" spans="1:123" x14ac:dyDescent="0.25">
      <c r="A409" t="str">
        <f>"04/17/2026 15:39:17.226"</f>
        <v>04/17/2026 15:39:17.226</v>
      </c>
      <c r="C409" t="str">
        <f t="shared" si="33"/>
        <v>FFDFD3C0</v>
      </c>
      <c r="D409" t="s">
        <v>136</v>
      </c>
      <c r="E409" t="str">
        <f>"0F"</f>
        <v>0F</v>
      </c>
      <c r="F409">
        <v>1015</v>
      </c>
      <c r="G409" t="s">
        <v>138</v>
      </c>
      <c r="J409" t="s">
        <v>137</v>
      </c>
      <c r="K409">
        <v>0</v>
      </c>
      <c r="L409">
        <v>3</v>
      </c>
      <c r="M409">
        <v>0</v>
      </c>
      <c r="N409">
        <v>2</v>
      </c>
      <c r="O409">
        <v>1</v>
      </c>
      <c r="P409">
        <v>0</v>
      </c>
      <c r="Q409">
        <v>0</v>
      </c>
      <c r="R409" t="s">
        <v>127</v>
      </c>
      <c r="S409" t="str">
        <f>"15:39:16.906"</f>
        <v>15:39:16.906</v>
      </c>
      <c r="T409" t="str">
        <f>"15:39:16.606"</f>
        <v>15:39:16.606</v>
      </c>
      <c r="U409" t="str">
        <f t="shared" si="34"/>
        <v>A55E09</v>
      </c>
      <c r="V409">
        <v>0</v>
      </c>
      <c r="W409">
        <v>0</v>
      </c>
      <c r="X409">
        <v>2</v>
      </c>
      <c r="Y409">
        <v>0</v>
      </c>
      <c r="AA409">
        <v>0</v>
      </c>
      <c r="AB409">
        <v>9</v>
      </c>
      <c r="AC409">
        <v>3</v>
      </c>
      <c r="AD409">
        <v>0</v>
      </c>
      <c r="AE409">
        <v>9</v>
      </c>
      <c r="AF409" t="s">
        <v>128</v>
      </c>
      <c r="AG409">
        <v>0</v>
      </c>
      <c r="AH409">
        <v>0</v>
      </c>
      <c r="AI409">
        <v>1</v>
      </c>
      <c r="AJ409">
        <v>0</v>
      </c>
      <c r="AK409" t="s">
        <v>336</v>
      </c>
      <c r="AL409">
        <v>33.695025000000001</v>
      </c>
      <c r="AM409" t="s">
        <v>337</v>
      </c>
      <c r="AN409">
        <v>-101.20959499999999</v>
      </c>
      <c r="AO409">
        <v>100</v>
      </c>
      <c r="AP409">
        <v>3300</v>
      </c>
      <c r="AQ409" t="s">
        <v>131</v>
      </c>
      <c r="AR409">
        <v>-21</v>
      </c>
      <c r="AS409">
        <v>84</v>
      </c>
      <c r="AT409">
        <v>-64</v>
      </c>
      <c r="BB409" t="str">
        <f t="shared" si="35"/>
        <v>1200</v>
      </c>
      <c r="BC409">
        <v>1</v>
      </c>
      <c r="BD409" t="str">
        <f t="shared" si="36"/>
        <v xml:space="preserve">N445JS  </v>
      </c>
      <c r="BE409">
        <v>7</v>
      </c>
      <c r="BG409">
        <v>0</v>
      </c>
      <c r="BH409">
        <v>0</v>
      </c>
      <c r="BI409">
        <v>0</v>
      </c>
      <c r="BJ409">
        <v>3075</v>
      </c>
      <c r="BK409">
        <v>-225</v>
      </c>
      <c r="BL409" t="s">
        <v>132</v>
      </c>
      <c r="BM409">
        <v>1</v>
      </c>
      <c r="BN409">
        <v>1</v>
      </c>
      <c r="BO409">
        <v>1</v>
      </c>
      <c r="BP409">
        <v>0</v>
      </c>
      <c r="BT409">
        <v>0</v>
      </c>
      <c r="BU409">
        <v>0</v>
      </c>
      <c r="CE409" t="str">
        <f>"15:39:16.908"</f>
        <v>15:39:16.908</v>
      </c>
      <c r="CF409">
        <v>907819280</v>
      </c>
      <c r="CS409">
        <v>0</v>
      </c>
      <c r="CT409">
        <v>2</v>
      </c>
      <c r="CU409">
        <v>0</v>
      </c>
      <c r="CV409">
        <v>2</v>
      </c>
      <c r="CW409">
        <v>0</v>
      </c>
      <c r="CX409">
        <v>7</v>
      </c>
      <c r="CY409">
        <v>7</v>
      </c>
      <c r="CZ409" t="s">
        <v>133</v>
      </c>
      <c r="DA409">
        <v>125</v>
      </c>
      <c r="DB409">
        <v>0</v>
      </c>
      <c r="DC409" t="s">
        <v>134</v>
      </c>
      <c r="DD409" t="s">
        <v>135</v>
      </c>
      <c r="DG409">
        <v>3506579</v>
      </c>
      <c r="DI409">
        <v>0</v>
      </c>
      <c r="DJ409">
        <v>0</v>
      </c>
      <c r="DK409">
        <v>1</v>
      </c>
      <c r="DL409">
        <v>0</v>
      </c>
      <c r="DM409">
        <v>0</v>
      </c>
      <c r="DN409">
        <v>0</v>
      </c>
      <c r="DO409">
        <v>0</v>
      </c>
      <c r="DP409">
        <v>0</v>
      </c>
      <c r="DQ409">
        <v>0</v>
      </c>
      <c r="DR409">
        <v>0</v>
      </c>
      <c r="DS409">
        <v>0</v>
      </c>
    </row>
    <row r="410" spans="1:123" x14ac:dyDescent="0.25">
      <c r="A410" t="str">
        <f>"04/17/2026 15:39:18.140"</f>
        <v>04/17/2026 15:39:18.140</v>
      </c>
      <c r="C410" t="str">
        <f t="shared" si="33"/>
        <v>FFDFD3C0</v>
      </c>
      <c r="D410" t="s">
        <v>124</v>
      </c>
      <c r="E410" t="str">
        <f>"03"</f>
        <v>03</v>
      </c>
      <c r="H410">
        <v>160</v>
      </c>
      <c r="I410" t="s">
        <v>125</v>
      </c>
      <c r="J410" t="s">
        <v>126</v>
      </c>
      <c r="K410">
        <v>0</v>
      </c>
      <c r="L410">
        <v>3</v>
      </c>
      <c r="M410">
        <v>0</v>
      </c>
      <c r="N410">
        <v>2</v>
      </c>
      <c r="O410">
        <v>1</v>
      </c>
      <c r="P410">
        <v>0</v>
      </c>
      <c r="Q410">
        <v>0</v>
      </c>
      <c r="R410" t="s">
        <v>127</v>
      </c>
      <c r="S410" t="str">
        <f>"15:39:17.891"</f>
        <v>15:39:17.891</v>
      </c>
      <c r="T410" t="str">
        <f>"15:39:17.591"</f>
        <v>15:39:17.591</v>
      </c>
      <c r="U410" t="str">
        <f t="shared" si="34"/>
        <v>A55E09</v>
      </c>
      <c r="V410">
        <v>0</v>
      </c>
      <c r="W410">
        <v>0</v>
      </c>
      <c r="X410">
        <v>2</v>
      </c>
      <c r="Y410">
        <v>0</v>
      </c>
      <c r="AA410">
        <v>0</v>
      </c>
      <c r="AB410">
        <v>9</v>
      </c>
      <c r="AC410">
        <v>3</v>
      </c>
      <c r="AD410">
        <v>0</v>
      </c>
      <c r="AE410">
        <v>9</v>
      </c>
      <c r="AF410" t="s">
        <v>128</v>
      </c>
      <c r="AG410">
        <v>0</v>
      </c>
      <c r="AH410">
        <v>0</v>
      </c>
      <c r="AI410">
        <v>1</v>
      </c>
      <c r="AJ410">
        <v>0</v>
      </c>
      <c r="AK410" t="s">
        <v>338</v>
      </c>
      <c r="AL410">
        <v>33.695433000000001</v>
      </c>
      <c r="AM410" t="s">
        <v>339</v>
      </c>
      <c r="AN410">
        <v>-101.20970199999999</v>
      </c>
      <c r="AO410">
        <v>100</v>
      </c>
      <c r="AP410">
        <v>3300</v>
      </c>
      <c r="AQ410" t="s">
        <v>131</v>
      </c>
      <c r="AR410">
        <v>-20</v>
      </c>
      <c r="AS410">
        <v>85</v>
      </c>
      <c r="AT410">
        <v>0</v>
      </c>
      <c r="BB410" t="str">
        <f t="shared" si="35"/>
        <v>1200</v>
      </c>
      <c r="BC410">
        <v>1</v>
      </c>
      <c r="BD410" t="str">
        <f t="shared" si="36"/>
        <v xml:space="preserve">N445JS  </v>
      </c>
      <c r="BE410">
        <v>7</v>
      </c>
      <c r="BG410">
        <v>0</v>
      </c>
      <c r="BH410">
        <v>0</v>
      </c>
      <c r="BI410">
        <v>0</v>
      </c>
      <c r="BJ410">
        <v>3075</v>
      </c>
      <c r="BK410">
        <v>-225</v>
      </c>
      <c r="BL410" t="s">
        <v>132</v>
      </c>
      <c r="BM410">
        <v>1</v>
      </c>
      <c r="BN410">
        <v>1</v>
      </c>
      <c r="BO410">
        <v>1</v>
      </c>
      <c r="BP410">
        <v>0</v>
      </c>
      <c r="BT410">
        <v>0</v>
      </c>
      <c r="BU410">
        <v>0</v>
      </c>
      <c r="CE410" t="str">
        <f>"15:39:17.898"</f>
        <v>15:39:17.898</v>
      </c>
      <c r="CF410">
        <v>897722250</v>
      </c>
      <c r="CS410">
        <v>0</v>
      </c>
      <c r="CT410">
        <v>2</v>
      </c>
      <c r="CU410">
        <v>0</v>
      </c>
      <c r="CV410">
        <v>2</v>
      </c>
      <c r="CW410">
        <v>0</v>
      </c>
      <c r="CX410">
        <v>7</v>
      </c>
      <c r="CY410">
        <v>7</v>
      </c>
      <c r="CZ410" t="s">
        <v>133</v>
      </c>
      <c r="DA410">
        <v>125</v>
      </c>
      <c r="DB410">
        <v>0</v>
      </c>
      <c r="DC410" t="s">
        <v>134</v>
      </c>
      <c r="DD410" t="s">
        <v>135</v>
      </c>
      <c r="DG410">
        <v>3507598</v>
      </c>
      <c r="DI410">
        <v>0</v>
      </c>
      <c r="DJ410">
        <v>0</v>
      </c>
      <c r="DK410">
        <v>0</v>
      </c>
      <c r="DL410">
        <v>0</v>
      </c>
      <c r="DM410">
        <v>0</v>
      </c>
      <c r="DN410">
        <v>0</v>
      </c>
      <c r="DO410">
        <v>0</v>
      </c>
      <c r="DP410">
        <v>0</v>
      </c>
      <c r="DQ410">
        <v>0</v>
      </c>
      <c r="DR410">
        <v>0</v>
      </c>
      <c r="DS410">
        <v>0</v>
      </c>
    </row>
    <row r="411" spans="1:123" x14ac:dyDescent="0.25">
      <c r="A411" t="str">
        <f>"04/17/2026 15:39:18.166"</f>
        <v>04/17/2026 15:39:18.166</v>
      </c>
      <c r="C411" t="str">
        <f t="shared" si="33"/>
        <v>FFDFD3C0</v>
      </c>
      <c r="D411" t="s">
        <v>139</v>
      </c>
      <c r="E411" t="str">
        <f>"28"</f>
        <v>28</v>
      </c>
      <c r="H411">
        <v>140</v>
      </c>
      <c r="I411" t="s">
        <v>140</v>
      </c>
      <c r="J411" t="s">
        <v>141</v>
      </c>
      <c r="K411">
        <v>0</v>
      </c>
      <c r="L411">
        <v>3</v>
      </c>
      <c r="M411">
        <v>0</v>
      </c>
      <c r="N411">
        <v>2</v>
      </c>
      <c r="O411">
        <v>1</v>
      </c>
      <c r="P411">
        <v>0</v>
      </c>
      <c r="Q411">
        <v>0</v>
      </c>
      <c r="R411" t="s">
        <v>127</v>
      </c>
      <c r="S411" t="str">
        <f>"15:39:17.891"</f>
        <v>15:39:17.891</v>
      </c>
      <c r="T411" t="str">
        <f>"15:39:17.591"</f>
        <v>15:39:17.591</v>
      </c>
      <c r="U411" t="str">
        <f t="shared" si="34"/>
        <v>A55E09</v>
      </c>
      <c r="V411">
        <v>0</v>
      </c>
      <c r="W411">
        <v>0</v>
      </c>
      <c r="X411">
        <v>2</v>
      </c>
      <c r="Y411">
        <v>0</v>
      </c>
      <c r="AA411">
        <v>0</v>
      </c>
      <c r="AB411">
        <v>9</v>
      </c>
      <c r="AC411">
        <v>3</v>
      </c>
      <c r="AD411">
        <v>0</v>
      </c>
      <c r="AE411">
        <v>9</v>
      </c>
      <c r="AF411" t="s">
        <v>128</v>
      </c>
      <c r="AG411">
        <v>0</v>
      </c>
      <c r="AH411">
        <v>0</v>
      </c>
      <c r="AI411">
        <v>1</v>
      </c>
      <c r="AJ411">
        <v>0</v>
      </c>
      <c r="AK411" t="s">
        <v>338</v>
      </c>
      <c r="AL411">
        <v>33.695433000000001</v>
      </c>
      <c r="AM411" t="s">
        <v>339</v>
      </c>
      <c r="AN411">
        <v>-101.20970199999999</v>
      </c>
      <c r="AO411">
        <v>100</v>
      </c>
      <c r="AP411">
        <v>3300</v>
      </c>
      <c r="AQ411" t="s">
        <v>131</v>
      </c>
      <c r="AR411">
        <v>-20</v>
      </c>
      <c r="AS411">
        <v>85</v>
      </c>
      <c r="AT411">
        <v>0</v>
      </c>
      <c r="BB411" t="str">
        <f t="shared" si="35"/>
        <v>1200</v>
      </c>
      <c r="BC411">
        <v>1</v>
      </c>
      <c r="BD411" t="str">
        <f t="shared" si="36"/>
        <v xml:space="preserve">N445JS  </v>
      </c>
      <c r="BE411">
        <v>7</v>
      </c>
      <c r="BG411">
        <v>0</v>
      </c>
      <c r="BH411">
        <v>0</v>
      </c>
      <c r="BI411">
        <v>0</v>
      </c>
      <c r="BJ411">
        <v>3075</v>
      </c>
      <c r="BK411">
        <v>-225</v>
      </c>
      <c r="BL411" t="s">
        <v>132</v>
      </c>
      <c r="BM411">
        <v>1</v>
      </c>
      <c r="BN411">
        <v>1</v>
      </c>
      <c r="BO411">
        <v>1</v>
      </c>
      <c r="BP411">
        <v>0</v>
      </c>
      <c r="BT411">
        <v>0</v>
      </c>
      <c r="BU411">
        <v>0</v>
      </c>
      <c r="CE411" t="str">
        <f>"15:39:17.898"</f>
        <v>15:39:17.898</v>
      </c>
      <c r="CF411">
        <v>897722250</v>
      </c>
      <c r="CS411">
        <v>0</v>
      </c>
      <c r="CT411">
        <v>2</v>
      </c>
      <c r="CU411">
        <v>0</v>
      </c>
      <c r="CV411">
        <v>2</v>
      </c>
      <c r="CW411">
        <v>0</v>
      </c>
      <c r="CX411">
        <v>7</v>
      </c>
      <c r="CY411">
        <v>7</v>
      </c>
      <c r="CZ411" t="s">
        <v>133</v>
      </c>
      <c r="DA411">
        <v>125</v>
      </c>
      <c r="DB411">
        <v>0</v>
      </c>
      <c r="DC411" t="s">
        <v>134</v>
      </c>
      <c r="DD411" t="s">
        <v>135</v>
      </c>
      <c r="DG411">
        <v>3507598</v>
      </c>
      <c r="DI411">
        <v>0</v>
      </c>
      <c r="DJ411">
        <v>0</v>
      </c>
      <c r="DK411">
        <v>1</v>
      </c>
      <c r="DL411">
        <v>0</v>
      </c>
      <c r="DM411">
        <v>0</v>
      </c>
      <c r="DN411">
        <v>0</v>
      </c>
      <c r="DO411">
        <v>0</v>
      </c>
      <c r="DP411">
        <v>0</v>
      </c>
      <c r="DQ411">
        <v>0</v>
      </c>
      <c r="DR411">
        <v>0</v>
      </c>
      <c r="DS411">
        <v>0</v>
      </c>
    </row>
    <row r="412" spans="1:123" x14ac:dyDescent="0.25">
      <c r="A412" t="str">
        <f>"04/17/2026 15:39:18.176"</f>
        <v>04/17/2026 15:39:18.176</v>
      </c>
      <c r="C412" t="str">
        <f t="shared" si="33"/>
        <v>FFDFD3C0</v>
      </c>
      <c r="D412" t="s">
        <v>136</v>
      </c>
      <c r="E412" t="str">
        <f>"0E"</f>
        <v>0E</v>
      </c>
      <c r="F412">
        <v>1014</v>
      </c>
      <c r="G412" t="s">
        <v>125</v>
      </c>
      <c r="J412" t="s">
        <v>137</v>
      </c>
      <c r="K412">
        <v>0</v>
      </c>
      <c r="L412">
        <v>3</v>
      </c>
      <c r="M412">
        <v>0</v>
      </c>
      <c r="N412">
        <v>2</v>
      </c>
      <c r="O412">
        <v>1</v>
      </c>
      <c r="P412">
        <v>0</v>
      </c>
      <c r="Q412">
        <v>0</v>
      </c>
      <c r="R412" t="s">
        <v>127</v>
      </c>
      <c r="S412" t="str">
        <f>"15:39:17.891"</f>
        <v>15:39:17.891</v>
      </c>
      <c r="T412" t="str">
        <f>"15:39:17.591"</f>
        <v>15:39:17.591</v>
      </c>
      <c r="U412" t="str">
        <f t="shared" si="34"/>
        <v>A55E09</v>
      </c>
      <c r="V412">
        <v>0</v>
      </c>
      <c r="W412">
        <v>0</v>
      </c>
      <c r="X412">
        <v>2</v>
      </c>
      <c r="Y412">
        <v>0</v>
      </c>
      <c r="AA412">
        <v>0</v>
      </c>
      <c r="AB412">
        <v>9</v>
      </c>
      <c r="AC412">
        <v>3</v>
      </c>
      <c r="AD412">
        <v>0</v>
      </c>
      <c r="AE412">
        <v>9</v>
      </c>
      <c r="AF412" t="s">
        <v>128</v>
      </c>
      <c r="AG412">
        <v>0</v>
      </c>
      <c r="AH412">
        <v>0</v>
      </c>
      <c r="AI412">
        <v>1</v>
      </c>
      <c r="AJ412">
        <v>0</v>
      </c>
      <c r="AK412" t="s">
        <v>338</v>
      </c>
      <c r="AL412">
        <v>33.695433000000001</v>
      </c>
      <c r="AM412" t="s">
        <v>339</v>
      </c>
      <c r="AN412">
        <v>-101.20970199999999</v>
      </c>
      <c r="AO412">
        <v>100</v>
      </c>
      <c r="AP412">
        <v>3300</v>
      </c>
      <c r="AQ412" t="s">
        <v>131</v>
      </c>
      <c r="AR412">
        <v>-20</v>
      </c>
      <c r="AS412">
        <v>85</v>
      </c>
      <c r="AT412">
        <v>0</v>
      </c>
      <c r="BB412" t="str">
        <f t="shared" si="35"/>
        <v>1200</v>
      </c>
      <c r="BC412">
        <v>1</v>
      </c>
      <c r="BD412" t="str">
        <f t="shared" si="36"/>
        <v xml:space="preserve">N445JS  </v>
      </c>
      <c r="BE412">
        <v>7</v>
      </c>
      <c r="BG412">
        <v>0</v>
      </c>
      <c r="BH412">
        <v>0</v>
      </c>
      <c r="BI412">
        <v>0</v>
      </c>
      <c r="BJ412">
        <v>3075</v>
      </c>
      <c r="BK412">
        <v>-225</v>
      </c>
      <c r="BL412" t="s">
        <v>132</v>
      </c>
      <c r="BM412">
        <v>1</v>
      </c>
      <c r="BN412">
        <v>1</v>
      </c>
      <c r="BO412">
        <v>1</v>
      </c>
      <c r="BP412">
        <v>0</v>
      </c>
      <c r="BT412">
        <v>0</v>
      </c>
      <c r="BU412">
        <v>0</v>
      </c>
      <c r="CE412" t="str">
        <f>"15:39:17.898"</f>
        <v>15:39:17.898</v>
      </c>
      <c r="CF412">
        <v>897722250</v>
      </c>
      <c r="CS412">
        <v>0</v>
      </c>
      <c r="CT412">
        <v>2</v>
      </c>
      <c r="CU412">
        <v>0</v>
      </c>
      <c r="CV412">
        <v>2</v>
      </c>
      <c r="CW412">
        <v>0</v>
      </c>
      <c r="CX412">
        <v>7</v>
      </c>
      <c r="CY412">
        <v>7</v>
      </c>
      <c r="CZ412" t="s">
        <v>133</v>
      </c>
      <c r="DA412">
        <v>125</v>
      </c>
      <c r="DB412">
        <v>0</v>
      </c>
      <c r="DC412" t="s">
        <v>134</v>
      </c>
      <c r="DD412" t="s">
        <v>135</v>
      </c>
      <c r="DG412">
        <v>3507598</v>
      </c>
      <c r="DI412">
        <v>0</v>
      </c>
      <c r="DJ412">
        <v>0</v>
      </c>
      <c r="DK412">
        <v>1</v>
      </c>
      <c r="DL412">
        <v>0</v>
      </c>
      <c r="DM412">
        <v>0</v>
      </c>
      <c r="DN412">
        <v>0</v>
      </c>
      <c r="DO412">
        <v>0</v>
      </c>
      <c r="DP412">
        <v>0</v>
      </c>
      <c r="DQ412">
        <v>0</v>
      </c>
      <c r="DR412">
        <v>0</v>
      </c>
      <c r="DS412">
        <v>0</v>
      </c>
    </row>
    <row r="413" spans="1:123" x14ac:dyDescent="0.25">
      <c r="A413" t="str">
        <f>"04/17/2026 15:39:18.178"</f>
        <v>04/17/2026 15:39:18.178</v>
      </c>
      <c r="C413" t="str">
        <f t="shared" si="33"/>
        <v>FFDFD3C0</v>
      </c>
      <c r="D413" t="s">
        <v>136</v>
      </c>
      <c r="E413" t="str">
        <f>"0F"</f>
        <v>0F</v>
      </c>
      <c r="F413">
        <v>1015</v>
      </c>
      <c r="G413" t="s">
        <v>138</v>
      </c>
      <c r="J413" t="s">
        <v>137</v>
      </c>
      <c r="K413">
        <v>0</v>
      </c>
      <c r="L413">
        <v>3</v>
      </c>
      <c r="M413">
        <v>0</v>
      </c>
      <c r="N413">
        <v>2</v>
      </c>
      <c r="O413">
        <v>1</v>
      </c>
      <c r="P413">
        <v>0</v>
      </c>
      <c r="Q413">
        <v>0</v>
      </c>
      <c r="R413" t="s">
        <v>127</v>
      </c>
      <c r="S413" t="str">
        <f>"15:39:17.891"</f>
        <v>15:39:17.891</v>
      </c>
      <c r="T413" t="str">
        <f>"15:39:17.591"</f>
        <v>15:39:17.591</v>
      </c>
      <c r="U413" t="str">
        <f t="shared" si="34"/>
        <v>A55E09</v>
      </c>
      <c r="V413">
        <v>0</v>
      </c>
      <c r="W413">
        <v>0</v>
      </c>
      <c r="X413">
        <v>2</v>
      </c>
      <c r="Y413">
        <v>0</v>
      </c>
      <c r="AA413">
        <v>0</v>
      </c>
      <c r="AB413">
        <v>9</v>
      </c>
      <c r="AC413">
        <v>3</v>
      </c>
      <c r="AD413">
        <v>0</v>
      </c>
      <c r="AE413">
        <v>9</v>
      </c>
      <c r="AF413" t="s">
        <v>128</v>
      </c>
      <c r="AG413">
        <v>0</v>
      </c>
      <c r="AH413">
        <v>0</v>
      </c>
      <c r="AI413">
        <v>1</v>
      </c>
      <c r="AJ413">
        <v>0</v>
      </c>
      <c r="AK413" t="s">
        <v>338</v>
      </c>
      <c r="AL413">
        <v>33.695433000000001</v>
      </c>
      <c r="AM413" t="s">
        <v>339</v>
      </c>
      <c r="AN413">
        <v>-101.20970199999999</v>
      </c>
      <c r="AO413">
        <v>100</v>
      </c>
      <c r="AP413">
        <v>3300</v>
      </c>
      <c r="AQ413" t="s">
        <v>131</v>
      </c>
      <c r="AR413">
        <v>-20</v>
      </c>
      <c r="AS413">
        <v>85</v>
      </c>
      <c r="AT413">
        <v>0</v>
      </c>
      <c r="BB413" t="str">
        <f t="shared" si="35"/>
        <v>1200</v>
      </c>
      <c r="BC413">
        <v>1</v>
      </c>
      <c r="BD413" t="str">
        <f t="shared" si="36"/>
        <v xml:space="preserve">N445JS  </v>
      </c>
      <c r="BE413">
        <v>7</v>
      </c>
      <c r="BG413">
        <v>0</v>
      </c>
      <c r="BH413">
        <v>0</v>
      </c>
      <c r="BI413">
        <v>0</v>
      </c>
      <c r="BJ413">
        <v>3075</v>
      </c>
      <c r="BK413">
        <v>-225</v>
      </c>
      <c r="BL413" t="s">
        <v>132</v>
      </c>
      <c r="BM413">
        <v>1</v>
      </c>
      <c r="BN413">
        <v>1</v>
      </c>
      <c r="BO413">
        <v>1</v>
      </c>
      <c r="BP413">
        <v>0</v>
      </c>
      <c r="BT413">
        <v>0</v>
      </c>
      <c r="BU413">
        <v>0</v>
      </c>
      <c r="CE413" t="str">
        <f>"15:39:17.898"</f>
        <v>15:39:17.898</v>
      </c>
      <c r="CF413">
        <v>897722250</v>
      </c>
      <c r="CS413">
        <v>0</v>
      </c>
      <c r="CT413">
        <v>2</v>
      </c>
      <c r="CU413">
        <v>0</v>
      </c>
      <c r="CV413">
        <v>2</v>
      </c>
      <c r="CW413">
        <v>0</v>
      </c>
      <c r="CX413">
        <v>7</v>
      </c>
      <c r="CY413">
        <v>7</v>
      </c>
      <c r="CZ413" t="s">
        <v>133</v>
      </c>
      <c r="DA413">
        <v>125</v>
      </c>
      <c r="DB413">
        <v>0</v>
      </c>
      <c r="DC413" t="s">
        <v>134</v>
      </c>
      <c r="DD413" t="s">
        <v>135</v>
      </c>
      <c r="DG413">
        <v>3507598</v>
      </c>
      <c r="DI413">
        <v>0</v>
      </c>
      <c r="DJ413">
        <v>0</v>
      </c>
      <c r="DK413">
        <v>1</v>
      </c>
      <c r="DL413">
        <v>0</v>
      </c>
      <c r="DM413">
        <v>0</v>
      </c>
      <c r="DN413">
        <v>0</v>
      </c>
      <c r="DO413">
        <v>0</v>
      </c>
      <c r="DP413">
        <v>0</v>
      </c>
      <c r="DQ413">
        <v>0</v>
      </c>
      <c r="DR413">
        <v>0</v>
      </c>
      <c r="DS413">
        <v>0</v>
      </c>
    </row>
    <row r="414" spans="1:123" x14ac:dyDescent="0.25">
      <c r="A414" t="str">
        <f>"04/17/2026 15:39:18.968"</f>
        <v>04/17/2026 15:39:18.968</v>
      </c>
      <c r="C414" t="str">
        <f t="shared" si="33"/>
        <v>FFDFD3C0</v>
      </c>
      <c r="D414" t="s">
        <v>139</v>
      </c>
      <c r="E414" t="str">
        <f>"28"</f>
        <v>28</v>
      </c>
      <c r="H414">
        <v>140</v>
      </c>
      <c r="I414" t="s">
        <v>140</v>
      </c>
      <c r="J414" t="s">
        <v>141</v>
      </c>
      <c r="K414">
        <v>0</v>
      </c>
      <c r="L414">
        <v>3</v>
      </c>
      <c r="M414">
        <v>0</v>
      </c>
      <c r="N414">
        <v>2</v>
      </c>
      <c r="O414">
        <v>1</v>
      </c>
      <c r="P414">
        <v>0</v>
      </c>
      <c r="Q414">
        <v>0</v>
      </c>
      <c r="R414" t="s">
        <v>127</v>
      </c>
      <c r="S414" t="str">
        <f>"15:39:18.750"</f>
        <v>15:39:18.750</v>
      </c>
      <c r="T414" t="str">
        <f>"15:39:18.550"</f>
        <v>15:39:18.550</v>
      </c>
      <c r="U414" t="str">
        <f t="shared" si="34"/>
        <v>A55E09</v>
      </c>
      <c r="V414">
        <v>0</v>
      </c>
      <c r="W414">
        <v>0</v>
      </c>
      <c r="X414">
        <v>2</v>
      </c>
      <c r="Y414">
        <v>0</v>
      </c>
      <c r="AA414">
        <v>0</v>
      </c>
      <c r="AB414">
        <v>9</v>
      </c>
      <c r="AC414">
        <v>3</v>
      </c>
      <c r="AD414">
        <v>0</v>
      </c>
      <c r="AE414">
        <v>9</v>
      </c>
      <c r="AF414" t="s">
        <v>128</v>
      </c>
      <c r="AG414">
        <v>0</v>
      </c>
      <c r="AH414">
        <v>0</v>
      </c>
      <c r="AI414">
        <v>1</v>
      </c>
      <c r="AJ414">
        <v>0</v>
      </c>
      <c r="AK414" t="s">
        <v>340</v>
      </c>
      <c r="AL414">
        <v>33.695754999999998</v>
      </c>
      <c r="AM414" t="s">
        <v>341</v>
      </c>
      <c r="AN414">
        <v>-101.20981</v>
      </c>
      <c r="AO414">
        <v>100</v>
      </c>
      <c r="AP414">
        <v>3300</v>
      </c>
      <c r="AQ414" t="s">
        <v>131</v>
      </c>
      <c r="AR414">
        <v>-20</v>
      </c>
      <c r="AS414">
        <v>85</v>
      </c>
      <c r="AT414">
        <v>-192</v>
      </c>
      <c r="BB414" t="str">
        <f t="shared" si="35"/>
        <v>1200</v>
      </c>
      <c r="BC414">
        <v>1</v>
      </c>
      <c r="BD414" t="str">
        <f t="shared" si="36"/>
        <v xml:space="preserve">N445JS  </v>
      </c>
      <c r="BE414">
        <v>7</v>
      </c>
      <c r="BG414">
        <v>0</v>
      </c>
      <c r="BH414">
        <v>0</v>
      </c>
      <c r="BI414">
        <v>0</v>
      </c>
      <c r="BJ414">
        <v>3075</v>
      </c>
      <c r="BK414">
        <v>-225</v>
      </c>
      <c r="BL414" t="s">
        <v>132</v>
      </c>
      <c r="BM414">
        <v>1</v>
      </c>
      <c r="BN414">
        <v>1</v>
      </c>
      <c r="BO414">
        <v>1</v>
      </c>
      <c r="BP414">
        <v>0</v>
      </c>
      <c r="BT414">
        <v>0</v>
      </c>
      <c r="BU414">
        <v>0</v>
      </c>
      <c r="CE414" t="str">
        <f>"15:39:18.753"</f>
        <v>15:39:18.753</v>
      </c>
      <c r="CF414">
        <v>752638448</v>
      </c>
      <c r="CS414">
        <v>0</v>
      </c>
      <c r="CT414">
        <v>2</v>
      </c>
      <c r="CU414">
        <v>0</v>
      </c>
      <c r="CV414">
        <v>2</v>
      </c>
      <c r="CW414">
        <v>0</v>
      </c>
      <c r="CX414">
        <v>7</v>
      </c>
      <c r="CY414">
        <v>7</v>
      </c>
      <c r="CZ414" t="s">
        <v>133</v>
      </c>
      <c r="DA414">
        <v>125</v>
      </c>
      <c r="DB414">
        <v>1</v>
      </c>
      <c r="DC414" t="s">
        <v>134</v>
      </c>
      <c r="DD414" t="s">
        <v>135</v>
      </c>
      <c r="DG414">
        <v>2548308</v>
      </c>
      <c r="DI414">
        <v>0</v>
      </c>
      <c r="DJ414">
        <v>0</v>
      </c>
      <c r="DK414">
        <v>0</v>
      </c>
      <c r="DL414">
        <v>0</v>
      </c>
      <c r="DM414">
        <v>0</v>
      </c>
      <c r="DN414">
        <v>0</v>
      </c>
      <c r="DO414">
        <v>0</v>
      </c>
      <c r="DP414">
        <v>0</v>
      </c>
      <c r="DQ414">
        <v>0</v>
      </c>
      <c r="DR414">
        <v>0</v>
      </c>
      <c r="DS414">
        <v>0</v>
      </c>
    </row>
    <row r="415" spans="1:123" x14ac:dyDescent="0.25">
      <c r="A415" t="str">
        <f>"04/17/2026 15:39:18.977"</f>
        <v>04/17/2026 15:39:18.977</v>
      </c>
      <c r="C415" t="str">
        <f t="shared" si="33"/>
        <v>FFDFD3C0</v>
      </c>
      <c r="D415" t="s">
        <v>136</v>
      </c>
      <c r="E415" t="str">
        <f>"0E"</f>
        <v>0E</v>
      </c>
      <c r="F415">
        <v>1014</v>
      </c>
      <c r="G415" t="s">
        <v>125</v>
      </c>
      <c r="J415" t="s">
        <v>137</v>
      </c>
      <c r="K415">
        <v>0</v>
      </c>
      <c r="L415">
        <v>3</v>
      </c>
      <c r="M415">
        <v>0</v>
      </c>
      <c r="N415">
        <v>2</v>
      </c>
      <c r="O415">
        <v>1</v>
      </c>
      <c r="P415">
        <v>0</v>
      </c>
      <c r="Q415">
        <v>0</v>
      </c>
      <c r="R415" t="s">
        <v>127</v>
      </c>
      <c r="S415" t="str">
        <f>"15:39:18.750"</f>
        <v>15:39:18.750</v>
      </c>
      <c r="T415" t="str">
        <f>"15:39:18.550"</f>
        <v>15:39:18.550</v>
      </c>
      <c r="U415" t="str">
        <f t="shared" si="34"/>
        <v>A55E09</v>
      </c>
      <c r="V415">
        <v>0</v>
      </c>
      <c r="W415">
        <v>0</v>
      </c>
      <c r="X415">
        <v>2</v>
      </c>
      <c r="Y415">
        <v>0</v>
      </c>
      <c r="AA415">
        <v>0</v>
      </c>
      <c r="AB415">
        <v>9</v>
      </c>
      <c r="AC415">
        <v>3</v>
      </c>
      <c r="AD415">
        <v>0</v>
      </c>
      <c r="AE415">
        <v>9</v>
      </c>
      <c r="AF415" t="s">
        <v>128</v>
      </c>
      <c r="AG415">
        <v>0</v>
      </c>
      <c r="AH415">
        <v>0</v>
      </c>
      <c r="AI415">
        <v>1</v>
      </c>
      <c r="AJ415">
        <v>0</v>
      </c>
      <c r="AK415" t="s">
        <v>340</v>
      </c>
      <c r="AL415">
        <v>33.695754999999998</v>
      </c>
      <c r="AM415" t="s">
        <v>341</v>
      </c>
      <c r="AN415">
        <v>-101.20981</v>
      </c>
      <c r="AO415">
        <v>100</v>
      </c>
      <c r="AP415">
        <v>3300</v>
      </c>
      <c r="AQ415" t="s">
        <v>131</v>
      </c>
      <c r="AR415">
        <v>-20</v>
      </c>
      <c r="AS415">
        <v>85</v>
      </c>
      <c r="AT415">
        <v>-192</v>
      </c>
      <c r="BB415" t="str">
        <f t="shared" si="35"/>
        <v>1200</v>
      </c>
      <c r="BC415">
        <v>1</v>
      </c>
      <c r="BD415" t="str">
        <f t="shared" si="36"/>
        <v xml:space="preserve">N445JS  </v>
      </c>
      <c r="BE415">
        <v>7</v>
      </c>
      <c r="BG415">
        <v>0</v>
      </c>
      <c r="BH415">
        <v>0</v>
      </c>
      <c r="BI415">
        <v>0</v>
      </c>
      <c r="BJ415">
        <v>3075</v>
      </c>
      <c r="BK415">
        <v>-225</v>
      </c>
      <c r="BL415" t="s">
        <v>132</v>
      </c>
      <c r="BM415">
        <v>1</v>
      </c>
      <c r="BN415">
        <v>1</v>
      </c>
      <c r="BO415">
        <v>1</v>
      </c>
      <c r="BP415">
        <v>0</v>
      </c>
      <c r="BT415">
        <v>0</v>
      </c>
      <c r="BU415">
        <v>0</v>
      </c>
      <c r="CE415" t="str">
        <f>"15:39:18.753"</f>
        <v>15:39:18.753</v>
      </c>
      <c r="CF415">
        <v>752638448</v>
      </c>
      <c r="CS415">
        <v>0</v>
      </c>
      <c r="CT415">
        <v>2</v>
      </c>
      <c r="CU415">
        <v>0</v>
      </c>
      <c r="CV415">
        <v>2</v>
      </c>
      <c r="CW415">
        <v>0</v>
      </c>
      <c r="CX415">
        <v>7</v>
      </c>
      <c r="CY415">
        <v>7</v>
      </c>
      <c r="CZ415" t="s">
        <v>133</v>
      </c>
      <c r="DA415">
        <v>125</v>
      </c>
      <c r="DB415">
        <v>1</v>
      </c>
      <c r="DC415" t="s">
        <v>134</v>
      </c>
      <c r="DD415" t="s">
        <v>135</v>
      </c>
      <c r="DG415">
        <v>2548308</v>
      </c>
      <c r="DI415">
        <v>0</v>
      </c>
      <c r="DJ415">
        <v>0</v>
      </c>
      <c r="DK415">
        <v>1</v>
      </c>
      <c r="DL415">
        <v>0</v>
      </c>
      <c r="DM415">
        <v>0</v>
      </c>
      <c r="DN415">
        <v>0</v>
      </c>
      <c r="DO415">
        <v>0</v>
      </c>
      <c r="DP415">
        <v>0</v>
      </c>
      <c r="DQ415">
        <v>0</v>
      </c>
      <c r="DR415">
        <v>0</v>
      </c>
      <c r="DS415">
        <v>0</v>
      </c>
    </row>
    <row r="416" spans="1:123" x14ac:dyDescent="0.25">
      <c r="A416" t="str">
        <f>"04/17/2026 15:39:18.979"</f>
        <v>04/17/2026 15:39:18.979</v>
      </c>
      <c r="C416" t="str">
        <f t="shared" si="33"/>
        <v>FFDFD3C0</v>
      </c>
      <c r="D416" t="s">
        <v>136</v>
      </c>
      <c r="E416" t="str">
        <f>"0F"</f>
        <v>0F</v>
      </c>
      <c r="F416">
        <v>1015</v>
      </c>
      <c r="G416" t="s">
        <v>138</v>
      </c>
      <c r="J416" t="s">
        <v>137</v>
      </c>
      <c r="K416">
        <v>0</v>
      </c>
      <c r="L416">
        <v>3</v>
      </c>
      <c r="M416">
        <v>0</v>
      </c>
      <c r="N416">
        <v>2</v>
      </c>
      <c r="O416">
        <v>1</v>
      </c>
      <c r="P416">
        <v>0</v>
      </c>
      <c r="Q416">
        <v>0</v>
      </c>
      <c r="R416" t="s">
        <v>127</v>
      </c>
      <c r="S416" t="str">
        <f>"15:39:18.750"</f>
        <v>15:39:18.750</v>
      </c>
      <c r="T416" t="str">
        <f>"15:39:18.550"</f>
        <v>15:39:18.550</v>
      </c>
      <c r="U416" t="str">
        <f t="shared" si="34"/>
        <v>A55E09</v>
      </c>
      <c r="V416">
        <v>0</v>
      </c>
      <c r="W416">
        <v>0</v>
      </c>
      <c r="X416">
        <v>2</v>
      </c>
      <c r="Y416">
        <v>0</v>
      </c>
      <c r="AA416">
        <v>0</v>
      </c>
      <c r="AB416">
        <v>9</v>
      </c>
      <c r="AC416">
        <v>3</v>
      </c>
      <c r="AD416">
        <v>0</v>
      </c>
      <c r="AE416">
        <v>9</v>
      </c>
      <c r="AF416" t="s">
        <v>128</v>
      </c>
      <c r="AG416">
        <v>0</v>
      </c>
      <c r="AH416">
        <v>0</v>
      </c>
      <c r="AI416">
        <v>1</v>
      </c>
      <c r="AJ416">
        <v>0</v>
      </c>
      <c r="AK416" t="s">
        <v>340</v>
      </c>
      <c r="AL416">
        <v>33.695754999999998</v>
      </c>
      <c r="AM416" t="s">
        <v>341</v>
      </c>
      <c r="AN416">
        <v>-101.20981</v>
      </c>
      <c r="AO416">
        <v>100</v>
      </c>
      <c r="AP416">
        <v>3300</v>
      </c>
      <c r="AQ416" t="s">
        <v>131</v>
      </c>
      <c r="AR416">
        <v>-20</v>
      </c>
      <c r="AS416">
        <v>85</v>
      </c>
      <c r="AT416">
        <v>-192</v>
      </c>
      <c r="BB416" t="str">
        <f t="shared" si="35"/>
        <v>1200</v>
      </c>
      <c r="BC416">
        <v>1</v>
      </c>
      <c r="BD416" t="str">
        <f t="shared" si="36"/>
        <v xml:space="preserve">N445JS  </v>
      </c>
      <c r="BE416">
        <v>7</v>
      </c>
      <c r="BG416">
        <v>0</v>
      </c>
      <c r="BH416">
        <v>0</v>
      </c>
      <c r="BI416">
        <v>0</v>
      </c>
      <c r="BJ416">
        <v>3075</v>
      </c>
      <c r="BK416">
        <v>-225</v>
      </c>
      <c r="BL416" t="s">
        <v>132</v>
      </c>
      <c r="BM416">
        <v>1</v>
      </c>
      <c r="BN416">
        <v>1</v>
      </c>
      <c r="BO416">
        <v>1</v>
      </c>
      <c r="BP416">
        <v>0</v>
      </c>
      <c r="BT416">
        <v>0</v>
      </c>
      <c r="BU416">
        <v>0</v>
      </c>
      <c r="CE416" t="str">
        <f>"15:39:18.753"</f>
        <v>15:39:18.753</v>
      </c>
      <c r="CF416">
        <v>752638448</v>
      </c>
      <c r="CS416">
        <v>0</v>
      </c>
      <c r="CT416">
        <v>2</v>
      </c>
      <c r="CU416">
        <v>0</v>
      </c>
      <c r="CV416">
        <v>2</v>
      </c>
      <c r="CW416">
        <v>0</v>
      </c>
      <c r="CX416">
        <v>7</v>
      </c>
      <c r="CY416">
        <v>7</v>
      </c>
      <c r="CZ416" t="s">
        <v>133</v>
      </c>
      <c r="DA416">
        <v>125</v>
      </c>
      <c r="DB416">
        <v>1</v>
      </c>
      <c r="DC416" t="s">
        <v>134</v>
      </c>
      <c r="DD416" t="s">
        <v>135</v>
      </c>
      <c r="DG416">
        <v>2548308</v>
      </c>
      <c r="DI416">
        <v>0</v>
      </c>
      <c r="DJ416">
        <v>0</v>
      </c>
      <c r="DK416">
        <v>1</v>
      </c>
      <c r="DL416">
        <v>0</v>
      </c>
      <c r="DM416">
        <v>0</v>
      </c>
      <c r="DN416">
        <v>0</v>
      </c>
      <c r="DO416">
        <v>0</v>
      </c>
      <c r="DP416">
        <v>0</v>
      </c>
      <c r="DQ416">
        <v>0</v>
      </c>
      <c r="DR416">
        <v>0</v>
      </c>
      <c r="DS416">
        <v>0</v>
      </c>
    </row>
    <row r="417" spans="1:123" x14ac:dyDescent="0.25">
      <c r="A417" t="str">
        <f>"04/17/2026 15:39:18.991"</f>
        <v>04/17/2026 15:39:18.991</v>
      </c>
      <c r="C417" t="str">
        <f t="shared" si="33"/>
        <v>FFDFD3C0</v>
      </c>
      <c r="D417" t="s">
        <v>124</v>
      </c>
      <c r="E417" t="str">
        <f>"03"</f>
        <v>03</v>
      </c>
      <c r="H417">
        <v>160</v>
      </c>
      <c r="I417" t="s">
        <v>125</v>
      </c>
      <c r="J417" t="s">
        <v>126</v>
      </c>
      <c r="K417">
        <v>0</v>
      </c>
      <c r="L417">
        <v>3</v>
      </c>
      <c r="M417">
        <v>0</v>
      </c>
      <c r="N417">
        <v>2</v>
      </c>
      <c r="O417">
        <v>1</v>
      </c>
      <c r="P417">
        <v>0</v>
      </c>
      <c r="Q417">
        <v>0</v>
      </c>
      <c r="R417" t="s">
        <v>127</v>
      </c>
      <c r="S417" t="str">
        <f>"15:39:18.750"</f>
        <v>15:39:18.750</v>
      </c>
      <c r="T417" t="str">
        <f>"15:39:18.550"</f>
        <v>15:39:18.550</v>
      </c>
      <c r="U417" t="str">
        <f t="shared" si="34"/>
        <v>A55E09</v>
      </c>
      <c r="V417">
        <v>0</v>
      </c>
      <c r="W417">
        <v>0</v>
      </c>
      <c r="X417">
        <v>2</v>
      </c>
      <c r="Y417">
        <v>0</v>
      </c>
      <c r="AA417">
        <v>0</v>
      </c>
      <c r="AB417">
        <v>9</v>
      </c>
      <c r="AC417">
        <v>3</v>
      </c>
      <c r="AD417">
        <v>0</v>
      </c>
      <c r="AE417">
        <v>9</v>
      </c>
      <c r="AF417" t="s">
        <v>128</v>
      </c>
      <c r="AG417">
        <v>0</v>
      </c>
      <c r="AH417">
        <v>0</v>
      </c>
      <c r="AI417">
        <v>1</v>
      </c>
      <c r="AJ417">
        <v>0</v>
      </c>
      <c r="AK417" t="s">
        <v>340</v>
      </c>
      <c r="AL417">
        <v>33.695754999999998</v>
      </c>
      <c r="AM417" t="s">
        <v>341</v>
      </c>
      <c r="AN417">
        <v>-101.20981</v>
      </c>
      <c r="AO417">
        <v>100</v>
      </c>
      <c r="AP417">
        <v>3300</v>
      </c>
      <c r="AQ417" t="s">
        <v>131</v>
      </c>
      <c r="AR417">
        <v>-20</v>
      </c>
      <c r="AS417">
        <v>85</v>
      </c>
      <c r="AT417">
        <v>-192</v>
      </c>
      <c r="BB417" t="str">
        <f t="shared" si="35"/>
        <v>1200</v>
      </c>
      <c r="BC417">
        <v>1</v>
      </c>
      <c r="BD417" t="str">
        <f t="shared" si="36"/>
        <v xml:space="preserve">N445JS  </v>
      </c>
      <c r="BE417">
        <v>7</v>
      </c>
      <c r="BG417">
        <v>0</v>
      </c>
      <c r="BH417">
        <v>0</v>
      </c>
      <c r="BI417">
        <v>0</v>
      </c>
      <c r="BJ417">
        <v>3075</v>
      </c>
      <c r="BK417">
        <v>-225</v>
      </c>
      <c r="BL417" t="s">
        <v>132</v>
      </c>
      <c r="BM417">
        <v>1</v>
      </c>
      <c r="BN417">
        <v>1</v>
      </c>
      <c r="BO417">
        <v>1</v>
      </c>
      <c r="BP417">
        <v>0</v>
      </c>
      <c r="BT417">
        <v>0</v>
      </c>
      <c r="BU417">
        <v>0</v>
      </c>
      <c r="CE417" t="str">
        <f>"15:39:18.753"</f>
        <v>15:39:18.753</v>
      </c>
      <c r="CF417">
        <v>752638448</v>
      </c>
      <c r="CS417">
        <v>0</v>
      </c>
      <c r="CT417">
        <v>2</v>
      </c>
      <c r="CU417">
        <v>0</v>
      </c>
      <c r="CV417">
        <v>2</v>
      </c>
      <c r="CW417">
        <v>0</v>
      </c>
      <c r="CX417">
        <v>7</v>
      </c>
      <c r="CY417">
        <v>7</v>
      </c>
      <c r="CZ417" t="s">
        <v>133</v>
      </c>
      <c r="DA417">
        <v>125</v>
      </c>
      <c r="DB417">
        <v>1</v>
      </c>
      <c r="DC417" t="s">
        <v>134</v>
      </c>
      <c r="DD417" t="s">
        <v>135</v>
      </c>
      <c r="DG417">
        <v>2548308</v>
      </c>
      <c r="DI417">
        <v>0</v>
      </c>
      <c r="DJ417">
        <v>0</v>
      </c>
      <c r="DK417">
        <v>1</v>
      </c>
      <c r="DL417">
        <v>0</v>
      </c>
      <c r="DM417">
        <v>0</v>
      </c>
      <c r="DN417">
        <v>0</v>
      </c>
      <c r="DO417">
        <v>0</v>
      </c>
      <c r="DP417">
        <v>0</v>
      </c>
      <c r="DQ417">
        <v>0</v>
      </c>
      <c r="DR417">
        <v>0</v>
      </c>
      <c r="DS417">
        <v>0</v>
      </c>
    </row>
    <row r="418" spans="1:123" x14ac:dyDescent="0.25">
      <c r="A418" t="str">
        <f>"04/17/2026 15:39:20.122"</f>
        <v>04/17/2026 15:39:20.122</v>
      </c>
      <c r="C418" t="str">
        <f t="shared" si="33"/>
        <v>FFDFD3C0</v>
      </c>
      <c r="D418" t="s">
        <v>139</v>
      </c>
      <c r="E418" t="str">
        <f>"28"</f>
        <v>28</v>
      </c>
      <c r="H418">
        <v>140</v>
      </c>
      <c r="I418" t="s">
        <v>140</v>
      </c>
      <c r="J418" t="s">
        <v>141</v>
      </c>
      <c r="K418">
        <v>0</v>
      </c>
      <c r="L418">
        <v>3</v>
      </c>
      <c r="M418">
        <v>0</v>
      </c>
      <c r="N418">
        <v>2</v>
      </c>
      <c r="O418">
        <v>1</v>
      </c>
      <c r="P418">
        <v>0</v>
      </c>
      <c r="Q418">
        <v>0</v>
      </c>
      <c r="R418" t="s">
        <v>127</v>
      </c>
      <c r="S418" t="str">
        <f>"15:39:19.875"</f>
        <v>15:39:19.875</v>
      </c>
      <c r="T418" t="str">
        <f>"15:39:19.575"</f>
        <v>15:39:19.575</v>
      </c>
      <c r="U418" t="str">
        <f t="shared" si="34"/>
        <v>A55E09</v>
      </c>
      <c r="V418">
        <v>0</v>
      </c>
      <c r="W418">
        <v>0</v>
      </c>
      <c r="X418">
        <v>2</v>
      </c>
      <c r="Y418">
        <v>0</v>
      </c>
      <c r="AA418">
        <v>0</v>
      </c>
      <c r="AB418">
        <v>9</v>
      </c>
      <c r="AC418">
        <v>3</v>
      </c>
      <c r="AD418">
        <v>0</v>
      </c>
      <c r="AE418">
        <v>9</v>
      </c>
      <c r="AF418" t="s">
        <v>128</v>
      </c>
      <c r="AG418">
        <v>0</v>
      </c>
      <c r="AH418">
        <v>0</v>
      </c>
      <c r="AI418">
        <v>1</v>
      </c>
      <c r="AJ418">
        <v>0</v>
      </c>
      <c r="AK418" t="s">
        <v>342</v>
      </c>
      <c r="AL418">
        <v>33.696205999999997</v>
      </c>
      <c r="AM418" t="s">
        <v>343</v>
      </c>
      <c r="AN418">
        <v>-101.209981</v>
      </c>
      <c r="AO418">
        <v>100</v>
      </c>
      <c r="AP418">
        <v>3300</v>
      </c>
      <c r="AQ418" t="s">
        <v>131</v>
      </c>
      <c r="AR418">
        <v>-19</v>
      </c>
      <c r="AS418">
        <v>86</v>
      </c>
      <c r="AT418">
        <v>-256</v>
      </c>
      <c r="BB418" t="str">
        <f t="shared" si="35"/>
        <v>1200</v>
      </c>
      <c r="BC418">
        <v>1</v>
      </c>
      <c r="BD418" t="str">
        <f t="shared" si="36"/>
        <v xml:space="preserve">N445JS  </v>
      </c>
      <c r="BE418">
        <v>7</v>
      </c>
      <c r="BG418">
        <v>0</v>
      </c>
      <c r="BH418">
        <v>0</v>
      </c>
      <c r="BI418">
        <v>0</v>
      </c>
      <c r="BJ418">
        <v>3075</v>
      </c>
      <c r="BK418">
        <v>-225</v>
      </c>
      <c r="BL418" t="s">
        <v>132</v>
      </c>
      <c r="BM418">
        <v>1</v>
      </c>
      <c r="BN418">
        <v>1</v>
      </c>
      <c r="BO418">
        <v>1</v>
      </c>
      <c r="BP418">
        <v>0</v>
      </c>
      <c r="BT418">
        <v>0</v>
      </c>
      <c r="BU418">
        <v>0</v>
      </c>
      <c r="CE418" t="str">
        <f>"15:39:19.878"</f>
        <v>15:39:19.878</v>
      </c>
      <c r="CF418">
        <v>877528179</v>
      </c>
      <c r="CS418">
        <v>0</v>
      </c>
      <c r="CT418">
        <v>2</v>
      </c>
      <c r="CU418">
        <v>0</v>
      </c>
      <c r="CV418">
        <v>2</v>
      </c>
      <c r="CW418">
        <v>0</v>
      </c>
      <c r="CX418">
        <v>7</v>
      </c>
      <c r="CY418">
        <v>7</v>
      </c>
      <c r="CZ418" t="s">
        <v>133</v>
      </c>
      <c r="DA418">
        <v>125</v>
      </c>
      <c r="DB418">
        <v>0</v>
      </c>
      <c r="DC418" t="s">
        <v>134</v>
      </c>
      <c r="DD418" t="s">
        <v>135</v>
      </c>
      <c r="DG418">
        <v>3509831</v>
      </c>
      <c r="DI418">
        <v>0</v>
      </c>
      <c r="DJ418">
        <v>0</v>
      </c>
      <c r="DK418">
        <v>0</v>
      </c>
      <c r="DL418">
        <v>0</v>
      </c>
      <c r="DM418">
        <v>0</v>
      </c>
      <c r="DN418">
        <v>0</v>
      </c>
      <c r="DO418">
        <v>0</v>
      </c>
      <c r="DP418">
        <v>0</v>
      </c>
      <c r="DQ418">
        <v>0</v>
      </c>
      <c r="DR418">
        <v>0</v>
      </c>
      <c r="DS418">
        <v>0</v>
      </c>
    </row>
    <row r="419" spans="1:123" x14ac:dyDescent="0.25">
      <c r="A419" t="str">
        <f>"04/17/2026 15:39:20.129"</f>
        <v>04/17/2026 15:39:20.129</v>
      </c>
      <c r="C419" t="str">
        <f t="shared" si="33"/>
        <v>FFDFD3C0</v>
      </c>
      <c r="D419" t="s">
        <v>136</v>
      </c>
      <c r="E419" t="str">
        <f>"0E"</f>
        <v>0E</v>
      </c>
      <c r="F419">
        <v>1014</v>
      </c>
      <c r="G419" t="s">
        <v>125</v>
      </c>
      <c r="J419" t="s">
        <v>137</v>
      </c>
      <c r="K419">
        <v>0</v>
      </c>
      <c r="L419">
        <v>3</v>
      </c>
      <c r="M419">
        <v>0</v>
      </c>
      <c r="N419">
        <v>2</v>
      </c>
      <c r="O419">
        <v>1</v>
      </c>
      <c r="P419">
        <v>0</v>
      </c>
      <c r="Q419">
        <v>0</v>
      </c>
      <c r="R419" t="s">
        <v>127</v>
      </c>
      <c r="S419" t="str">
        <f>"15:39:19.875"</f>
        <v>15:39:19.875</v>
      </c>
      <c r="T419" t="str">
        <f>"15:39:19.575"</f>
        <v>15:39:19.575</v>
      </c>
      <c r="U419" t="str">
        <f t="shared" si="34"/>
        <v>A55E09</v>
      </c>
      <c r="V419">
        <v>0</v>
      </c>
      <c r="W419">
        <v>0</v>
      </c>
      <c r="X419">
        <v>2</v>
      </c>
      <c r="Y419">
        <v>0</v>
      </c>
      <c r="AA419">
        <v>0</v>
      </c>
      <c r="AB419">
        <v>9</v>
      </c>
      <c r="AC419">
        <v>3</v>
      </c>
      <c r="AD419">
        <v>0</v>
      </c>
      <c r="AE419">
        <v>9</v>
      </c>
      <c r="AF419" t="s">
        <v>128</v>
      </c>
      <c r="AG419">
        <v>0</v>
      </c>
      <c r="AH419">
        <v>0</v>
      </c>
      <c r="AI419">
        <v>1</v>
      </c>
      <c r="AJ419">
        <v>0</v>
      </c>
      <c r="AK419" t="s">
        <v>342</v>
      </c>
      <c r="AL419">
        <v>33.696205999999997</v>
      </c>
      <c r="AM419" t="s">
        <v>343</v>
      </c>
      <c r="AN419">
        <v>-101.209981</v>
      </c>
      <c r="AO419">
        <v>100</v>
      </c>
      <c r="AP419">
        <v>3300</v>
      </c>
      <c r="AQ419" t="s">
        <v>131</v>
      </c>
      <c r="AR419">
        <v>-19</v>
      </c>
      <c r="AS419">
        <v>86</v>
      </c>
      <c r="AT419">
        <v>-256</v>
      </c>
      <c r="BB419" t="str">
        <f t="shared" si="35"/>
        <v>1200</v>
      </c>
      <c r="BC419">
        <v>1</v>
      </c>
      <c r="BD419" t="str">
        <f t="shared" si="36"/>
        <v xml:space="preserve">N445JS  </v>
      </c>
      <c r="BE419">
        <v>7</v>
      </c>
      <c r="BG419">
        <v>0</v>
      </c>
      <c r="BH419">
        <v>0</v>
      </c>
      <c r="BI419">
        <v>0</v>
      </c>
      <c r="BJ419">
        <v>3075</v>
      </c>
      <c r="BK419">
        <v>-225</v>
      </c>
      <c r="BL419" t="s">
        <v>132</v>
      </c>
      <c r="BM419">
        <v>1</v>
      </c>
      <c r="BN419">
        <v>1</v>
      </c>
      <c r="BO419">
        <v>1</v>
      </c>
      <c r="BP419">
        <v>0</v>
      </c>
      <c r="BT419">
        <v>0</v>
      </c>
      <c r="BU419">
        <v>0</v>
      </c>
      <c r="CE419" t="str">
        <f>"15:39:19.878"</f>
        <v>15:39:19.878</v>
      </c>
      <c r="CF419">
        <v>877528179</v>
      </c>
      <c r="CS419">
        <v>0</v>
      </c>
      <c r="CT419">
        <v>2</v>
      </c>
      <c r="CU419">
        <v>0</v>
      </c>
      <c r="CV419">
        <v>2</v>
      </c>
      <c r="CW419">
        <v>0</v>
      </c>
      <c r="CX419">
        <v>7</v>
      </c>
      <c r="CY419">
        <v>7</v>
      </c>
      <c r="CZ419" t="s">
        <v>133</v>
      </c>
      <c r="DA419">
        <v>125</v>
      </c>
      <c r="DB419">
        <v>0</v>
      </c>
      <c r="DC419" t="s">
        <v>134</v>
      </c>
      <c r="DD419" t="s">
        <v>135</v>
      </c>
      <c r="DG419">
        <v>3509831</v>
      </c>
      <c r="DI419">
        <v>0</v>
      </c>
      <c r="DJ419">
        <v>0</v>
      </c>
      <c r="DK419">
        <v>1</v>
      </c>
      <c r="DL419">
        <v>0</v>
      </c>
      <c r="DM419">
        <v>0</v>
      </c>
      <c r="DN419">
        <v>0</v>
      </c>
      <c r="DO419">
        <v>0</v>
      </c>
      <c r="DP419">
        <v>0</v>
      </c>
      <c r="DQ419">
        <v>0</v>
      </c>
      <c r="DR419">
        <v>0</v>
      </c>
      <c r="DS419">
        <v>0</v>
      </c>
    </row>
    <row r="420" spans="1:123" x14ac:dyDescent="0.25">
      <c r="A420" t="str">
        <f>"04/17/2026 15:39:20.131"</f>
        <v>04/17/2026 15:39:20.131</v>
      </c>
      <c r="C420" t="str">
        <f t="shared" si="33"/>
        <v>FFDFD3C0</v>
      </c>
      <c r="D420" t="s">
        <v>136</v>
      </c>
      <c r="E420" t="str">
        <f>"0F"</f>
        <v>0F</v>
      </c>
      <c r="F420">
        <v>1015</v>
      </c>
      <c r="G420" t="s">
        <v>138</v>
      </c>
      <c r="J420" t="s">
        <v>137</v>
      </c>
      <c r="K420">
        <v>0</v>
      </c>
      <c r="L420">
        <v>3</v>
      </c>
      <c r="M420">
        <v>0</v>
      </c>
      <c r="N420">
        <v>2</v>
      </c>
      <c r="O420">
        <v>1</v>
      </c>
      <c r="P420">
        <v>0</v>
      </c>
      <c r="Q420">
        <v>0</v>
      </c>
      <c r="R420" t="s">
        <v>127</v>
      </c>
      <c r="S420" t="str">
        <f>"15:39:19.875"</f>
        <v>15:39:19.875</v>
      </c>
      <c r="T420" t="str">
        <f>"15:39:19.575"</f>
        <v>15:39:19.575</v>
      </c>
      <c r="U420" t="str">
        <f t="shared" si="34"/>
        <v>A55E09</v>
      </c>
      <c r="V420">
        <v>0</v>
      </c>
      <c r="W420">
        <v>0</v>
      </c>
      <c r="X420">
        <v>2</v>
      </c>
      <c r="Y420">
        <v>0</v>
      </c>
      <c r="AA420">
        <v>0</v>
      </c>
      <c r="AB420">
        <v>9</v>
      </c>
      <c r="AC420">
        <v>3</v>
      </c>
      <c r="AD420">
        <v>0</v>
      </c>
      <c r="AE420">
        <v>9</v>
      </c>
      <c r="AF420" t="s">
        <v>128</v>
      </c>
      <c r="AG420">
        <v>0</v>
      </c>
      <c r="AH420">
        <v>0</v>
      </c>
      <c r="AI420">
        <v>1</v>
      </c>
      <c r="AJ420">
        <v>0</v>
      </c>
      <c r="AK420" t="s">
        <v>342</v>
      </c>
      <c r="AL420">
        <v>33.696205999999997</v>
      </c>
      <c r="AM420" t="s">
        <v>343</v>
      </c>
      <c r="AN420">
        <v>-101.209981</v>
      </c>
      <c r="AO420">
        <v>100</v>
      </c>
      <c r="AP420">
        <v>3300</v>
      </c>
      <c r="AQ420" t="s">
        <v>131</v>
      </c>
      <c r="AR420">
        <v>-19</v>
      </c>
      <c r="AS420">
        <v>86</v>
      </c>
      <c r="AT420">
        <v>-256</v>
      </c>
      <c r="BB420" t="str">
        <f t="shared" si="35"/>
        <v>1200</v>
      </c>
      <c r="BC420">
        <v>1</v>
      </c>
      <c r="BD420" t="str">
        <f t="shared" si="36"/>
        <v xml:space="preserve">N445JS  </v>
      </c>
      <c r="BE420">
        <v>7</v>
      </c>
      <c r="BG420">
        <v>0</v>
      </c>
      <c r="BH420">
        <v>0</v>
      </c>
      <c r="BI420">
        <v>0</v>
      </c>
      <c r="BJ420">
        <v>3075</v>
      </c>
      <c r="BK420">
        <v>-225</v>
      </c>
      <c r="BL420" t="s">
        <v>132</v>
      </c>
      <c r="BM420">
        <v>1</v>
      </c>
      <c r="BN420">
        <v>1</v>
      </c>
      <c r="BO420">
        <v>1</v>
      </c>
      <c r="BP420">
        <v>0</v>
      </c>
      <c r="BT420">
        <v>0</v>
      </c>
      <c r="BU420">
        <v>0</v>
      </c>
      <c r="CE420" t="str">
        <f>"15:39:19.878"</f>
        <v>15:39:19.878</v>
      </c>
      <c r="CF420">
        <v>877528179</v>
      </c>
      <c r="CS420">
        <v>0</v>
      </c>
      <c r="CT420">
        <v>2</v>
      </c>
      <c r="CU420">
        <v>0</v>
      </c>
      <c r="CV420">
        <v>2</v>
      </c>
      <c r="CW420">
        <v>0</v>
      </c>
      <c r="CX420">
        <v>7</v>
      </c>
      <c r="CY420">
        <v>7</v>
      </c>
      <c r="CZ420" t="s">
        <v>133</v>
      </c>
      <c r="DA420">
        <v>125</v>
      </c>
      <c r="DB420">
        <v>0</v>
      </c>
      <c r="DC420" t="s">
        <v>134</v>
      </c>
      <c r="DD420" t="s">
        <v>135</v>
      </c>
      <c r="DG420">
        <v>3509831</v>
      </c>
      <c r="DI420">
        <v>0</v>
      </c>
      <c r="DJ420">
        <v>0</v>
      </c>
      <c r="DK420">
        <v>1</v>
      </c>
      <c r="DL420">
        <v>0</v>
      </c>
      <c r="DM420">
        <v>0</v>
      </c>
      <c r="DN420">
        <v>0</v>
      </c>
      <c r="DO420">
        <v>0</v>
      </c>
      <c r="DP420">
        <v>0</v>
      </c>
      <c r="DQ420">
        <v>0</v>
      </c>
      <c r="DR420">
        <v>0</v>
      </c>
      <c r="DS420">
        <v>0</v>
      </c>
    </row>
    <row r="421" spans="1:123" x14ac:dyDescent="0.25">
      <c r="A421" t="str">
        <f>"04/17/2026 15:39:20.144"</f>
        <v>04/17/2026 15:39:20.144</v>
      </c>
      <c r="C421" t="str">
        <f t="shared" si="33"/>
        <v>FFDFD3C0</v>
      </c>
      <c r="D421" t="s">
        <v>124</v>
      </c>
      <c r="E421" t="str">
        <f>"03"</f>
        <v>03</v>
      </c>
      <c r="H421">
        <v>160</v>
      </c>
      <c r="I421" t="s">
        <v>125</v>
      </c>
      <c r="J421" t="s">
        <v>126</v>
      </c>
      <c r="K421">
        <v>0</v>
      </c>
      <c r="L421">
        <v>3</v>
      </c>
      <c r="M421">
        <v>0</v>
      </c>
      <c r="N421">
        <v>2</v>
      </c>
      <c r="O421">
        <v>1</v>
      </c>
      <c r="P421">
        <v>0</v>
      </c>
      <c r="Q421">
        <v>0</v>
      </c>
      <c r="R421" t="s">
        <v>127</v>
      </c>
      <c r="S421" t="str">
        <f>"15:39:19.875"</f>
        <v>15:39:19.875</v>
      </c>
      <c r="T421" t="str">
        <f>"15:39:19.575"</f>
        <v>15:39:19.575</v>
      </c>
      <c r="U421" t="str">
        <f t="shared" si="34"/>
        <v>A55E09</v>
      </c>
      <c r="V421">
        <v>0</v>
      </c>
      <c r="W421">
        <v>0</v>
      </c>
      <c r="X421">
        <v>2</v>
      </c>
      <c r="Y421">
        <v>0</v>
      </c>
      <c r="AA421">
        <v>0</v>
      </c>
      <c r="AB421">
        <v>9</v>
      </c>
      <c r="AC421">
        <v>3</v>
      </c>
      <c r="AD421">
        <v>0</v>
      </c>
      <c r="AE421">
        <v>9</v>
      </c>
      <c r="AF421" t="s">
        <v>128</v>
      </c>
      <c r="AG421">
        <v>0</v>
      </c>
      <c r="AH421">
        <v>0</v>
      </c>
      <c r="AI421">
        <v>1</v>
      </c>
      <c r="AJ421">
        <v>0</v>
      </c>
      <c r="AK421" t="s">
        <v>342</v>
      </c>
      <c r="AL421">
        <v>33.696205999999997</v>
      </c>
      <c r="AM421" t="s">
        <v>343</v>
      </c>
      <c r="AN421">
        <v>-101.209981</v>
      </c>
      <c r="AO421">
        <v>100</v>
      </c>
      <c r="AP421">
        <v>3300</v>
      </c>
      <c r="AQ421" t="s">
        <v>131</v>
      </c>
      <c r="AR421">
        <v>-19</v>
      </c>
      <c r="AS421">
        <v>86</v>
      </c>
      <c r="AT421">
        <v>-256</v>
      </c>
      <c r="BB421" t="str">
        <f t="shared" si="35"/>
        <v>1200</v>
      </c>
      <c r="BC421">
        <v>1</v>
      </c>
      <c r="BD421" t="str">
        <f t="shared" si="36"/>
        <v xml:space="preserve">N445JS  </v>
      </c>
      <c r="BE421">
        <v>7</v>
      </c>
      <c r="BG421">
        <v>0</v>
      </c>
      <c r="BH421">
        <v>0</v>
      </c>
      <c r="BI421">
        <v>0</v>
      </c>
      <c r="BJ421">
        <v>3075</v>
      </c>
      <c r="BK421">
        <v>-225</v>
      </c>
      <c r="BL421" t="s">
        <v>132</v>
      </c>
      <c r="BM421">
        <v>1</v>
      </c>
      <c r="BN421">
        <v>1</v>
      </c>
      <c r="BO421">
        <v>1</v>
      </c>
      <c r="BP421">
        <v>0</v>
      </c>
      <c r="BT421">
        <v>0</v>
      </c>
      <c r="BU421">
        <v>0</v>
      </c>
      <c r="CE421" t="str">
        <f>"15:39:19.878"</f>
        <v>15:39:19.878</v>
      </c>
      <c r="CF421">
        <v>877528179</v>
      </c>
      <c r="CS421">
        <v>0</v>
      </c>
      <c r="CT421">
        <v>2</v>
      </c>
      <c r="CU421">
        <v>0</v>
      </c>
      <c r="CV421">
        <v>2</v>
      </c>
      <c r="CW421">
        <v>0</v>
      </c>
      <c r="CX421">
        <v>7</v>
      </c>
      <c r="CY421">
        <v>7</v>
      </c>
      <c r="CZ421" t="s">
        <v>133</v>
      </c>
      <c r="DA421">
        <v>125</v>
      </c>
      <c r="DB421">
        <v>0</v>
      </c>
      <c r="DC421" t="s">
        <v>134</v>
      </c>
      <c r="DD421" t="s">
        <v>135</v>
      </c>
      <c r="DG421">
        <v>3509831</v>
      </c>
      <c r="DI421">
        <v>0</v>
      </c>
      <c r="DJ421">
        <v>0</v>
      </c>
      <c r="DK421">
        <v>1</v>
      </c>
      <c r="DL421">
        <v>0</v>
      </c>
      <c r="DM421">
        <v>0</v>
      </c>
      <c r="DN421">
        <v>0</v>
      </c>
      <c r="DO421">
        <v>0</v>
      </c>
      <c r="DP421">
        <v>0</v>
      </c>
      <c r="DQ421">
        <v>0</v>
      </c>
      <c r="DR421">
        <v>0</v>
      </c>
      <c r="DS421">
        <v>0</v>
      </c>
    </row>
    <row r="422" spans="1:123" x14ac:dyDescent="0.25">
      <c r="A422" t="str">
        <f>"04/17/2026 15:39:21.045"</f>
        <v>04/17/2026 15:39:21.045</v>
      </c>
      <c r="C422" t="str">
        <f t="shared" si="33"/>
        <v>FFDFD3C0</v>
      </c>
      <c r="D422" t="s">
        <v>124</v>
      </c>
      <c r="E422" t="str">
        <f>"03"</f>
        <v>03</v>
      </c>
      <c r="H422">
        <v>160</v>
      </c>
      <c r="I422" t="s">
        <v>125</v>
      </c>
      <c r="J422" t="s">
        <v>126</v>
      </c>
      <c r="K422">
        <v>0</v>
      </c>
      <c r="L422">
        <v>3</v>
      </c>
      <c r="M422">
        <v>0</v>
      </c>
      <c r="N422">
        <v>2</v>
      </c>
      <c r="O422">
        <v>1</v>
      </c>
      <c r="P422">
        <v>0</v>
      </c>
      <c r="Q422">
        <v>0</v>
      </c>
      <c r="R422" t="s">
        <v>127</v>
      </c>
      <c r="S422" t="str">
        <f>"15:39:20.805"</f>
        <v>15:39:20.805</v>
      </c>
      <c r="T422" t="str">
        <f>"15:39:20.505"</f>
        <v>15:39:20.505</v>
      </c>
      <c r="U422" t="str">
        <f t="shared" si="34"/>
        <v>A55E09</v>
      </c>
      <c r="V422">
        <v>0</v>
      </c>
      <c r="W422">
        <v>0</v>
      </c>
      <c r="X422">
        <v>2</v>
      </c>
      <c r="Y422">
        <v>0</v>
      </c>
      <c r="AA422">
        <v>0</v>
      </c>
      <c r="AB422">
        <v>9</v>
      </c>
      <c r="AC422">
        <v>3</v>
      </c>
      <c r="AD422">
        <v>0</v>
      </c>
      <c r="AE422">
        <v>9</v>
      </c>
      <c r="AF422" t="s">
        <v>128</v>
      </c>
      <c r="AG422">
        <v>0</v>
      </c>
      <c r="AH422">
        <v>0</v>
      </c>
      <c r="AI422">
        <v>1</v>
      </c>
      <c r="AJ422">
        <v>0</v>
      </c>
      <c r="AK422" t="s">
        <v>344</v>
      </c>
      <c r="AL422">
        <v>33.696612999999999</v>
      </c>
      <c r="AM422" t="s">
        <v>345</v>
      </c>
      <c r="AN422">
        <v>-101.210003</v>
      </c>
      <c r="AO422">
        <v>100</v>
      </c>
      <c r="AP422">
        <v>3300</v>
      </c>
      <c r="AQ422" t="s">
        <v>131</v>
      </c>
      <c r="AR422">
        <v>-18</v>
      </c>
      <c r="AS422">
        <v>87</v>
      </c>
      <c r="AT422">
        <v>-320</v>
      </c>
      <c r="BB422" t="str">
        <f t="shared" si="35"/>
        <v>1200</v>
      </c>
      <c r="BC422">
        <v>1</v>
      </c>
      <c r="BD422" t="str">
        <f t="shared" si="36"/>
        <v xml:space="preserve">N445JS  </v>
      </c>
      <c r="BE422">
        <v>7</v>
      </c>
      <c r="BG422">
        <v>0</v>
      </c>
      <c r="BH422">
        <v>0</v>
      </c>
      <c r="BI422">
        <v>0</v>
      </c>
      <c r="BJ422">
        <v>3075</v>
      </c>
      <c r="BK422">
        <v>-225</v>
      </c>
      <c r="BL422" t="s">
        <v>132</v>
      </c>
      <c r="BM422">
        <v>1</v>
      </c>
      <c r="BN422">
        <v>1</v>
      </c>
      <c r="BO422">
        <v>1</v>
      </c>
      <c r="BP422">
        <v>0</v>
      </c>
      <c r="BT422">
        <v>0</v>
      </c>
      <c r="BU422">
        <v>0</v>
      </c>
      <c r="CE422" t="str">
        <f>"15:39:20.807"</f>
        <v>15:39:20.807</v>
      </c>
      <c r="CF422">
        <v>807437030</v>
      </c>
      <c r="CS422">
        <v>0</v>
      </c>
      <c r="CT422">
        <v>2</v>
      </c>
      <c r="CU422">
        <v>0</v>
      </c>
      <c r="CV422">
        <v>2</v>
      </c>
      <c r="CW422">
        <v>0</v>
      </c>
      <c r="CX422">
        <v>7</v>
      </c>
      <c r="CY422">
        <v>7</v>
      </c>
      <c r="CZ422" t="s">
        <v>133</v>
      </c>
      <c r="DA422">
        <v>125</v>
      </c>
      <c r="DB422">
        <v>0</v>
      </c>
      <c r="DC422" t="s">
        <v>134</v>
      </c>
      <c r="DD422" t="s">
        <v>135</v>
      </c>
      <c r="DG422">
        <v>3510885</v>
      </c>
      <c r="DI422">
        <v>0</v>
      </c>
      <c r="DJ422">
        <v>0</v>
      </c>
      <c r="DK422">
        <v>0</v>
      </c>
      <c r="DL422">
        <v>0</v>
      </c>
      <c r="DM422">
        <v>0</v>
      </c>
      <c r="DN422">
        <v>0</v>
      </c>
      <c r="DO422">
        <v>0</v>
      </c>
      <c r="DP422">
        <v>0</v>
      </c>
      <c r="DQ422">
        <v>0</v>
      </c>
      <c r="DR422">
        <v>0</v>
      </c>
      <c r="DS422">
        <v>0</v>
      </c>
    </row>
    <row r="423" spans="1:123" x14ac:dyDescent="0.25">
      <c r="A423" t="str">
        <f>"04/17/2026 15:39:21.074"</f>
        <v>04/17/2026 15:39:21.074</v>
      </c>
      <c r="C423" t="str">
        <f t="shared" si="33"/>
        <v>FFDFD3C0</v>
      </c>
      <c r="D423" t="s">
        <v>139</v>
      </c>
      <c r="E423" t="str">
        <f>"28"</f>
        <v>28</v>
      </c>
      <c r="H423">
        <v>140</v>
      </c>
      <c r="I423" t="s">
        <v>140</v>
      </c>
      <c r="J423" t="s">
        <v>141</v>
      </c>
      <c r="K423">
        <v>0</v>
      </c>
      <c r="L423">
        <v>3</v>
      </c>
      <c r="M423">
        <v>0</v>
      </c>
      <c r="N423">
        <v>2</v>
      </c>
      <c r="O423">
        <v>1</v>
      </c>
      <c r="P423">
        <v>0</v>
      </c>
      <c r="Q423">
        <v>0</v>
      </c>
      <c r="R423" t="s">
        <v>127</v>
      </c>
      <c r="S423" t="str">
        <f>"15:39:20.805"</f>
        <v>15:39:20.805</v>
      </c>
      <c r="T423" t="str">
        <f>"15:39:20.505"</f>
        <v>15:39:20.505</v>
      </c>
      <c r="U423" t="str">
        <f t="shared" si="34"/>
        <v>A55E09</v>
      </c>
      <c r="V423">
        <v>0</v>
      </c>
      <c r="W423">
        <v>0</v>
      </c>
      <c r="X423">
        <v>2</v>
      </c>
      <c r="Y423">
        <v>0</v>
      </c>
      <c r="AA423">
        <v>0</v>
      </c>
      <c r="AB423">
        <v>9</v>
      </c>
      <c r="AC423">
        <v>3</v>
      </c>
      <c r="AD423">
        <v>0</v>
      </c>
      <c r="AE423">
        <v>9</v>
      </c>
      <c r="AF423" t="s">
        <v>128</v>
      </c>
      <c r="AG423">
        <v>0</v>
      </c>
      <c r="AH423">
        <v>0</v>
      </c>
      <c r="AI423">
        <v>1</v>
      </c>
      <c r="AJ423">
        <v>0</v>
      </c>
      <c r="AK423" t="s">
        <v>344</v>
      </c>
      <c r="AL423">
        <v>33.696612999999999</v>
      </c>
      <c r="AM423" t="s">
        <v>345</v>
      </c>
      <c r="AN423">
        <v>-101.210003</v>
      </c>
      <c r="AO423">
        <v>100</v>
      </c>
      <c r="AP423">
        <v>3300</v>
      </c>
      <c r="AQ423" t="s">
        <v>131</v>
      </c>
      <c r="AR423">
        <v>-18</v>
      </c>
      <c r="AS423">
        <v>87</v>
      </c>
      <c r="AT423">
        <v>-320</v>
      </c>
      <c r="BB423" t="str">
        <f t="shared" si="35"/>
        <v>1200</v>
      </c>
      <c r="BC423">
        <v>1</v>
      </c>
      <c r="BD423" t="str">
        <f t="shared" si="36"/>
        <v xml:space="preserve">N445JS  </v>
      </c>
      <c r="BE423">
        <v>7</v>
      </c>
      <c r="BG423">
        <v>0</v>
      </c>
      <c r="BH423">
        <v>0</v>
      </c>
      <c r="BI423">
        <v>0</v>
      </c>
      <c r="BJ423">
        <v>3075</v>
      </c>
      <c r="BK423">
        <v>-225</v>
      </c>
      <c r="BL423" t="s">
        <v>132</v>
      </c>
      <c r="BM423">
        <v>1</v>
      </c>
      <c r="BN423">
        <v>1</v>
      </c>
      <c r="BO423">
        <v>1</v>
      </c>
      <c r="BP423">
        <v>0</v>
      </c>
      <c r="BT423">
        <v>0</v>
      </c>
      <c r="BU423">
        <v>0</v>
      </c>
      <c r="CE423" t="str">
        <f>"15:39:20.807"</f>
        <v>15:39:20.807</v>
      </c>
      <c r="CF423">
        <v>807437030</v>
      </c>
      <c r="CS423">
        <v>0</v>
      </c>
      <c r="CT423">
        <v>2</v>
      </c>
      <c r="CU423">
        <v>0</v>
      </c>
      <c r="CV423">
        <v>2</v>
      </c>
      <c r="CW423">
        <v>0</v>
      </c>
      <c r="CX423">
        <v>7</v>
      </c>
      <c r="CY423">
        <v>7</v>
      </c>
      <c r="CZ423" t="s">
        <v>133</v>
      </c>
      <c r="DA423">
        <v>125</v>
      </c>
      <c r="DB423">
        <v>0</v>
      </c>
      <c r="DC423" t="s">
        <v>134</v>
      </c>
      <c r="DD423" t="s">
        <v>135</v>
      </c>
      <c r="DG423">
        <v>3510885</v>
      </c>
      <c r="DI423">
        <v>0</v>
      </c>
      <c r="DJ423">
        <v>0</v>
      </c>
      <c r="DK423">
        <v>1</v>
      </c>
      <c r="DL423">
        <v>0</v>
      </c>
      <c r="DM423">
        <v>0</v>
      </c>
      <c r="DN423">
        <v>0</v>
      </c>
      <c r="DO423">
        <v>0</v>
      </c>
      <c r="DP423">
        <v>0</v>
      </c>
      <c r="DQ423">
        <v>0</v>
      </c>
      <c r="DR423">
        <v>0</v>
      </c>
      <c r="DS423">
        <v>0</v>
      </c>
    </row>
    <row r="424" spans="1:123" x14ac:dyDescent="0.25">
      <c r="A424" t="str">
        <f>"04/17/2026 15:39:21.080"</f>
        <v>04/17/2026 15:39:21.080</v>
      </c>
      <c r="C424" t="str">
        <f t="shared" si="33"/>
        <v>FFDFD3C0</v>
      </c>
      <c r="D424" t="s">
        <v>136</v>
      </c>
      <c r="E424" t="str">
        <f>"0E"</f>
        <v>0E</v>
      </c>
      <c r="F424">
        <v>1014</v>
      </c>
      <c r="G424" t="s">
        <v>125</v>
      </c>
      <c r="J424" t="s">
        <v>137</v>
      </c>
      <c r="K424">
        <v>0</v>
      </c>
      <c r="L424">
        <v>3</v>
      </c>
      <c r="M424">
        <v>0</v>
      </c>
      <c r="N424">
        <v>2</v>
      </c>
      <c r="O424">
        <v>1</v>
      </c>
      <c r="P424">
        <v>0</v>
      </c>
      <c r="Q424">
        <v>0</v>
      </c>
      <c r="R424" t="s">
        <v>127</v>
      </c>
      <c r="S424" t="str">
        <f>"15:39:20.805"</f>
        <v>15:39:20.805</v>
      </c>
      <c r="T424" t="str">
        <f>"15:39:20.505"</f>
        <v>15:39:20.505</v>
      </c>
      <c r="U424" t="str">
        <f t="shared" si="34"/>
        <v>A55E09</v>
      </c>
      <c r="V424">
        <v>0</v>
      </c>
      <c r="W424">
        <v>0</v>
      </c>
      <c r="X424">
        <v>2</v>
      </c>
      <c r="Y424">
        <v>0</v>
      </c>
      <c r="AA424">
        <v>0</v>
      </c>
      <c r="AB424">
        <v>9</v>
      </c>
      <c r="AC424">
        <v>3</v>
      </c>
      <c r="AD424">
        <v>0</v>
      </c>
      <c r="AE424">
        <v>9</v>
      </c>
      <c r="AF424" t="s">
        <v>128</v>
      </c>
      <c r="AG424">
        <v>0</v>
      </c>
      <c r="AH424">
        <v>0</v>
      </c>
      <c r="AI424">
        <v>1</v>
      </c>
      <c r="AJ424">
        <v>0</v>
      </c>
      <c r="AK424" t="s">
        <v>344</v>
      </c>
      <c r="AL424">
        <v>33.696612999999999</v>
      </c>
      <c r="AM424" t="s">
        <v>345</v>
      </c>
      <c r="AN424">
        <v>-101.210003</v>
      </c>
      <c r="AO424">
        <v>100</v>
      </c>
      <c r="AP424">
        <v>3300</v>
      </c>
      <c r="AQ424" t="s">
        <v>131</v>
      </c>
      <c r="AR424">
        <v>-18</v>
      </c>
      <c r="AS424">
        <v>87</v>
      </c>
      <c r="AT424">
        <v>-320</v>
      </c>
      <c r="BB424" t="str">
        <f t="shared" si="35"/>
        <v>1200</v>
      </c>
      <c r="BC424">
        <v>1</v>
      </c>
      <c r="BD424" t="str">
        <f t="shared" si="36"/>
        <v xml:space="preserve">N445JS  </v>
      </c>
      <c r="BE424">
        <v>7</v>
      </c>
      <c r="BG424">
        <v>0</v>
      </c>
      <c r="BH424">
        <v>0</v>
      </c>
      <c r="BI424">
        <v>0</v>
      </c>
      <c r="BJ424">
        <v>3075</v>
      </c>
      <c r="BK424">
        <v>-225</v>
      </c>
      <c r="BL424" t="s">
        <v>132</v>
      </c>
      <c r="BM424">
        <v>1</v>
      </c>
      <c r="BN424">
        <v>1</v>
      </c>
      <c r="BO424">
        <v>1</v>
      </c>
      <c r="BP424">
        <v>0</v>
      </c>
      <c r="BT424">
        <v>0</v>
      </c>
      <c r="BU424">
        <v>0</v>
      </c>
      <c r="CE424" t="str">
        <f>"15:39:20.807"</f>
        <v>15:39:20.807</v>
      </c>
      <c r="CF424">
        <v>807437030</v>
      </c>
      <c r="CS424">
        <v>0</v>
      </c>
      <c r="CT424">
        <v>2</v>
      </c>
      <c r="CU424">
        <v>0</v>
      </c>
      <c r="CV424">
        <v>2</v>
      </c>
      <c r="CW424">
        <v>0</v>
      </c>
      <c r="CX424">
        <v>7</v>
      </c>
      <c r="CY424">
        <v>7</v>
      </c>
      <c r="CZ424" t="s">
        <v>133</v>
      </c>
      <c r="DA424">
        <v>125</v>
      </c>
      <c r="DB424">
        <v>0</v>
      </c>
      <c r="DC424" t="s">
        <v>134</v>
      </c>
      <c r="DD424" t="s">
        <v>135</v>
      </c>
      <c r="DG424">
        <v>3510885</v>
      </c>
      <c r="DI424">
        <v>0</v>
      </c>
      <c r="DJ424">
        <v>0</v>
      </c>
      <c r="DK424">
        <v>1</v>
      </c>
      <c r="DL424">
        <v>0</v>
      </c>
      <c r="DM424">
        <v>0</v>
      </c>
      <c r="DN424">
        <v>0</v>
      </c>
      <c r="DO424">
        <v>0</v>
      </c>
      <c r="DP424">
        <v>0</v>
      </c>
      <c r="DQ424">
        <v>0</v>
      </c>
      <c r="DR424">
        <v>0</v>
      </c>
      <c r="DS424">
        <v>0</v>
      </c>
    </row>
    <row r="425" spans="1:123" x14ac:dyDescent="0.25">
      <c r="A425" t="str">
        <f>"04/17/2026 15:39:21.082"</f>
        <v>04/17/2026 15:39:21.082</v>
      </c>
      <c r="C425" t="str">
        <f t="shared" si="33"/>
        <v>FFDFD3C0</v>
      </c>
      <c r="D425" t="s">
        <v>136</v>
      </c>
      <c r="E425" t="str">
        <f>"0F"</f>
        <v>0F</v>
      </c>
      <c r="F425">
        <v>1015</v>
      </c>
      <c r="G425" t="s">
        <v>138</v>
      </c>
      <c r="J425" t="s">
        <v>137</v>
      </c>
      <c r="K425">
        <v>0</v>
      </c>
      <c r="L425">
        <v>3</v>
      </c>
      <c r="M425">
        <v>0</v>
      </c>
      <c r="N425">
        <v>2</v>
      </c>
      <c r="O425">
        <v>1</v>
      </c>
      <c r="P425">
        <v>0</v>
      </c>
      <c r="Q425">
        <v>0</v>
      </c>
      <c r="R425" t="s">
        <v>127</v>
      </c>
      <c r="S425" t="str">
        <f>"15:39:20.805"</f>
        <v>15:39:20.805</v>
      </c>
      <c r="T425" t="str">
        <f>"15:39:20.505"</f>
        <v>15:39:20.505</v>
      </c>
      <c r="U425" t="str">
        <f t="shared" si="34"/>
        <v>A55E09</v>
      </c>
      <c r="V425">
        <v>0</v>
      </c>
      <c r="W425">
        <v>0</v>
      </c>
      <c r="X425">
        <v>2</v>
      </c>
      <c r="Y425">
        <v>0</v>
      </c>
      <c r="AA425">
        <v>0</v>
      </c>
      <c r="AB425">
        <v>9</v>
      </c>
      <c r="AC425">
        <v>3</v>
      </c>
      <c r="AD425">
        <v>0</v>
      </c>
      <c r="AE425">
        <v>9</v>
      </c>
      <c r="AF425" t="s">
        <v>128</v>
      </c>
      <c r="AG425">
        <v>0</v>
      </c>
      <c r="AH425">
        <v>0</v>
      </c>
      <c r="AI425">
        <v>1</v>
      </c>
      <c r="AJ425">
        <v>0</v>
      </c>
      <c r="AK425" t="s">
        <v>344</v>
      </c>
      <c r="AL425">
        <v>33.696612999999999</v>
      </c>
      <c r="AM425" t="s">
        <v>345</v>
      </c>
      <c r="AN425">
        <v>-101.210003</v>
      </c>
      <c r="AO425">
        <v>100</v>
      </c>
      <c r="AP425">
        <v>3300</v>
      </c>
      <c r="AQ425" t="s">
        <v>131</v>
      </c>
      <c r="AR425">
        <v>-18</v>
      </c>
      <c r="AS425">
        <v>87</v>
      </c>
      <c r="AT425">
        <v>-320</v>
      </c>
      <c r="BB425" t="str">
        <f t="shared" si="35"/>
        <v>1200</v>
      </c>
      <c r="BC425">
        <v>1</v>
      </c>
      <c r="BD425" t="str">
        <f t="shared" si="36"/>
        <v xml:space="preserve">N445JS  </v>
      </c>
      <c r="BE425">
        <v>7</v>
      </c>
      <c r="BG425">
        <v>0</v>
      </c>
      <c r="BH425">
        <v>0</v>
      </c>
      <c r="BI425">
        <v>0</v>
      </c>
      <c r="BJ425">
        <v>3075</v>
      </c>
      <c r="BK425">
        <v>-225</v>
      </c>
      <c r="BL425" t="s">
        <v>132</v>
      </c>
      <c r="BM425">
        <v>1</v>
      </c>
      <c r="BN425">
        <v>1</v>
      </c>
      <c r="BO425">
        <v>1</v>
      </c>
      <c r="BP425">
        <v>0</v>
      </c>
      <c r="BT425">
        <v>0</v>
      </c>
      <c r="BU425">
        <v>0</v>
      </c>
      <c r="CE425" t="str">
        <f>"15:39:20.807"</f>
        <v>15:39:20.807</v>
      </c>
      <c r="CF425">
        <v>807437030</v>
      </c>
      <c r="CS425">
        <v>0</v>
      </c>
      <c r="CT425">
        <v>2</v>
      </c>
      <c r="CU425">
        <v>0</v>
      </c>
      <c r="CV425">
        <v>2</v>
      </c>
      <c r="CW425">
        <v>0</v>
      </c>
      <c r="CX425">
        <v>7</v>
      </c>
      <c r="CY425">
        <v>7</v>
      </c>
      <c r="CZ425" t="s">
        <v>133</v>
      </c>
      <c r="DA425">
        <v>125</v>
      </c>
      <c r="DB425">
        <v>0</v>
      </c>
      <c r="DC425" t="s">
        <v>134</v>
      </c>
      <c r="DD425" t="s">
        <v>135</v>
      </c>
      <c r="DG425">
        <v>3510885</v>
      </c>
      <c r="DI425">
        <v>0</v>
      </c>
      <c r="DJ425">
        <v>0</v>
      </c>
      <c r="DK425">
        <v>1</v>
      </c>
      <c r="DL425">
        <v>0</v>
      </c>
      <c r="DM425">
        <v>0</v>
      </c>
      <c r="DN425">
        <v>0</v>
      </c>
      <c r="DO425">
        <v>0</v>
      </c>
      <c r="DP425">
        <v>0</v>
      </c>
      <c r="DQ425">
        <v>0</v>
      </c>
      <c r="DR425">
        <v>0</v>
      </c>
      <c r="DS425">
        <v>0</v>
      </c>
    </row>
    <row r="426" spans="1:123" x14ac:dyDescent="0.25">
      <c r="A426" t="str">
        <f>"04/17/2026 15:39:22.126"</f>
        <v>04/17/2026 15:39:22.126</v>
      </c>
      <c r="C426" t="str">
        <f t="shared" si="33"/>
        <v>FFDFD3C0</v>
      </c>
      <c r="D426" t="s">
        <v>139</v>
      </c>
      <c r="E426" t="str">
        <f>"28"</f>
        <v>28</v>
      </c>
      <c r="H426">
        <v>140</v>
      </c>
      <c r="I426" t="s">
        <v>140</v>
      </c>
      <c r="J426" t="s">
        <v>141</v>
      </c>
      <c r="K426">
        <v>0</v>
      </c>
      <c r="L426">
        <v>3</v>
      </c>
      <c r="M426">
        <v>0</v>
      </c>
      <c r="N426">
        <v>2</v>
      </c>
      <c r="O426">
        <v>1</v>
      </c>
      <c r="P426">
        <v>0</v>
      </c>
      <c r="Q426">
        <v>0</v>
      </c>
      <c r="R426" t="s">
        <v>127</v>
      </c>
      <c r="S426" t="str">
        <f>"15:39:21.883"</f>
        <v>15:39:21.883</v>
      </c>
      <c r="T426" t="str">
        <f>"15:39:21.583"</f>
        <v>15:39:21.583</v>
      </c>
      <c r="U426" t="str">
        <f t="shared" si="34"/>
        <v>A55E09</v>
      </c>
      <c r="V426">
        <v>0</v>
      </c>
      <c r="W426">
        <v>0</v>
      </c>
      <c r="X426">
        <v>2</v>
      </c>
      <c r="Y426">
        <v>0</v>
      </c>
      <c r="AA426">
        <v>0</v>
      </c>
      <c r="AB426">
        <v>9</v>
      </c>
      <c r="AC426">
        <v>3</v>
      </c>
      <c r="AD426">
        <v>0</v>
      </c>
      <c r="AE426">
        <v>9</v>
      </c>
      <c r="AF426" t="s">
        <v>128</v>
      </c>
      <c r="AG426">
        <v>0</v>
      </c>
      <c r="AH426">
        <v>0</v>
      </c>
      <c r="AI426">
        <v>1</v>
      </c>
      <c r="AJ426">
        <v>0</v>
      </c>
      <c r="AK426" t="s">
        <v>346</v>
      </c>
      <c r="AL426">
        <v>33.697042000000003</v>
      </c>
      <c r="AM426" t="s">
        <v>347</v>
      </c>
      <c r="AN426">
        <v>-101.21015300000001</v>
      </c>
      <c r="AO426">
        <v>100</v>
      </c>
      <c r="AP426">
        <v>3300</v>
      </c>
      <c r="AQ426" t="s">
        <v>131</v>
      </c>
      <c r="AR426">
        <v>-16</v>
      </c>
      <c r="AS426">
        <v>87</v>
      </c>
      <c r="AT426">
        <v>-320</v>
      </c>
      <c r="BB426" t="str">
        <f t="shared" si="35"/>
        <v>1200</v>
      </c>
      <c r="BC426">
        <v>1</v>
      </c>
      <c r="BD426" t="str">
        <f t="shared" si="36"/>
        <v xml:space="preserve">N445JS  </v>
      </c>
      <c r="BE426">
        <v>7</v>
      </c>
      <c r="BG426">
        <v>0</v>
      </c>
      <c r="BH426">
        <v>0</v>
      </c>
      <c r="BI426">
        <v>0</v>
      </c>
      <c r="BJ426">
        <v>3075</v>
      </c>
      <c r="BK426">
        <v>-225</v>
      </c>
      <c r="BL426" t="s">
        <v>132</v>
      </c>
      <c r="BM426">
        <v>1</v>
      </c>
      <c r="BN426">
        <v>1</v>
      </c>
      <c r="BO426">
        <v>1</v>
      </c>
      <c r="BP426">
        <v>0</v>
      </c>
      <c r="BT426">
        <v>0</v>
      </c>
      <c r="BU426">
        <v>0</v>
      </c>
      <c r="CE426" t="str">
        <f>"15:39:21.887"</f>
        <v>15:39:21.887</v>
      </c>
      <c r="CF426">
        <v>887331188</v>
      </c>
      <c r="CS426">
        <v>0</v>
      </c>
      <c r="CT426">
        <v>2</v>
      </c>
      <c r="CU426">
        <v>0</v>
      </c>
      <c r="CV426">
        <v>2</v>
      </c>
      <c r="CW426">
        <v>0</v>
      </c>
      <c r="CX426">
        <v>7</v>
      </c>
      <c r="CY426">
        <v>7</v>
      </c>
      <c r="CZ426" t="s">
        <v>133</v>
      </c>
      <c r="DA426">
        <v>125</v>
      </c>
      <c r="DB426">
        <v>1</v>
      </c>
      <c r="DC426" t="s">
        <v>134</v>
      </c>
      <c r="DD426" t="s">
        <v>135</v>
      </c>
      <c r="DG426">
        <v>2551533</v>
      </c>
      <c r="DI426">
        <v>0</v>
      </c>
      <c r="DJ426">
        <v>0</v>
      </c>
      <c r="DK426">
        <v>0</v>
      </c>
      <c r="DL426">
        <v>0</v>
      </c>
      <c r="DM426">
        <v>0</v>
      </c>
      <c r="DN426">
        <v>0</v>
      </c>
      <c r="DO426">
        <v>0</v>
      </c>
      <c r="DP426">
        <v>0</v>
      </c>
      <c r="DQ426">
        <v>0</v>
      </c>
      <c r="DR426">
        <v>0</v>
      </c>
      <c r="DS426">
        <v>0</v>
      </c>
    </row>
    <row r="427" spans="1:123" x14ac:dyDescent="0.25">
      <c r="A427" t="str">
        <f>"04/17/2026 15:39:22.133"</f>
        <v>04/17/2026 15:39:22.133</v>
      </c>
      <c r="C427" t="str">
        <f t="shared" si="33"/>
        <v>FFDFD3C0</v>
      </c>
      <c r="D427" t="s">
        <v>136</v>
      </c>
      <c r="E427" t="str">
        <f>"0F"</f>
        <v>0F</v>
      </c>
      <c r="F427">
        <v>1015</v>
      </c>
      <c r="G427" t="s">
        <v>138</v>
      </c>
      <c r="J427" t="s">
        <v>137</v>
      </c>
      <c r="K427">
        <v>0</v>
      </c>
      <c r="L427">
        <v>3</v>
      </c>
      <c r="M427">
        <v>0</v>
      </c>
      <c r="N427">
        <v>2</v>
      </c>
      <c r="O427">
        <v>1</v>
      </c>
      <c r="P427">
        <v>0</v>
      </c>
      <c r="Q427">
        <v>0</v>
      </c>
      <c r="R427" t="s">
        <v>127</v>
      </c>
      <c r="S427" t="str">
        <f>"15:39:21.883"</f>
        <v>15:39:21.883</v>
      </c>
      <c r="T427" t="str">
        <f>"15:39:21.583"</f>
        <v>15:39:21.583</v>
      </c>
      <c r="U427" t="str">
        <f t="shared" si="34"/>
        <v>A55E09</v>
      </c>
      <c r="V427">
        <v>0</v>
      </c>
      <c r="W427">
        <v>0</v>
      </c>
      <c r="X427">
        <v>2</v>
      </c>
      <c r="Y427">
        <v>0</v>
      </c>
      <c r="AA427">
        <v>0</v>
      </c>
      <c r="AB427">
        <v>9</v>
      </c>
      <c r="AC427">
        <v>3</v>
      </c>
      <c r="AD427">
        <v>0</v>
      </c>
      <c r="AE427">
        <v>9</v>
      </c>
      <c r="AF427" t="s">
        <v>128</v>
      </c>
      <c r="AG427">
        <v>0</v>
      </c>
      <c r="AH427">
        <v>0</v>
      </c>
      <c r="AI427">
        <v>1</v>
      </c>
      <c r="AJ427">
        <v>0</v>
      </c>
      <c r="AK427" t="s">
        <v>346</v>
      </c>
      <c r="AL427">
        <v>33.697042000000003</v>
      </c>
      <c r="AM427" t="s">
        <v>347</v>
      </c>
      <c r="AN427">
        <v>-101.21015300000001</v>
      </c>
      <c r="AO427">
        <v>100</v>
      </c>
      <c r="AP427">
        <v>3300</v>
      </c>
      <c r="AQ427" t="s">
        <v>131</v>
      </c>
      <c r="AR427">
        <v>-16</v>
      </c>
      <c r="AS427">
        <v>87</v>
      </c>
      <c r="AT427">
        <v>-320</v>
      </c>
      <c r="BB427" t="str">
        <f t="shared" si="35"/>
        <v>1200</v>
      </c>
      <c r="BC427">
        <v>1</v>
      </c>
      <c r="BD427" t="str">
        <f t="shared" si="36"/>
        <v xml:space="preserve">N445JS  </v>
      </c>
      <c r="BE427">
        <v>7</v>
      </c>
      <c r="BG427">
        <v>0</v>
      </c>
      <c r="BH427">
        <v>0</v>
      </c>
      <c r="BI427">
        <v>0</v>
      </c>
      <c r="BJ427">
        <v>3075</v>
      </c>
      <c r="BK427">
        <v>-225</v>
      </c>
      <c r="BL427" t="s">
        <v>132</v>
      </c>
      <c r="BM427">
        <v>1</v>
      </c>
      <c r="BN427">
        <v>1</v>
      </c>
      <c r="BO427">
        <v>1</v>
      </c>
      <c r="BP427">
        <v>0</v>
      </c>
      <c r="BT427">
        <v>0</v>
      </c>
      <c r="BU427">
        <v>0</v>
      </c>
      <c r="CE427" t="str">
        <f>"15:39:21.887"</f>
        <v>15:39:21.887</v>
      </c>
      <c r="CF427">
        <v>887331188</v>
      </c>
      <c r="CS427">
        <v>0</v>
      </c>
      <c r="CT427">
        <v>2</v>
      </c>
      <c r="CU427">
        <v>0</v>
      </c>
      <c r="CV427">
        <v>2</v>
      </c>
      <c r="CW427">
        <v>0</v>
      </c>
      <c r="CX427">
        <v>7</v>
      </c>
      <c r="CY427">
        <v>7</v>
      </c>
      <c r="CZ427" t="s">
        <v>133</v>
      </c>
      <c r="DA427">
        <v>125</v>
      </c>
      <c r="DB427">
        <v>1</v>
      </c>
      <c r="DC427" t="s">
        <v>134</v>
      </c>
      <c r="DD427" t="s">
        <v>135</v>
      </c>
      <c r="DG427">
        <v>2551533</v>
      </c>
      <c r="DI427">
        <v>0</v>
      </c>
      <c r="DJ427">
        <v>0</v>
      </c>
      <c r="DK427">
        <v>1</v>
      </c>
      <c r="DL427">
        <v>0</v>
      </c>
      <c r="DM427">
        <v>0</v>
      </c>
      <c r="DN427">
        <v>0</v>
      </c>
      <c r="DO427">
        <v>0</v>
      </c>
      <c r="DP427">
        <v>0</v>
      </c>
      <c r="DQ427">
        <v>0</v>
      </c>
      <c r="DR427">
        <v>0</v>
      </c>
      <c r="DS427">
        <v>0</v>
      </c>
    </row>
    <row r="428" spans="1:123" x14ac:dyDescent="0.25">
      <c r="A428" t="str">
        <f>"04/17/2026 15:39:22.132"</f>
        <v>04/17/2026 15:39:22.132</v>
      </c>
      <c r="C428" t="str">
        <f t="shared" si="33"/>
        <v>FFDFD3C0</v>
      </c>
      <c r="D428" t="s">
        <v>136</v>
      </c>
      <c r="E428" t="str">
        <f>"0E"</f>
        <v>0E</v>
      </c>
      <c r="F428">
        <v>1014</v>
      </c>
      <c r="G428" t="s">
        <v>125</v>
      </c>
      <c r="J428" t="s">
        <v>137</v>
      </c>
      <c r="K428">
        <v>0</v>
      </c>
      <c r="L428">
        <v>3</v>
      </c>
      <c r="M428">
        <v>0</v>
      </c>
      <c r="N428">
        <v>2</v>
      </c>
      <c r="O428">
        <v>1</v>
      </c>
      <c r="P428">
        <v>0</v>
      </c>
      <c r="Q428">
        <v>0</v>
      </c>
      <c r="R428" t="s">
        <v>127</v>
      </c>
      <c r="S428" t="str">
        <f>"15:39:21.883"</f>
        <v>15:39:21.883</v>
      </c>
      <c r="T428" t="str">
        <f>"15:39:21.583"</f>
        <v>15:39:21.583</v>
      </c>
      <c r="U428" t="str">
        <f t="shared" si="34"/>
        <v>A55E09</v>
      </c>
      <c r="V428">
        <v>0</v>
      </c>
      <c r="W428">
        <v>0</v>
      </c>
      <c r="X428">
        <v>2</v>
      </c>
      <c r="Y428">
        <v>0</v>
      </c>
      <c r="AA428">
        <v>0</v>
      </c>
      <c r="AB428">
        <v>9</v>
      </c>
      <c r="AC428">
        <v>3</v>
      </c>
      <c r="AD428">
        <v>0</v>
      </c>
      <c r="AE428">
        <v>9</v>
      </c>
      <c r="AF428" t="s">
        <v>128</v>
      </c>
      <c r="AG428">
        <v>0</v>
      </c>
      <c r="AH428">
        <v>0</v>
      </c>
      <c r="AI428">
        <v>1</v>
      </c>
      <c r="AJ428">
        <v>0</v>
      </c>
      <c r="AK428" t="s">
        <v>346</v>
      </c>
      <c r="AL428">
        <v>33.697042000000003</v>
      </c>
      <c r="AM428" t="s">
        <v>347</v>
      </c>
      <c r="AN428">
        <v>-101.21015300000001</v>
      </c>
      <c r="AO428">
        <v>100</v>
      </c>
      <c r="AP428">
        <v>3300</v>
      </c>
      <c r="AQ428" t="s">
        <v>131</v>
      </c>
      <c r="AR428">
        <v>-16</v>
      </c>
      <c r="AS428">
        <v>87</v>
      </c>
      <c r="AT428">
        <v>-320</v>
      </c>
      <c r="BB428" t="str">
        <f t="shared" si="35"/>
        <v>1200</v>
      </c>
      <c r="BC428">
        <v>1</v>
      </c>
      <c r="BD428" t="str">
        <f t="shared" si="36"/>
        <v xml:space="preserve">N445JS  </v>
      </c>
      <c r="BE428">
        <v>7</v>
      </c>
      <c r="BG428">
        <v>0</v>
      </c>
      <c r="BH428">
        <v>0</v>
      </c>
      <c r="BI428">
        <v>0</v>
      </c>
      <c r="BJ428">
        <v>3075</v>
      </c>
      <c r="BK428">
        <v>-225</v>
      </c>
      <c r="BL428" t="s">
        <v>132</v>
      </c>
      <c r="BM428">
        <v>1</v>
      </c>
      <c r="BN428">
        <v>1</v>
      </c>
      <c r="BO428">
        <v>1</v>
      </c>
      <c r="BP428">
        <v>0</v>
      </c>
      <c r="BT428">
        <v>0</v>
      </c>
      <c r="BU428">
        <v>0</v>
      </c>
      <c r="CE428" t="str">
        <f>"15:39:21.887"</f>
        <v>15:39:21.887</v>
      </c>
      <c r="CF428">
        <v>887331188</v>
      </c>
      <c r="CS428">
        <v>0</v>
      </c>
      <c r="CT428">
        <v>2</v>
      </c>
      <c r="CU428">
        <v>0</v>
      </c>
      <c r="CV428">
        <v>2</v>
      </c>
      <c r="CW428">
        <v>0</v>
      </c>
      <c r="CX428">
        <v>7</v>
      </c>
      <c r="CY428">
        <v>7</v>
      </c>
      <c r="CZ428" t="s">
        <v>133</v>
      </c>
      <c r="DA428">
        <v>125</v>
      </c>
      <c r="DB428">
        <v>1</v>
      </c>
      <c r="DC428" t="s">
        <v>134</v>
      </c>
      <c r="DD428" t="s">
        <v>135</v>
      </c>
      <c r="DG428">
        <v>2551533</v>
      </c>
      <c r="DI428">
        <v>0</v>
      </c>
      <c r="DJ428">
        <v>0</v>
      </c>
      <c r="DK428">
        <v>1</v>
      </c>
      <c r="DL428">
        <v>0</v>
      </c>
      <c r="DM428">
        <v>0</v>
      </c>
      <c r="DN428">
        <v>0</v>
      </c>
      <c r="DO428">
        <v>0</v>
      </c>
      <c r="DP428">
        <v>0</v>
      </c>
      <c r="DQ428">
        <v>0</v>
      </c>
      <c r="DR428">
        <v>0</v>
      </c>
      <c r="DS428">
        <v>0</v>
      </c>
    </row>
    <row r="429" spans="1:123" x14ac:dyDescent="0.25">
      <c r="A429" t="str">
        <f>"04/17/2026 15:39:22.147"</f>
        <v>04/17/2026 15:39:22.147</v>
      </c>
      <c r="C429" t="str">
        <f t="shared" si="33"/>
        <v>FFDFD3C0</v>
      </c>
      <c r="D429" t="s">
        <v>124</v>
      </c>
      <c r="E429" t="str">
        <f>"03"</f>
        <v>03</v>
      </c>
      <c r="H429">
        <v>160</v>
      </c>
      <c r="I429" t="s">
        <v>125</v>
      </c>
      <c r="J429" t="s">
        <v>126</v>
      </c>
      <c r="K429">
        <v>0</v>
      </c>
      <c r="L429">
        <v>3</v>
      </c>
      <c r="M429">
        <v>0</v>
      </c>
      <c r="N429">
        <v>2</v>
      </c>
      <c r="O429">
        <v>1</v>
      </c>
      <c r="P429">
        <v>0</v>
      </c>
      <c r="Q429">
        <v>0</v>
      </c>
      <c r="R429" t="s">
        <v>127</v>
      </c>
      <c r="S429" t="str">
        <f>"15:39:21.883"</f>
        <v>15:39:21.883</v>
      </c>
      <c r="T429" t="str">
        <f>"15:39:21.583"</f>
        <v>15:39:21.583</v>
      </c>
      <c r="U429" t="str">
        <f t="shared" si="34"/>
        <v>A55E09</v>
      </c>
      <c r="V429">
        <v>0</v>
      </c>
      <c r="W429">
        <v>0</v>
      </c>
      <c r="X429">
        <v>2</v>
      </c>
      <c r="Y429">
        <v>0</v>
      </c>
      <c r="AA429">
        <v>0</v>
      </c>
      <c r="AB429">
        <v>9</v>
      </c>
      <c r="AC429">
        <v>3</v>
      </c>
      <c r="AD429">
        <v>0</v>
      </c>
      <c r="AE429">
        <v>9</v>
      </c>
      <c r="AF429" t="s">
        <v>128</v>
      </c>
      <c r="AG429">
        <v>0</v>
      </c>
      <c r="AH429">
        <v>0</v>
      </c>
      <c r="AI429">
        <v>1</v>
      </c>
      <c r="AJ429">
        <v>0</v>
      </c>
      <c r="AK429" t="s">
        <v>346</v>
      </c>
      <c r="AL429">
        <v>33.697042000000003</v>
      </c>
      <c r="AM429" t="s">
        <v>347</v>
      </c>
      <c r="AN429">
        <v>-101.21015300000001</v>
      </c>
      <c r="AO429">
        <v>100</v>
      </c>
      <c r="AP429">
        <v>3300</v>
      </c>
      <c r="AQ429" t="s">
        <v>131</v>
      </c>
      <c r="AR429">
        <v>-16</v>
      </c>
      <c r="AS429">
        <v>87</v>
      </c>
      <c r="AT429">
        <v>-320</v>
      </c>
      <c r="BB429" t="str">
        <f t="shared" si="35"/>
        <v>1200</v>
      </c>
      <c r="BC429">
        <v>1</v>
      </c>
      <c r="BD429" t="str">
        <f t="shared" si="36"/>
        <v xml:space="preserve">N445JS  </v>
      </c>
      <c r="BE429">
        <v>7</v>
      </c>
      <c r="BG429">
        <v>0</v>
      </c>
      <c r="BH429">
        <v>0</v>
      </c>
      <c r="BI429">
        <v>0</v>
      </c>
      <c r="BJ429">
        <v>3075</v>
      </c>
      <c r="BK429">
        <v>-225</v>
      </c>
      <c r="BL429" t="s">
        <v>132</v>
      </c>
      <c r="BM429">
        <v>1</v>
      </c>
      <c r="BN429">
        <v>1</v>
      </c>
      <c r="BO429">
        <v>1</v>
      </c>
      <c r="BP429">
        <v>0</v>
      </c>
      <c r="BT429">
        <v>0</v>
      </c>
      <c r="BU429">
        <v>0</v>
      </c>
      <c r="CE429" t="str">
        <f>"15:39:21.887"</f>
        <v>15:39:21.887</v>
      </c>
      <c r="CF429">
        <v>887331188</v>
      </c>
      <c r="CS429">
        <v>0</v>
      </c>
      <c r="CT429">
        <v>2</v>
      </c>
      <c r="CU429">
        <v>0</v>
      </c>
      <c r="CV429">
        <v>2</v>
      </c>
      <c r="CW429">
        <v>0</v>
      </c>
      <c r="CX429">
        <v>7</v>
      </c>
      <c r="CY429">
        <v>7</v>
      </c>
      <c r="CZ429" t="s">
        <v>133</v>
      </c>
      <c r="DA429">
        <v>125</v>
      </c>
      <c r="DB429">
        <v>1</v>
      </c>
      <c r="DC429" t="s">
        <v>134</v>
      </c>
      <c r="DD429" t="s">
        <v>135</v>
      </c>
      <c r="DG429">
        <v>2551533</v>
      </c>
      <c r="DI429">
        <v>0</v>
      </c>
      <c r="DJ429">
        <v>0</v>
      </c>
      <c r="DK429">
        <v>1</v>
      </c>
      <c r="DL429">
        <v>0</v>
      </c>
      <c r="DM429">
        <v>0</v>
      </c>
      <c r="DN429">
        <v>0</v>
      </c>
      <c r="DO429">
        <v>0</v>
      </c>
      <c r="DP429">
        <v>0</v>
      </c>
      <c r="DQ429">
        <v>0</v>
      </c>
      <c r="DR429">
        <v>0</v>
      </c>
      <c r="DS429">
        <v>0</v>
      </c>
    </row>
    <row r="430" spans="1:123" x14ac:dyDescent="0.25">
      <c r="A430" t="str">
        <f>"04/17/2026 15:39:23.228"</f>
        <v>04/17/2026 15:39:23.228</v>
      </c>
      <c r="C430" t="str">
        <f t="shared" si="33"/>
        <v>FFDFD3C0</v>
      </c>
      <c r="D430" t="s">
        <v>139</v>
      </c>
      <c r="E430" t="str">
        <f>"28"</f>
        <v>28</v>
      </c>
      <c r="H430">
        <v>140</v>
      </c>
      <c r="I430" t="s">
        <v>140</v>
      </c>
      <c r="J430" t="s">
        <v>141</v>
      </c>
      <c r="K430">
        <v>0</v>
      </c>
      <c r="L430">
        <v>3</v>
      </c>
      <c r="M430">
        <v>0</v>
      </c>
      <c r="N430">
        <v>2</v>
      </c>
      <c r="O430">
        <v>1</v>
      </c>
      <c r="P430">
        <v>0</v>
      </c>
      <c r="Q430">
        <v>0</v>
      </c>
      <c r="R430" t="s">
        <v>127</v>
      </c>
      <c r="S430" t="str">
        <f>"15:39:22.992"</f>
        <v>15:39:22.992</v>
      </c>
      <c r="T430" t="str">
        <f>"15:39:22.592"</f>
        <v>15:39:22.592</v>
      </c>
      <c r="U430" t="str">
        <f t="shared" si="34"/>
        <v>A55E09</v>
      </c>
      <c r="V430">
        <v>0</v>
      </c>
      <c r="W430">
        <v>0</v>
      </c>
      <c r="X430">
        <v>2</v>
      </c>
      <c r="Y430">
        <v>0</v>
      </c>
      <c r="AA430">
        <v>0</v>
      </c>
      <c r="AB430">
        <v>9</v>
      </c>
      <c r="AC430">
        <v>3</v>
      </c>
      <c r="AD430">
        <v>0</v>
      </c>
      <c r="AE430">
        <v>9</v>
      </c>
      <c r="AF430" t="s">
        <v>128</v>
      </c>
      <c r="AG430">
        <v>0</v>
      </c>
      <c r="AH430">
        <v>0</v>
      </c>
      <c r="AI430">
        <v>1</v>
      </c>
      <c r="AJ430">
        <v>0</v>
      </c>
      <c r="AK430" t="s">
        <v>348</v>
      </c>
      <c r="AL430">
        <v>33.697493000000001</v>
      </c>
      <c r="AM430" t="s">
        <v>349</v>
      </c>
      <c r="AN430">
        <v>-101.21026000000001</v>
      </c>
      <c r="AO430">
        <v>100</v>
      </c>
      <c r="AP430">
        <v>3300</v>
      </c>
      <c r="AQ430" t="s">
        <v>131</v>
      </c>
      <c r="AR430">
        <v>-14</v>
      </c>
      <c r="AS430">
        <v>88</v>
      </c>
      <c r="AT430">
        <v>-256</v>
      </c>
      <c r="BB430" t="str">
        <f t="shared" si="35"/>
        <v>1200</v>
      </c>
      <c r="BC430">
        <v>1</v>
      </c>
      <c r="BD430" t="str">
        <f t="shared" si="36"/>
        <v xml:space="preserve">N445JS  </v>
      </c>
      <c r="BE430">
        <v>7</v>
      </c>
      <c r="BG430">
        <v>0</v>
      </c>
      <c r="BH430">
        <v>0</v>
      </c>
      <c r="BI430">
        <v>0</v>
      </c>
      <c r="BJ430">
        <v>3075</v>
      </c>
      <c r="BK430">
        <v>-225</v>
      </c>
      <c r="BL430" t="s">
        <v>132</v>
      </c>
      <c r="BM430">
        <v>1</v>
      </c>
      <c r="BN430">
        <v>1</v>
      </c>
      <c r="BO430">
        <v>1</v>
      </c>
      <c r="BP430">
        <v>0</v>
      </c>
      <c r="BT430">
        <v>0</v>
      </c>
      <c r="BU430">
        <v>0</v>
      </c>
      <c r="CE430" t="str">
        <f>"15:39:22.997"</f>
        <v>15:39:22.997</v>
      </c>
      <c r="CF430">
        <v>997222390</v>
      </c>
      <c r="CS430">
        <v>0</v>
      </c>
      <c r="CT430">
        <v>2</v>
      </c>
      <c r="CU430">
        <v>0</v>
      </c>
      <c r="CV430">
        <v>2</v>
      </c>
      <c r="CW430">
        <v>0</v>
      </c>
      <c r="CX430">
        <v>7</v>
      </c>
      <c r="CY430">
        <v>7</v>
      </c>
      <c r="CZ430" t="s">
        <v>133</v>
      </c>
      <c r="DA430">
        <v>125</v>
      </c>
      <c r="DB430">
        <v>0</v>
      </c>
      <c r="DC430" t="s">
        <v>134</v>
      </c>
      <c r="DD430" t="s">
        <v>135</v>
      </c>
      <c r="DG430">
        <v>3513191</v>
      </c>
      <c r="DI430">
        <v>0</v>
      </c>
      <c r="DJ430">
        <v>0</v>
      </c>
      <c r="DK430">
        <v>0</v>
      </c>
      <c r="DL430">
        <v>0</v>
      </c>
      <c r="DM430">
        <v>0</v>
      </c>
      <c r="DN430">
        <v>0</v>
      </c>
      <c r="DO430">
        <v>0</v>
      </c>
      <c r="DP430">
        <v>0</v>
      </c>
      <c r="DQ430">
        <v>0</v>
      </c>
      <c r="DR430">
        <v>0</v>
      </c>
      <c r="DS430">
        <v>0</v>
      </c>
    </row>
    <row r="431" spans="1:123" x14ac:dyDescent="0.25">
      <c r="A431" t="str">
        <f>"04/17/2026 15:39:23.234"</f>
        <v>04/17/2026 15:39:23.234</v>
      </c>
      <c r="C431" t="str">
        <f t="shared" si="33"/>
        <v>FFDFD3C0</v>
      </c>
      <c r="D431" t="s">
        <v>136</v>
      </c>
      <c r="E431" t="str">
        <f>"0E"</f>
        <v>0E</v>
      </c>
      <c r="F431">
        <v>1014</v>
      </c>
      <c r="G431" t="s">
        <v>125</v>
      </c>
      <c r="J431" t="s">
        <v>137</v>
      </c>
      <c r="K431">
        <v>0</v>
      </c>
      <c r="L431">
        <v>3</v>
      </c>
      <c r="M431">
        <v>0</v>
      </c>
      <c r="N431">
        <v>2</v>
      </c>
      <c r="O431">
        <v>1</v>
      </c>
      <c r="P431">
        <v>0</v>
      </c>
      <c r="Q431">
        <v>0</v>
      </c>
      <c r="R431" t="s">
        <v>127</v>
      </c>
      <c r="S431" t="str">
        <f>"15:39:22.992"</f>
        <v>15:39:22.992</v>
      </c>
      <c r="T431" t="str">
        <f>"15:39:22.592"</f>
        <v>15:39:22.592</v>
      </c>
      <c r="U431" t="str">
        <f t="shared" si="34"/>
        <v>A55E09</v>
      </c>
      <c r="V431">
        <v>0</v>
      </c>
      <c r="W431">
        <v>0</v>
      </c>
      <c r="X431">
        <v>2</v>
      </c>
      <c r="Y431">
        <v>0</v>
      </c>
      <c r="AA431">
        <v>0</v>
      </c>
      <c r="AB431">
        <v>9</v>
      </c>
      <c r="AC431">
        <v>3</v>
      </c>
      <c r="AD431">
        <v>0</v>
      </c>
      <c r="AE431">
        <v>9</v>
      </c>
      <c r="AF431" t="s">
        <v>128</v>
      </c>
      <c r="AG431">
        <v>0</v>
      </c>
      <c r="AH431">
        <v>0</v>
      </c>
      <c r="AI431">
        <v>1</v>
      </c>
      <c r="AJ431">
        <v>0</v>
      </c>
      <c r="AK431" t="s">
        <v>348</v>
      </c>
      <c r="AL431">
        <v>33.697493000000001</v>
      </c>
      <c r="AM431" t="s">
        <v>349</v>
      </c>
      <c r="AN431">
        <v>-101.21026000000001</v>
      </c>
      <c r="AO431">
        <v>100</v>
      </c>
      <c r="AP431">
        <v>3300</v>
      </c>
      <c r="AQ431" t="s">
        <v>131</v>
      </c>
      <c r="AR431">
        <v>-14</v>
      </c>
      <c r="AS431">
        <v>88</v>
      </c>
      <c r="AT431">
        <v>-256</v>
      </c>
      <c r="BB431" t="str">
        <f t="shared" si="35"/>
        <v>1200</v>
      </c>
      <c r="BC431">
        <v>1</v>
      </c>
      <c r="BD431" t="str">
        <f t="shared" si="36"/>
        <v xml:space="preserve">N445JS  </v>
      </c>
      <c r="BE431">
        <v>7</v>
      </c>
      <c r="BG431">
        <v>0</v>
      </c>
      <c r="BH431">
        <v>0</v>
      </c>
      <c r="BI431">
        <v>0</v>
      </c>
      <c r="BJ431">
        <v>3075</v>
      </c>
      <c r="BK431">
        <v>-225</v>
      </c>
      <c r="BL431" t="s">
        <v>132</v>
      </c>
      <c r="BM431">
        <v>1</v>
      </c>
      <c r="BN431">
        <v>1</v>
      </c>
      <c r="BO431">
        <v>1</v>
      </c>
      <c r="BP431">
        <v>0</v>
      </c>
      <c r="BT431">
        <v>0</v>
      </c>
      <c r="BU431">
        <v>0</v>
      </c>
      <c r="CE431" t="str">
        <f>"15:39:22.997"</f>
        <v>15:39:22.997</v>
      </c>
      <c r="CF431">
        <v>997222390</v>
      </c>
      <c r="CS431">
        <v>0</v>
      </c>
      <c r="CT431">
        <v>2</v>
      </c>
      <c r="CU431">
        <v>0</v>
      </c>
      <c r="CV431">
        <v>2</v>
      </c>
      <c r="CW431">
        <v>0</v>
      </c>
      <c r="CX431">
        <v>7</v>
      </c>
      <c r="CY431">
        <v>7</v>
      </c>
      <c r="CZ431" t="s">
        <v>133</v>
      </c>
      <c r="DA431">
        <v>125</v>
      </c>
      <c r="DB431">
        <v>0</v>
      </c>
      <c r="DC431" t="s">
        <v>134</v>
      </c>
      <c r="DD431" t="s">
        <v>135</v>
      </c>
      <c r="DG431">
        <v>3513191</v>
      </c>
      <c r="DI431">
        <v>0</v>
      </c>
      <c r="DJ431">
        <v>0</v>
      </c>
      <c r="DK431">
        <v>1</v>
      </c>
      <c r="DL431">
        <v>0</v>
      </c>
      <c r="DM431">
        <v>0</v>
      </c>
      <c r="DN431">
        <v>0</v>
      </c>
      <c r="DO431">
        <v>0</v>
      </c>
      <c r="DP431">
        <v>0</v>
      </c>
      <c r="DQ431">
        <v>0</v>
      </c>
      <c r="DR431">
        <v>0</v>
      </c>
      <c r="DS431">
        <v>0</v>
      </c>
    </row>
    <row r="432" spans="1:123" x14ac:dyDescent="0.25">
      <c r="A432" t="str">
        <f>"04/17/2026 15:39:23.235"</f>
        <v>04/17/2026 15:39:23.235</v>
      </c>
      <c r="C432" t="str">
        <f t="shared" si="33"/>
        <v>FFDFD3C0</v>
      </c>
      <c r="D432" t="s">
        <v>136</v>
      </c>
      <c r="E432" t="str">
        <f>"0F"</f>
        <v>0F</v>
      </c>
      <c r="F432">
        <v>1015</v>
      </c>
      <c r="G432" t="s">
        <v>138</v>
      </c>
      <c r="J432" t="s">
        <v>137</v>
      </c>
      <c r="K432">
        <v>0</v>
      </c>
      <c r="L432">
        <v>3</v>
      </c>
      <c r="M432">
        <v>0</v>
      </c>
      <c r="N432">
        <v>2</v>
      </c>
      <c r="O432">
        <v>1</v>
      </c>
      <c r="P432">
        <v>0</v>
      </c>
      <c r="Q432">
        <v>0</v>
      </c>
      <c r="R432" t="s">
        <v>127</v>
      </c>
      <c r="S432" t="str">
        <f>"15:39:22.992"</f>
        <v>15:39:22.992</v>
      </c>
      <c r="T432" t="str">
        <f>"15:39:22.592"</f>
        <v>15:39:22.592</v>
      </c>
      <c r="U432" t="str">
        <f t="shared" si="34"/>
        <v>A55E09</v>
      </c>
      <c r="V432">
        <v>0</v>
      </c>
      <c r="W432">
        <v>0</v>
      </c>
      <c r="X432">
        <v>2</v>
      </c>
      <c r="Y432">
        <v>0</v>
      </c>
      <c r="AA432">
        <v>0</v>
      </c>
      <c r="AB432">
        <v>9</v>
      </c>
      <c r="AC432">
        <v>3</v>
      </c>
      <c r="AD432">
        <v>0</v>
      </c>
      <c r="AE432">
        <v>9</v>
      </c>
      <c r="AF432" t="s">
        <v>128</v>
      </c>
      <c r="AG432">
        <v>0</v>
      </c>
      <c r="AH432">
        <v>0</v>
      </c>
      <c r="AI432">
        <v>1</v>
      </c>
      <c r="AJ432">
        <v>0</v>
      </c>
      <c r="AK432" t="s">
        <v>348</v>
      </c>
      <c r="AL432">
        <v>33.697493000000001</v>
      </c>
      <c r="AM432" t="s">
        <v>349</v>
      </c>
      <c r="AN432">
        <v>-101.21026000000001</v>
      </c>
      <c r="AO432">
        <v>100</v>
      </c>
      <c r="AP432">
        <v>3300</v>
      </c>
      <c r="AQ432" t="s">
        <v>131</v>
      </c>
      <c r="AR432">
        <v>-14</v>
      </c>
      <c r="AS432">
        <v>88</v>
      </c>
      <c r="AT432">
        <v>-256</v>
      </c>
      <c r="BB432" t="str">
        <f t="shared" si="35"/>
        <v>1200</v>
      </c>
      <c r="BC432">
        <v>1</v>
      </c>
      <c r="BD432" t="str">
        <f t="shared" si="36"/>
        <v xml:space="preserve">N445JS  </v>
      </c>
      <c r="BE432">
        <v>7</v>
      </c>
      <c r="BG432">
        <v>0</v>
      </c>
      <c r="BH432">
        <v>0</v>
      </c>
      <c r="BI432">
        <v>0</v>
      </c>
      <c r="BJ432">
        <v>3075</v>
      </c>
      <c r="BK432">
        <v>-225</v>
      </c>
      <c r="BL432" t="s">
        <v>132</v>
      </c>
      <c r="BM432">
        <v>1</v>
      </c>
      <c r="BN432">
        <v>1</v>
      </c>
      <c r="BO432">
        <v>1</v>
      </c>
      <c r="BP432">
        <v>0</v>
      </c>
      <c r="BT432">
        <v>0</v>
      </c>
      <c r="BU432">
        <v>0</v>
      </c>
      <c r="CE432" t="str">
        <f>"15:39:22.997"</f>
        <v>15:39:22.997</v>
      </c>
      <c r="CF432">
        <v>997222390</v>
      </c>
      <c r="CS432">
        <v>0</v>
      </c>
      <c r="CT432">
        <v>2</v>
      </c>
      <c r="CU432">
        <v>0</v>
      </c>
      <c r="CV432">
        <v>2</v>
      </c>
      <c r="CW432">
        <v>0</v>
      </c>
      <c r="CX432">
        <v>7</v>
      </c>
      <c r="CY432">
        <v>7</v>
      </c>
      <c r="CZ432" t="s">
        <v>133</v>
      </c>
      <c r="DA432">
        <v>125</v>
      </c>
      <c r="DB432">
        <v>0</v>
      </c>
      <c r="DC432" t="s">
        <v>134</v>
      </c>
      <c r="DD432" t="s">
        <v>135</v>
      </c>
      <c r="DG432">
        <v>3513191</v>
      </c>
      <c r="DI432">
        <v>0</v>
      </c>
      <c r="DJ432">
        <v>0</v>
      </c>
      <c r="DK432">
        <v>1</v>
      </c>
      <c r="DL432">
        <v>0</v>
      </c>
      <c r="DM432">
        <v>0</v>
      </c>
      <c r="DN432">
        <v>0</v>
      </c>
      <c r="DO432">
        <v>0</v>
      </c>
      <c r="DP432">
        <v>0</v>
      </c>
      <c r="DQ432">
        <v>0</v>
      </c>
      <c r="DR432">
        <v>0</v>
      </c>
      <c r="DS432">
        <v>0</v>
      </c>
    </row>
    <row r="433" spans="1:123" x14ac:dyDescent="0.25">
      <c r="A433" t="str">
        <f>"04/17/2026 15:39:23.248"</f>
        <v>04/17/2026 15:39:23.248</v>
      </c>
      <c r="C433" t="str">
        <f t="shared" si="33"/>
        <v>FFDFD3C0</v>
      </c>
      <c r="D433" t="s">
        <v>124</v>
      </c>
      <c r="E433" t="str">
        <f>"03"</f>
        <v>03</v>
      </c>
      <c r="H433">
        <v>160</v>
      </c>
      <c r="I433" t="s">
        <v>125</v>
      </c>
      <c r="J433" t="s">
        <v>126</v>
      </c>
      <c r="K433">
        <v>0</v>
      </c>
      <c r="L433">
        <v>3</v>
      </c>
      <c r="M433">
        <v>0</v>
      </c>
      <c r="N433">
        <v>2</v>
      </c>
      <c r="O433">
        <v>1</v>
      </c>
      <c r="P433">
        <v>0</v>
      </c>
      <c r="Q433">
        <v>0</v>
      </c>
      <c r="R433" t="s">
        <v>127</v>
      </c>
      <c r="S433" t="str">
        <f>"15:39:22.992"</f>
        <v>15:39:22.992</v>
      </c>
      <c r="T433" t="str">
        <f>"15:39:22.592"</f>
        <v>15:39:22.592</v>
      </c>
      <c r="U433" t="str">
        <f t="shared" si="34"/>
        <v>A55E09</v>
      </c>
      <c r="V433">
        <v>0</v>
      </c>
      <c r="W433">
        <v>0</v>
      </c>
      <c r="X433">
        <v>2</v>
      </c>
      <c r="Y433">
        <v>0</v>
      </c>
      <c r="AA433">
        <v>0</v>
      </c>
      <c r="AB433">
        <v>9</v>
      </c>
      <c r="AC433">
        <v>3</v>
      </c>
      <c r="AD433">
        <v>0</v>
      </c>
      <c r="AE433">
        <v>9</v>
      </c>
      <c r="AF433" t="s">
        <v>128</v>
      </c>
      <c r="AG433">
        <v>0</v>
      </c>
      <c r="AH433">
        <v>0</v>
      </c>
      <c r="AI433">
        <v>1</v>
      </c>
      <c r="AJ433">
        <v>0</v>
      </c>
      <c r="AK433" t="s">
        <v>348</v>
      </c>
      <c r="AL433">
        <v>33.697493000000001</v>
      </c>
      <c r="AM433" t="s">
        <v>349</v>
      </c>
      <c r="AN433">
        <v>-101.21026000000001</v>
      </c>
      <c r="AO433">
        <v>100</v>
      </c>
      <c r="AP433">
        <v>3300</v>
      </c>
      <c r="AQ433" t="s">
        <v>131</v>
      </c>
      <c r="AR433">
        <v>-14</v>
      </c>
      <c r="AS433">
        <v>88</v>
      </c>
      <c r="AT433">
        <v>-256</v>
      </c>
      <c r="BB433" t="str">
        <f t="shared" si="35"/>
        <v>1200</v>
      </c>
      <c r="BC433">
        <v>1</v>
      </c>
      <c r="BD433" t="str">
        <f t="shared" si="36"/>
        <v xml:space="preserve">N445JS  </v>
      </c>
      <c r="BE433">
        <v>7</v>
      </c>
      <c r="BG433">
        <v>0</v>
      </c>
      <c r="BH433">
        <v>0</v>
      </c>
      <c r="BI433">
        <v>0</v>
      </c>
      <c r="BJ433">
        <v>3075</v>
      </c>
      <c r="BK433">
        <v>-225</v>
      </c>
      <c r="BL433" t="s">
        <v>132</v>
      </c>
      <c r="BM433">
        <v>1</v>
      </c>
      <c r="BN433">
        <v>1</v>
      </c>
      <c r="BO433">
        <v>1</v>
      </c>
      <c r="BP433">
        <v>0</v>
      </c>
      <c r="BT433">
        <v>0</v>
      </c>
      <c r="BU433">
        <v>0</v>
      </c>
      <c r="CE433" t="str">
        <f>"15:39:22.997"</f>
        <v>15:39:22.997</v>
      </c>
      <c r="CF433">
        <v>997222390</v>
      </c>
      <c r="CS433">
        <v>0</v>
      </c>
      <c r="CT433">
        <v>2</v>
      </c>
      <c r="CU433">
        <v>0</v>
      </c>
      <c r="CV433">
        <v>2</v>
      </c>
      <c r="CW433">
        <v>0</v>
      </c>
      <c r="CX433">
        <v>7</v>
      </c>
      <c r="CY433">
        <v>7</v>
      </c>
      <c r="CZ433" t="s">
        <v>133</v>
      </c>
      <c r="DA433">
        <v>125</v>
      </c>
      <c r="DB433">
        <v>0</v>
      </c>
      <c r="DC433" t="s">
        <v>134</v>
      </c>
      <c r="DD433" t="s">
        <v>135</v>
      </c>
      <c r="DG433">
        <v>3513191</v>
      </c>
      <c r="DI433">
        <v>0</v>
      </c>
      <c r="DJ433">
        <v>0</v>
      </c>
      <c r="DK433">
        <v>1</v>
      </c>
      <c r="DL433">
        <v>0</v>
      </c>
      <c r="DM433">
        <v>0</v>
      </c>
      <c r="DN433">
        <v>0</v>
      </c>
      <c r="DO433">
        <v>0</v>
      </c>
      <c r="DP433">
        <v>0</v>
      </c>
      <c r="DQ433">
        <v>0</v>
      </c>
      <c r="DR433">
        <v>0</v>
      </c>
      <c r="DS433">
        <v>0</v>
      </c>
    </row>
    <row r="434" spans="1:123" x14ac:dyDescent="0.25">
      <c r="A434" t="str">
        <f>"04/17/2026 15:39:24.331"</f>
        <v>04/17/2026 15:39:24.331</v>
      </c>
      <c r="C434" t="str">
        <f t="shared" si="33"/>
        <v>FFDFD3C0</v>
      </c>
      <c r="D434" t="s">
        <v>139</v>
      </c>
      <c r="E434" t="str">
        <f>"28"</f>
        <v>28</v>
      </c>
      <c r="H434">
        <v>140</v>
      </c>
      <c r="I434" t="s">
        <v>140</v>
      </c>
      <c r="J434" t="s">
        <v>141</v>
      </c>
      <c r="K434">
        <v>0</v>
      </c>
      <c r="L434">
        <v>3</v>
      </c>
      <c r="M434">
        <v>0</v>
      </c>
      <c r="N434">
        <v>2</v>
      </c>
      <c r="O434">
        <v>1</v>
      </c>
      <c r="P434">
        <v>0</v>
      </c>
      <c r="Q434">
        <v>0</v>
      </c>
      <c r="R434" t="s">
        <v>127</v>
      </c>
      <c r="S434" t="str">
        <f t="shared" ref="S434:T437" si="37">"15:39:24.055"</f>
        <v>15:39:24.055</v>
      </c>
      <c r="T434" t="str">
        <f t="shared" si="37"/>
        <v>15:39:24.055</v>
      </c>
      <c r="U434" t="str">
        <f t="shared" si="34"/>
        <v>A55E09</v>
      </c>
      <c r="V434">
        <v>0</v>
      </c>
      <c r="W434">
        <v>0</v>
      </c>
      <c r="X434">
        <v>2</v>
      </c>
      <c r="Y434">
        <v>0</v>
      </c>
      <c r="AA434">
        <v>0</v>
      </c>
      <c r="AB434">
        <v>9</v>
      </c>
      <c r="AC434">
        <v>3</v>
      </c>
      <c r="AD434">
        <v>0</v>
      </c>
      <c r="AE434">
        <v>9</v>
      </c>
      <c r="AF434" t="s">
        <v>128</v>
      </c>
      <c r="AG434">
        <v>0</v>
      </c>
      <c r="AH434">
        <v>0</v>
      </c>
      <c r="AI434">
        <v>1</v>
      </c>
      <c r="AJ434">
        <v>0</v>
      </c>
      <c r="AK434" t="s">
        <v>350</v>
      </c>
      <c r="AL434">
        <v>33.697901000000002</v>
      </c>
      <c r="AM434" t="s">
        <v>351</v>
      </c>
      <c r="AN434">
        <v>-101.21028200000001</v>
      </c>
      <c r="AO434">
        <v>100</v>
      </c>
      <c r="AP434">
        <v>3300</v>
      </c>
      <c r="AQ434" t="s">
        <v>131</v>
      </c>
      <c r="AR434">
        <v>-12</v>
      </c>
      <c r="AS434">
        <v>88</v>
      </c>
      <c r="AT434">
        <v>-256</v>
      </c>
      <c r="BB434" t="str">
        <f t="shared" si="35"/>
        <v>1200</v>
      </c>
      <c r="BC434">
        <v>1</v>
      </c>
      <c r="BD434" t="str">
        <f t="shared" si="36"/>
        <v xml:space="preserve">N445JS  </v>
      </c>
      <c r="BE434">
        <v>7</v>
      </c>
      <c r="BG434">
        <v>0</v>
      </c>
      <c r="BH434">
        <v>0</v>
      </c>
      <c r="BI434">
        <v>0</v>
      </c>
      <c r="BJ434">
        <v>3050</v>
      </c>
      <c r="BK434">
        <v>-250</v>
      </c>
      <c r="BL434" t="s">
        <v>132</v>
      </c>
      <c r="BM434">
        <v>1</v>
      </c>
      <c r="BN434">
        <v>1</v>
      </c>
      <c r="BO434">
        <v>1</v>
      </c>
      <c r="BP434">
        <v>0</v>
      </c>
      <c r="BT434">
        <v>0</v>
      </c>
      <c r="BU434">
        <v>0</v>
      </c>
      <c r="CE434" t="str">
        <f>"15:39:24.062"</f>
        <v>15:39:24.062</v>
      </c>
      <c r="CF434">
        <v>62118031</v>
      </c>
      <c r="CS434">
        <v>0</v>
      </c>
      <c r="CT434">
        <v>2</v>
      </c>
      <c r="CU434">
        <v>0</v>
      </c>
      <c r="CV434">
        <v>2</v>
      </c>
      <c r="CW434">
        <v>0</v>
      </c>
      <c r="CX434">
        <v>7</v>
      </c>
      <c r="CY434">
        <v>7</v>
      </c>
      <c r="CZ434" t="s">
        <v>133</v>
      </c>
      <c r="DA434">
        <v>125</v>
      </c>
      <c r="DB434">
        <v>1</v>
      </c>
      <c r="DC434" t="s">
        <v>134</v>
      </c>
      <c r="DD434" t="s">
        <v>135</v>
      </c>
      <c r="DG434">
        <v>2553750</v>
      </c>
      <c r="DI434">
        <v>0</v>
      </c>
      <c r="DJ434">
        <v>0</v>
      </c>
      <c r="DK434">
        <v>0</v>
      </c>
      <c r="DL434">
        <v>0</v>
      </c>
      <c r="DM434">
        <v>0</v>
      </c>
      <c r="DN434">
        <v>0</v>
      </c>
      <c r="DO434">
        <v>0</v>
      </c>
      <c r="DP434">
        <v>0</v>
      </c>
      <c r="DQ434">
        <v>0</v>
      </c>
      <c r="DR434">
        <v>0</v>
      </c>
      <c r="DS434">
        <v>0</v>
      </c>
    </row>
    <row r="435" spans="1:123" x14ac:dyDescent="0.25">
      <c r="A435" t="str">
        <f>"04/17/2026 15:39:24.336"</f>
        <v>04/17/2026 15:39:24.336</v>
      </c>
      <c r="C435" t="str">
        <f t="shared" si="33"/>
        <v>FFDFD3C0</v>
      </c>
      <c r="D435" t="s">
        <v>136</v>
      </c>
      <c r="E435" t="str">
        <f>"0E"</f>
        <v>0E</v>
      </c>
      <c r="F435">
        <v>1014</v>
      </c>
      <c r="G435" t="s">
        <v>125</v>
      </c>
      <c r="J435" t="s">
        <v>137</v>
      </c>
      <c r="K435">
        <v>0</v>
      </c>
      <c r="L435">
        <v>3</v>
      </c>
      <c r="M435">
        <v>0</v>
      </c>
      <c r="N435">
        <v>2</v>
      </c>
      <c r="O435">
        <v>1</v>
      </c>
      <c r="P435">
        <v>0</v>
      </c>
      <c r="Q435">
        <v>0</v>
      </c>
      <c r="R435" t="s">
        <v>127</v>
      </c>
      <c r="S435" t="str">
        <f t="shared" si="37"/>
        <v>15:39:24.055</v>
      </c>
      <c r="T435" t="str">
        <f t="shared" si="37"/>
        <v>15:39:24.055</v>
      </c>
      <c r="U435" t="str">
        <f t="shared" si="34"/>
        <v>A55E09</v>
      </c>
      <c r="V435">
        <v>0</v>
      </c>
      <c r="W435">
        <v>0</v>
      </c>
      <c r="X435">
        <v>2</v>
      </c>
      <c r="Y435">
        <v>0</v>
      </c>
      <c r="AA435">
        <v>0</v>
      </c>
      <c r="AB435">
        <v>9</v>
      </c>
      <c r="AC435">
        <v>3</v>
      </c>
      <c r="AD435">
        <v>0</v>
      </c>
      <c r="AE435">
        <v>9</v>
      </c>
      <c r="AF435" t="s">
        <v>128</v>
      </c>
      <c r="AG435">
        <v>0</v>
      </c>
      <c r="AH435">
        <v>0</v>
      </c>
      <c r="AI435">
        <v>1</v>
      </c>
      <c r="AJ435">
        <v>0</v>
      </c>
      <c r="AK435" t="s">
        <v>350</v>
      </c>
      <c r="AL435">
        <v>33.697901000000002</v>
      </c>
      <c r="AM435" t="s">
        <v>351</v>
      </c>
      <c r="AN435">
        <v>-101.21028200000001</v>
      </c>
      <c r="AO435">
        <v>100</v>
      </c>
      <c r="AP435">
        <v>3300</v>
      </c>
      <c r="AQ435" t="s">
        <v>131</v>
      </c>
      <c r="AR435">
        <v>-12</v>
      </c>
      <c r="AS435">
        <v>88</v>
      </c>
      <c r="AT435">
        <v>-256</v>
      </c>
      <c r="BB435" t="str">
        <f t="shared" si="35"/>
        <v>1200</v>
      </c>
      <c r="BC435">
        <v>1</v>
      </c>
      <c r="BD435" t="str">
        <f t="shared" si="36"/>
        <v xml:space="preserve">N445JS  </v>
      </c>
      <c r="BE435">
        <v>7</v>
      </c>
      <c r="BG435">
        <v>0</v>
      </c>
      <c r="BH435">
        <v>0</v>
      </c>
      <c r="BI435">
        <v>0</v>
      </c>
      <c r="BJ435">
        <v>3050</v>
      </c>
      <c r="BK435">
        <v>-250</v>
      </c>
      <c r="BL435" t="s">
        <v>132</v>
      </c>
      <c r="BM435">
        <v>1</v>
      </c>
      <c r="BN435">
        <v>1</v>
      </c>
      <c r="BO435">
        <v>1</v>
      </c>
      <c r="BP435">
        <v>0</v>
      </c>
      <c r="BT435">
        <v>0</v>
      </c>
      <c r="BU435">
        <v>0</v>
      </c>
      <c r="CE435" t="str">
        <f>"15:39:24.062"</f>
        <v>15:39:24.062</v>
      </c>
      <c r="CF435">
        <v>62118031</v>
      </c>
      <c r="CS435">
        <v>0</v>
      </c>
      <c r="CT435">
        <v>2</v>
      </c>
      <c r="CU435">
        <v>0</v>
      </c>
      <c r="CV435">
        <v>2</v>
      </c>
      <c r="CW435">
        <v>0</v>
      </c>
      <c r="CX435">
        <v>7</v>
      </c>
      <c r="CY435">
        <v>7</v>
      </c>
      <c r="CZ435" t="s">
        <v>133</v>
      </c>
      <c r="DA435">
        <v>125</v>
      </c>
      <c r="DB435">
        <v>1</v>
      </c>
      <c r="DC435" t="s">
        <v>134</v>
      </c>
      <c r="DD435" t="s">
        <v>135</v>
      </c>
      <c r="DG435">
        <v>2553750</v>
      </c>
      <c r="DI435">
        <v>0</v>
      </c>
      <c r="DJ435">
        <v>0</v>
      </c>
      <c r="DK435">
        <v>1</v>
      </c>
      <c r="DL435">
        <v>0</v>
      </c>
      <c r="DM435">
        <v>0</v>
      </c>
      <c r="DN435">
        <v>0</v>
      </c>
      <c r="DO435">
        <v>0</v>
      </c>
      <c r="DP435">
        <v>0</v>
      </c>
      <c r="DQ435">
        <v>0</v>
      </c>
      <c r="DR435">
        <v>0</v>
      </c>
      <c r="DS435">
        <v>0</v>
      </c>
    </row>
    <row r="436" spans="1:123" x14ac:dyDescent="0.25">
      <c r="A436" t="str">
        <f>"04/17/2026 15:39:24.338"</f>
        <v>04/17/2026 15:39:24.338</v>
      </c>
      <c r="C436" t="str">
        <f t="shared" si="33"/>
        <v>FFDFD3C0</v>
      </c>
      <c r="D436" t="s">
        <v>136</v>
      </c>
      <c r="E436" t="str">
        <f>"0F"</f>
        <v>0F</v>
      </c>
      <c r="F436">
        <v>1015</v>
      </c>
      <c r="G436" t="s">
        <v>138</v>
      </c>
      <c r="J436" t="s">
        <v>137</v>
      </c>
      <c r="K436">
        <v>0</v>
      </c>
      <c r="L436">
        <v>3</v>
      </c>
      <c r="M436">
        <v>0</v>
      </c>
      <c r="N436">
        <v>2</v>
      </c>
      <c r="O436">
        <v>1</v>
      </c>
      <c r="P436">
        <v>0</v>
      </c>
      <c r="Q436">
        <v>0</v>
      </c>
      <c r="R436" t="s">
        <v>127</v>
      </c>
      <c r="S436" t="str">
        <f t="shared" si="37"/>
        <v>15:39:24.055</v>
      </c>
      <c r="T436" t="str">
        <f t="shared" si="37"/>
        <v>15:39:24.055</v>
      </c>
      <c r="U436" t="str">
        <f t="shared" si="34"/>
        <v>A55E09</v>
      </c>
      <c r="V436">
        <v>0</v>
      </c>
      <c r="W436">
        <v>0</v>
      </c>
      <c r="X436">
        <v>2</v>
      </c>
      <c r="Y436">
        <v>0</v>
      </c>
      <c r="AA436">
        <v>0</v>
      </c>
      <c r="AB436">
        <v>9</v>
      </c>
      <c r="AC436">
        <v>3</v>
      </c>
      <c r="AD436">
        <v>0</v>
      </c>
      <c r="AE436">
        <v>9</v>
      </c>
      <c r="AF436" t="s">
        <v>128</v>
      </c>
      <c r="AG436">
        <v>0</v>
      </c>
      <c r="AH436">
        <v>0</v>
      </c>
      <c r="AI436">
        <v>1</v>
      </c>
      <c r="AJ436">
        <v>0</v>
      </c>
      <c r="AK436" t="s">
        <v>350</v>
      </c>
      <c r="AL436">
        <v>33.697901000000002</v>
      </c>
      <c r="AM436" t="s">
        <v>351</v>
      </c>
      <c r="AN436">
        <v>-101.21028200000001</v>
      </c>
      <c r="AO436">
        <v>100</v>
      </c>
      <c r="AP436">
        <v>3300</v>
      </c>
      <c r="AQ436" t="s">
        <v>131</v>
      </c>
      <c r="AR436">
        <v>-12</v>
      </c>
      <c r="AS436">
        <v>88</v>
      </c>
      <c r="AT436">
        <v>-256</v>
      </c>
      <c r="BB436" t="str">
        <f t="shared" si="35"/>
        <v>1200</v>
      </c>
      <c r="BC436">
        <v>1</v>
      </c>
      <c r="BD436" t="str">
        <f t="shared" si="36"/>
        <v xml:space="preserve">N445JS  </v>
      </c>
      <c r="BE436">
        <v>7</v>
      </c>
      <c r="BG436">
        <v>0</v>
      </c>
      <c r="BH436">
        <v>0</v>
      </c>
      <c r="BI436">
        <v>0</v>
      </c>
      <c r="BJ436">
        <v>3050</v>
      </c>
      <c r="BK436">
        <v>-250</v>
      </c>
      <c r="BL436" t="s">
        <v>132</v>
      </c>
      <c r="BM436">
        <v>1</v>
      </c>
      <c r="BN436">
        <v>1</v>
      </c>
      <c r="BO436">
        <v>1</v>
      </c>
      <c r="BP436">
        <v>0</v>
      </c>
      <c r="BT436">
        <v>0</v>
      </c>
      <c r="BU436">
        <v>0</v>
      </c>
      <c r="CE436" t="str">
        <f>"15:39:24.062"</f>
        <v>15:39:24.062</v>
      </c>
      <c r="CF436">
        <v>62118031</v>
      </c>
      <c r="CS436">
        <v>0</v>
      </c>
      <c r="CT436">
        <v>2</v>
      </c>
      <c r="CU436">
        <v>0</v>
      </c>
      <c r="CV436">
        <v>2</v>
      </c>
      <c r="CW436">
        <v>0</v>
      </c>
      <c r="CX436">
        <v>7</v>
      </c>
      <c r="CY436">
        <v>7</v>
      </c>
      <c r="CZ436" t="s">
        <v>133</v>
      </c>
      <c r="DA436">
        <v>125</v>
      </c>
      <c r="DB436">
        <v>1</v>
      </c>
      <c r="DC436" t="s">
        <v>134</v>
      </c>
      <c r="DD436" t="s">
        <v>135</v>
      </c>
      <c r="DG436">
        <v>2553750</v>
      </c>
      <c r="DI436">
        <v>0</v>
      </c>
      <c r="DJ436">
        <v>0</v>
      </c>
      <c r="DK436">
        <v>1</v>
      </c>
      <c r="DL436">
        <v>0</v>
      </c>
      <c r="DM436">
        <v>0</v>
      </c>
      <c r="DN436">
        <v>0</v>
      </c>
      <c r="DO436">
        <v>0</v>
      </c>
      <c r="DP436">
        <v>0</v>
      </c>
      <c r="DQ436">
        <v>0</v>
      </c>
      <c r="DR436">
        <v>0</v>
      </c>
      <c r="DS436">
        <v>0</v>
      </c>
    </row>
    <row r="437" spans="1:123" x14ac:dyDescent="0.25">
      <c r="A437" t="str">
        <f>"04/17/2026 15:39:24.350"</f>
        <v>04/17/2026 15:39:24.350</v>
      </c>
      <c r="C437" t="str">
        <f t="shared" si="33"/>
        <v>FFDFD3C0</v>
      </c>
      <c r="D437" t="s">
        <v>124</v>
      </c>
      <c r="E437" t="str">
        <f>"03"</f>
        <v>03</v>
      </c>
      <c r="H437">
        <v>160</v>
      </c>
      <c r="I437" t="s">
        <v>125</v>
      </c>
      <c r="J437" t="s">
        <v>126</v>
      </c>
      <c r="K437">
        <v>0</v>
      </c>
      <c r="L437">
        <v>3</v>
      </c>
      <c r="M437">
        <v>0</v>
      </c>
      <c r="N437">
        <v>2</v>
      </c>
      <c r="O437">
        <v>1</v>
      </c>
      <c r="P437">
        <v>0</v>
      </c>
      <c r="Q437">
        <v>0</v>
      </c>
      <c r="R437" t="s">
        <v>127</v>
      </c>
      <c r="S437" t="str">
        <f t="shared" si="37"/>
        <v>15:39:24.055</v>
      </c>
      <c r="T437" t="str">
        <f t="shared" si="37"/>
        <v>15:39:24.055</v>
      </c>
      <c r="U437" t="str">
        <f t="shared" si="34"/>
        <v>A55E09</v>
      </c>
      <c r="V437">
        <v>0</v>
      </c>
      <c r="W437">
        <v>0</v>
      </c>
      <c r="X437">
        <v>2</v>
      </c>
      <c r="Y437">
        <v>0</v>
      </c>
      <c r="AA437">
        <v>0</v>
      </c>
      <c r="AB437">
        <v>9</v>
      </c>
      <c r="AC437">
        <v>3</v>
      </c>
      <c r="AD437">
        <v>0</v>
      </c>
      <c r="AE437">
        <v>9</v>
      </c>
      <c r="AF437" t="s">
        <v>128</v>
      </c>
      <c r="AG437">
        <v>0</v>
      </c>
      <c r="AH437">
        <v>0</v>
      </c>
      <c r="AI437">
        <v>1</v>
      </c>
      <c r="AJ437">
        <v>0</v>
      </c>
      <c r="AK437" t="s">
        <v>350</v>
      </c>
      <c r="AL437">
        <v>33.697901000000002</v>
      </c>
      <c r="AM437" t="s">
        <v>351</v>
      </c>
      <c r="AN437">
        <v>-101.21028200000001</v>
      </c>
      <c r="AO437">
        <v>100</v>
      </c>
      <c r="AP437">
        <v>3300</v>
      </c>
      <c r="AQ437" t="s">
        <v>131</v>
      </c>
      <c r="AR437">
        <v>-12</v>
      </c>
      <c r="AS437">
        <v>88</v>
      </c>
      <c r="AT437">
        <v>-256</v>
      </c>
      <c r="BB437" t="str">
        <f t="shared" si="35"/>
        <v>1200</v>
      </c>
      <c r="BC437">
        <v>1</v>
      </c>
      <c r="BD437" t="str">
        <f t="shared" si="36"/>
        <v xml:space="preserve">N445JS  </v>
      </c>
      <c r="BE437">
        <v>7</v>
      </c>
      <c r="BG437">
        <v>0</v>
      </c>
      <c r="BH437">
        <v>0</v>
      </c>
      <c r="BI437">
        <v>0</v>
      </c>
      <c r="BJ437">
        <v>3050</v>
      </c>
      <c r="BK437">
        <v>-250</v>
      </c>
      <c r="BL437" t="s">
        <v>132</v>
      </c>
      <c r="BM437">
        <v>1</v>
      </c>
      <c r="BN437">
        <v>1</v>
      </c>
      <c r="BO437">
        <v>1</v>
      </c>
      <c r="BP437">
        <v>0</v>
      </c>
      <c r="BT437">
        <v>0</v>
      </c>
      <c r="BU437">
        <v>0</v>
      </c>
      <c r="CE437" t="str">
        <f>"15:39:24.062"</f>
        <v>15:39:24.062</v>
      </c>
      <c r="CF437">
        <v>62118031</v>
      </c>
      <c r="CS437">
        <v>0</v>
      </c>
      <c r="CT437">
        <v>2</v>
      </c>
      <c r="CU437">
        <v>0</v>
      </c>
      <c r="CV437">
        <v>2</v>
      </c>
      <c r="CW437">
        <v>0</v>
      </c>
      <c r="CX437">
        <v>7</v>
      </c>
      <c r="CY437">
        <v>7</v>
      </c>
      <c r="CZ437" t="s">
        <v>133</v>
      </c>
      <c r="DA437">
        <v>125</v>
      </c>
      <c r="DB437">
        <v>1</v>
      </c>
      <c r="DC437" t="s">
        <v>134</v>
      </c>
      <c r="DD437" t="s">
        <v>135</v>
      </c>
      <c r="DG437">
        <v>2553750</v>
      </c>
      <c r="DI437">
        <v>0</v>
      </c>
      <c r="DJ437">
        <v>0</v>
      </c>
      <c r="DK437">
        <v>1</v>
      </c>
      <c r="DL437">
        <v>0</v>
      </c>
      <c r="DM437">
        <v>0</v>
      </c>
      <c r="DN437">
        <v>0</v>
      </c>
      <c r="DO437">
        <v>0</v>
      </c>
      <c r="DP437">
        <v>0</v>
      </c>
      <c r="DQ437">
        <v>0</v>
      </c>
      <c r="DR437">
        <v>0</v>
      </c>
      <c r="DS437">
        <v>0</v>
      </c>
    </row>
    <row r="438" spans="1:123" x14ac:dyDescent="0.25">
      <c r="A438" t="str">
        <f>"04/17/2026 15:39:25.333"</f>
        <v>04/17/2026 15:39:25.333</v>
      </c>
      <c r="C438" t="str">
        <f t="shared" si="33"/>
        <v>FFDFD3C0</v>
      </c>
      <c r="D438" t="s">
        <v>139</v>
      </c>
      <c r="E438" t="str">
        <f>"28"</f>
        <v>28</v>
      </c>
      <c r="H438">
        <v>140</v>
      </c>
      <c r="I438" t="s">
        <v>140</v>
      </c>
      <c r="J438" t="s">
        <v>141</v>
      </c>
      <c r="K438">
        <v>0</v>
      </c>
      <c r="L438">
        <v>3</v>
      </c>
      <c r="M438">
        <v>0</v>
      </c>
      <c r="N438">
        <v>2</v>
      </c>
      <c r="O438">
        <v>1</v>
      </c>
      <c r="P438">
        <v>0</v>
      </c>
      <c r="Q438">
        <v>0</v>
      </c>
      <c r="R438" t="s">
        <v>127</v>
      </c>
      <c r="S438" t="str">
        <f>"15:39:25.063"</f>
        <v>15:39:25.063</v>
      </c>
      <c r="T438" t="str">
        <f>"15:39:24.663"</f>
        <v>15:39:24.663</v>
      </c>
      <c r="U438" t="str">
        <f t="shared" si="34"/>
        <v>A55E09</v>
      </c>
      <c r="V438">
        <v>0</v>
      </c>
      <c r="W438">
        <v>0</v>
      </c>
      <c r="X438">
        <v>2</v>
      </c>
      <c r="Y438">
        <v>0</v>
      </c>
      <c r="AA438">
        <v>0</v>
      </c>
      <c r="AB438">
        <v>9</v>
      </c>
      <c r="AC438">
        <v>3</v>
      </c>
      <c r="AD438">
        <v>0</v>
      </c>
      <c r="AE438">
        <v>9</v>
      </c>
      <c r="AF438" t="s">
        <v>128</v>
      </c>
      <c r="AG438">
        <v>0</v>
      </c>
      <c r="AH438">
        <v>0</v>
      </c>
      <c r="AI438">
        <v>1</v>
      </c>
      <c r="AJ438">
        <v>0</v>
      </c>
      <c r="AK438" t="s">
        <v>352</v>
      </c>
      <c r="AL438">
        <v>33.698307999999997</v>
      </c>
      <c r="AM438" t="s">
        <v>353</v>
      </c>
      <c r="AN438">
        <v>-101.210368</v>
      </c>
      <c r="AO438">
        <v>100</v>
      </c>
      <c r="AP438">
        <v>3300</v>
      </c>
      <c r="AQ438" t="s">
        <v>131</v>
      </c>
      <c r="AR438">
        <v>-11</v>
      </c>
      <c r="AS438">
        <v>89</v>
      </c>
      <c r="AT438">
        <v>-256</v>
      </c>
      <c r="BB438" t="str">
        <f t="shared" si="35"/>
        <v>1200</v>
      </c>
      <c r="BC438">
        <v>1</v>
      </c>
      <c r="BD438" t="str">
        <f t="shared" si="36"/>
        <v xml:space="preserve">N445JS  </v>
      </c>
      <c r="BE438">
        <v>7</v>
      </c>
      <c r="BG438">
        <v>0</v>
      </c>
      <c r="BH438">
        <v>0</v>
      </c>
      <c r="BI438">
        <v>0</v>
      </c>
      <c r="BJ438">
        <v>3050</v>
      </c>
      <c r="BK438">
        <v>-250</v>
      </c>
      <c r="BL438" t="s">
        <v>132</v>
      </c>
      <c r="BM438">
        <v>1</v>
      </c>
      <c r="BN438">
        <v>1</v>
      </c>
      <c r="BO438">
        <v>1</v>
      </c>
      <c r="BP438">
        <v>0</v>
      </c>
      <c r="BT438">
        <v>0</v>
      </c>
      <c r="BU438">
        <v>0</v>
      </c>
      <c r="CE438" t="str">
        <f>"15:39:25.067"</f>
        <v>15:39:25.067</v>
      </c>
      <c r="CF438">
        <v>67019528</v>
      </c>
      <c r="CS438">
        <v>0</v>
      </c>
      <c r="CT438">
        <v>2</v>
      </c>
      <c r="CU438">
        <v>0</v>
      </c>
      <c r="CV438">
        <v>2</v>
      </c>
      <c r="CW438">
        <v>0</v>
      </c>
      <c r="CX438">
        <v>7</v>
      </c>
      <c r="CY438">
        <v>7</v>
      </c>
      <c r="CZ438" t="s">
        <v>133</v>
      </c>
      <c r="DA438">
        <v>125</v>
      </c>
      <c r="DB438">
        <v>0</v>
      </c>
      <c r="DC438" t="s">
        <v>134</v>
      </c>
      <c r="DD438" t="s">
        <v>135</v>
      </c>
      <c r="DG438">
        <v>3515611</v>
      </c>
      <c r="DI438">
        <v>0</v>
      </c>
      <c r="DJ438">
        <v>0</v>
      </c>
      <c r="DK438">
        <v>0</v>
      </c>
      <c r="DL438">
        <v>0</v>
      </c>
      <c r="DM438">
        <v>0</v>
      </c>
      <c r="DN438">
        <v>0</v>
      </c>
      <c r="DO438">
        <v>0</v>
      </c>
      <c r="DP438">
        <v>0</v>
      </c>
      <c r="DQ438">
        <v>0</v>
      </c>
      <c r="DR438">
        <v>0</v>
      </c>
      <c r="DS438">
        <v>0</v>
      </c>
    </row>
    <row r="439" spans="1:123" x14ac:dyDescent="0.25">
      <c r="A439" t="str">
        <f>"04/17/2026 15:39:25.338"</f>
        <v>04/17/2026 15:39:25.338</v>
      </c>
      <c r="C439" t="str">
        <f t="shared" si="33"/>
        <v>FFDFD3C0</v>
      </c>
      <c r="D439" t="s">
        <v>136</v>
      </c>
      <c r="E439" t="str">
        <f>"0E"</f>
        <v>0E</v>
      </c>
      <c r="F439">
        <v>1014</v>
      </c>
      <c r="G439" t="s">
        <v>125</v>
      </c>
      <c r="J439" t="s">
        <v>137</v>
      </c>
      <c r="K439">
        <v>0</v>
      </c>
      <c r="L439">
        <v>3</v>
      </c>
      <c r="M439">
        <v>0</v>
      </c>
      <c r="N439">
        <v>2</v>
      </c>
      <c r="O439">
        <v>1</v>
      </c>
      <c r="P439">
        <v>0</v>
      </c>
      <c r="Q439">
        <v>0</v>
      </c>
      <c r="R439" t="s">
        <v>127</v>
      </c>
      <c r="S439" t="str">
        <f>"15:39:25.063"</f>
        <v>15:39:25.063</v>
      </c>
      <c r="T439" t="str">
        <f>"15:39:24.663"</f>
        <v>15:39:24.663</v>
      </c>
      <c r="U439" t="str">
        <f t="shared" si="34"/>
        <v>A55E09</v>
      </c>
      <c r="V439">
        <v>0</v>
      </c>
      <c r="W439">
        <v>0</v>
      </c>
      <c r="X439">
        <v>2</v>
      </c>
      <c r="Y439">
        <v>0</v>
      </c>
      <c r="AA439">
        <v>0</v>
      </c>
      <c r="AB439">
        <v>9</v>
      </c>
      <c r="AC439">
        <v>3</v>
      </c>
      <c r="AD439">
        <v>0</v>
      </c>
      <c r="AE439">
        <v>9</v>
      </c>
      <c r="AF439" t="s">
        <v>128</v>
      </c>
      <c r="AG439">
        <v>0</v>
      </c>
      <c r="AH439">
        <v>0</v>
      </c>
      <c r="AI439">
        <v>1</v>
      </c>
      <c r="AJ439">
        <v>0</v>
      </c>
      <c r="AK439" t="s">
        <v>352</v>
      </c>
      <c r="AL439">
        <v>33.698307999999997</v>
      </c>
      <c r="AM439" t="s">
        <v>353</v>
      </c>
      <c r="AN439">
        <v>-101.210368</v>
      </c>
      <c r="AO439">
        <v>100</v>
      </c>
      <c r="AP439">
        <v>3300</v>
      </c>
      <c r="AQ439" t="s">
        <v>131</v>
      </c>
      <c r="AR439">
        <v>-11</v>
      </c>
      <c r="AS439">
        <v>89</v>
      </c>
      <c r="AT439">
        <v>-256</v>
      </c>
      <c r="BB439" t="str">
        <f t="shared" si="35"/>
        <v>1200</v>
      </c>
      <c r="BC439">
        <v>1</v>
      </c>
      <c r="BD439" t="str">
        <f t="shared" si="36"/>
        <v xml:space="preserve">N445JS  </v>
      </c>
      <c r="BE439">
        <v>7</v>
      </c>
      <c r="BG439">
        <v>0</v>
      </c>
      <c r="BH439">
        <v>0</v>
      </c>
      <c r="BI439">
        <v>0</v>
      </c>
      <c r="BJ439">
        <v>3050</v>
      </c>
      <c r="BK439">
        <v>-250</v>
      </c>
      <c r="BL439" t="s">
        <v>132</v>
      </c>
      <c r="BM439">
        <v>1</v>
      </c>
      <c r="BN439">
        <v>1</v>
      </c>
      <c r="BO439">
        <v>1</v>
      </c>
      <c r="BP439">
        <v>0</v>
      </c>
      <c r="BT439">
        <v>0</v>
      </c>
      <c r="BU439">
        <v>0</v>
      </c>
      <c r="CE439" t="str">
        <f>"15:39:25.067"</f>
        <v>15:39:25.067</v>
      </c>
      <c r="CF439">
        <v>67019528</v>
      </c>
      <c r="CS439">
        <v>0</v>
      </c>
      <c r="CT439">
        <v>2</v>
      </c>
      <c r="CU439">
        <v>0</v>
      </c>
      <c r="CV439">
        <v>2</v>
      </c>
      <c r="CW439">
        <v>0</v>
      </c>
      <c r="CX439">
        <v>7</v>
      </c>
      <c r="CY439">
        <v>7</v>
      </c>
      <c r="CZ439" t="s">
        <v>133</v>
      </c>
      <c r="DA439">
        <v>125</v>
      </c>
      <c r="DB439">
        <v>0</v>
      </c>
      <c r="DC439" t="s">
        <v>134</v>
      </c>
      <c r="DD439" t="s">
        <v>135</v>
      </c>
      <c r="DG439">
        <v>3515611</v>
      </c>
      <c r="DI439">
        <v>0</v>
      </c>
      <c r="DJ439">
        <v>0</v>
      </c>
      <c r="DK439">
        <v>1</v>
      </c>
      <c r="DL439">
        <v>0</v>
      </c>
      <c r="DM439">
        <v>0</v>
      </c>
      <c r="DN439">
        <v>0</v>
      </c>
      <c r="DO439">
        <v>0</v>
      </c>
      <c r="DP439">
        <v>0</v>
      </c>
      <c r="DQ439">
        <v>0</v>
      </c>
      <c r="DR439">
        <v>0</v>
      </c>
      <c r="DS439">
        <v>0</v>
      </c>
    </row>
    <row r="440" spans="1:123" x14ac:dyDescent="0.25">
      <c r="A440" t="str">
        <f>"04/17/2026 15:39:25.339"</f>
        <v>04/17/2026 15:39:25.339</v>
      </c>
      <c r="C440" t="str">
        <f t="shared" si="33"/>
        <v>FFDFD3C0</v>
      </c>
      <c r="D440" t="s">
        <v>136</v>
      </c>
      <c r="E440" t="str">
        <f>"0F"</f>
        <v>0F</v>
      </c>
      <c r="F440">
        <v>1015</v>
      </c>
      <c r="G440" t="s">
        <v>138</v>
      </c>
      <c r="J440" t="s">
        <v>137</v>
      </c>
      <c r="K440">
        <v>0</v>
      </c>
      <c r="L440">
        <v>3</v>
      </c>
      <c r="M440">
        <v>0</v>
      </c>
      <c r="N440">
        <v>2</v>
      </c>
      <c r="O440">
        <v>1</v>
      </c>
      <c r="P440">
        <v>0</v>
      </c>
      <c r="Q440">
        <v>0</v>
      </c>
      <c r="R440" t="s">
        <v>127</v>
      </c>
      <c r="S440" t="str">
        <f>"15:39:25.063"</f>
        <v>15:39:25.063</v>
      </c>
      <c r="T440" t="str">
        <f>"15:39:24.663"</f>
        <v>15:39:24.663</v>
      </c>
      <c r="U440" t="str">
        <f t="shared" si="34"/>
        <v>A55E09</v>
      </c>
      <c r="V440">
        <v>0</v>
      </c>
      <c r="W440">
        <v>0</v>
      </c>
      <c r="X440">
        <v>2</v>
      </c>
      <c r="Y440">
        <v>0</v>
      </c>
      <c r="AA440">
        <v>0</v>
      </c>
      <c r="AB440">
        <v>9</v>
      </c>
      <c r="AC440">
        <v>3</v>
      </c>
      <c r="AD440">
        <v>0</v>
      </c>
      <c r="AE440">
        <v>9</v>
      </c>
      <c r="AF440" t="s">
        <v>128</v>
      </c>
      <c r="AG440">
        <v>0</v>
      </c>
      <c r="AH440">
        <v>0</v>
      </c>
      <c r="AI440">
        <v>1</v>
      </c>
      <c r="AJ440">
        <v>0</v>
      </c>
      <c r="AK440" t="s">
        <v>352</v>
      </c>
      <c r="AL440">
        <v>33.698307999999997</v>
      </c>
      <c r="AM440" t="s">
        <v>353</v>
      </c>
      <c r="AN440">
        <v>-101.210368</v>
      </c>
      <c r="AO440">
        <v>100</v>
      </c>
      <c r="AP440">
        <v>3300</v>
      </c>
      <c r="AQ440" t="s">
        <v>131</v>
      </c>
      <c r="AR440">
        <v>-11</v>
      </c>
      <c r="AS440">
        <v>89</v>
      </c>
      <c r="AT440">
        <v>-256</v>
      </c>
      <c r="BB440" t="str">
        <f t="shared" si="35"/>
        <v>1200</v>
      </c>
      <c r="BC440">
        <v>1</v>
      </c>
      <c r="BD440" t="str">
        <f t="shared" si="36"/>
        <v xml:space="preserve">N445JS  </v>
      </c>
      <c r="BE440">
        <v>7</v>
      </c>
      <c r="BG440">
        <v>0</v>
      </c>
      <c r="BH440">
        <v>0</v>
      </c>
      <c r="BI440">
        <v>0</v>
      </c>
      <c r="BJ440">
        <v>3050</v>
      </c>
      <c r="BK440">
        <v>-250</v>
      </c>
      <c r="BL440" t="s">
        <v>132</v>
      </c>
      <c r="BM440">
        <v>1</v>
      </c>
      <c r="BN440">
        <v>1</v>
      </c>
      <c r="BO440">
        <v>1</v>
      </c>
      <c r="BP440">
        <v>0</v>
      </c>
      <c r="BT440">
        <v>0</v>
      </c>
      <c r="BU440">
        <v>0</v>
      </c>
      <c r="CE440" t="str">
        <f>"15:39:25.067"</f>
        <v>15:39:25.067</v>
      </c>
      <c r="CF440">
        <v>67019528</v>
      </c>
      <c r="CS440">
        <v>0</v>
      </c>
      <c r="CT440">
        <v>2</v>
      </c>
      <c r="CU440">
        <v>0</v>
      </c>
      <c r="CV440">
        <v>2</v>
      </c>
      <c r="CW440">
        <v>0</v>
      </c>
      <c r="CX440">
        <v>7</v>
      </c>
      <c r="CY440">
        <v>7</v>
      </c>
      <c r="CZ440" t="s">
        <v>133</v>
      </c>
      <c r="DA440">
        <v>125</v>
      </c>
      <c r="DB440">
        <v>0</v>
      </c>
      <c r="DC440" t="s">
        <v>134</v>
      </c>
      <c r="DD440" t="s">
        <v>135</v>
      </c>
      <c r="DG440">
        <v>3515611</v>
      </c>
      <c r="DI440">
        <v>0</v>
      </c>
      <c r="DJ440">
        <v>0</v>
      </c>
      <c r="DK440">
        <v>1</v>
      </c>
      <c r="DL440">
        <v>0</v>
      </c>
      <c r="DM440">
        <v>0</v>
      </c>
      <c r="DN440">
        <v>0</v>
      </c>
      <c r="DO440">
        <v>0</v>
      </c>
      <c r="DP440">
        <v>0</v>
      </c>
      <c r="DQ440">
        <v>0</v>
      </c>
      <c r="DR440">
        <v>0</v>
      </c>
      <c r="DS440">
        <v>0</v>
      </c>
    </row>
    <row r="441" spans="1:123" x14ac:dyDescent="0.25">
      <c r="A441" t="str">
        <f>"04/17/2026 15:39:25.352"</f>
        <v>04/17/2026 15:39:25.352</v>
      </c>
      <c r="C441" t="str">
        <f t="shared" si="33"/>
        <v>FFDFD3C0</v>
      </c>
      <c r="D441" t="s">
        <v>124</v>
      </c>
      <c r="E441" t="str">
        <f>"03"</f>
        <v>03</v>
      </c>
      <c r="H441">
        <v>160</v>
      </c>
      <c r="I441" t="s">
        <v>125</v>
      </c>
      <c r="J441" t="s">
        <v>126</v>
      </c>
      <c r="K441">
        <v>0</v>
      </c>
      <c r="L441">
        <v>3</v>
      </c>
      <c r="M441">
        <v>0</v>
      </c>
      <c r="N441">
        <v>2</v>
      </c>
      <c r="O441">
        <v>1</v>
      </c>
      <c r="P441">
        <v>0</v>
      </c>
      <c r="Q441">
        <v>0</v>
      </c>
      <c r="R441" t="s">
        <v>127</v>
      </c>
      <c r="S441" t="str">
        <f>"15:39:25.063"</f>
        <v>15:39:25.063</v>
      </c>
      <c r="T441" t="str">
        <f>"15:39:24.663"</f>
        <v>15:39:24.663</v>
      </c>
      <c r="U441" t="str">
        <f t="shared" si="34"/>
        <v>A55E09</v>
      </c>
      <c r="V441">
        <v>0</v>
      </c>
      <c r="W441">
        <v>0</v>
      </c>
      <c r="X441">
        <v>2</v>
      </c>
      <c r="Y441">
        <v>0</v>
      </c>
      <c r="AA441">
        <v>0</v>
      </c>
      <c r="AB441">
        <v>9</v>
      </c>
      <c r="AC441">
        <v>3</v>
      </c>
      <c r="AD441">
        <v>0</v>
      </c>
      <c r="AE441">
        <v>9</v>
      </c>
      <c r="AF441" t="s">
        <v>128</v>
      </c>
      <c r="AG441">
        <v>0</v>
      </c>
      <c r="AH441">
        <v>0</v>
      </c>
      <c r="AI441">
        <v>1</v>
      </c>
      <c r="AJ441">
        <v>0</v>
      </c>
      <c r="AK441" t="s">
        <v>352</v>
      </c>
      <c r="AL441">
        <v>33.698307999999997</v>
      </c>
      <c r="AM441" t="s">
        <v>353</v>
      </c>
      <c r="AN441">
        <v>-101.210368</v>
      </c>
      <c r="AO441">
        <v>100</v>
      </c>
      <c r="AP441">
        <v>3300</v>
      </c>
      <c r="AQ441" t="s">
        <v>131</v>
      </c>
      <c r="AR441">
        <v>-11</v>
      </c>
      <c r="AS441">
        <v>89</v>
      </c>
      <c r="AT441">
        <v>-256</v>
      </c>
      <c r="BB441" t="str">
        <f t="shared" si="35"/>
        <v>1200</v>
      </c>
      <c r="BC441">
        <v>1</v>
      </c>
      <c r="BD441" t="str">
        <f t="shared" si="36"/>
        <v xml:space="preserve">N445JS  </v>
      </c>
      <c r="BE441">
        <v>7</v>
      </c>
      <c r="BG441">
        <v>0</v>
      </c>
      <c r="BH441">
        <v>0</v>
      </c>
      <c r="BI441">
        <v>0</v>
      </c>
      <c r="BJ441">
        <v>3050</v>
      </c>
      <c r="BK441">
        <v>-250</v>
      </c>
      <c r="BL441" t="s">
        <v>132</v>
      </c>
      <c r="BM441">
        <v>1</v>
      </c>
      <c r="BN441">
        <v>1</v>
      </c>
      <c r="BO441">
        <v>1</v>
      </c>
      <c r="BP441">
        <v>0</v>
      </c>
      <c r="BT441">
        <v>0</v>
      </c>
      <c r="BU441">
        <v>0</v>
      </c>
      <c r="CE441" t="str">
        <f>"15:39:25.067"</f>
        <v>15:39:25.067</v>
      </c>
      <c r="CF441">
        <v>67019528</v>
      </c>
      <c r="CS441">
        <v>0</v>
      </c>
      <c r="CT441">
        <v>2</v>
      </c>
      <c r="CU441">
        <v>0</v>
      </c>
      <c r="CV441">
        <v>2</v>
      </c>
      <c r="CW441">
        <v>0</v>
      </c>
      <c r="CX441">
        <v>7</v>
      </c>
      <c r="CY441">
        <v>7</v>
      </c>
      <c r="CZ441" t="s">
        <v>133</v>
      </c>
      <c r="DA441">
        <v>125</v>
      </c>
      <c r="DB441">
        <v>0</v>
      </c>
      <c r="DC441" t="s">
        <v>134</v>
      </c>
      <c r="DD441" t="s">
        <v>135</v>
      </c>
      <c r="DG441">
        <v>3515611</v>
      </c>
      <c r="DI441">
        <v>0</v>
      </c>
      <c r="DJ441">
        <v>0</v>
      </c>
      <c r="DK441">
        <v>1</v>
      </c>
      <c r="DL441">
        <v>0</v>
      </c>
      <c r="DM441">
        <v>0</v>
      </c>
      <c r="DN441">
        <v>0</v>
      </c>
      <c r="DO441">
        <v>0</v>
      </c>
      <c r="DP441">
        <v>0</v>
      </c>
      <c r="DQ441">
        <v>0</v>
      </c>
      <c r="DR441">
        <v>0</v>
      </c>
      <c r="DS441">
        <v>0</v>
      </c>
    </row>
    <row r="442" spans="1:123" x14ac:dyDescent="0.25">
      <c r="A442" t="str">
        <f>"04/17/2026 15:39:26.184"</f>
        <v>04/17/2026 15:39:26.184</v>
      </c>
      <c r="C442" t="str">
        <f t="shared" si="33"/>
        <v>FFDFD3C0</v>
      </c>
      <c r="D442" t="s">
        <v>139</v>
      </c>
      <c r="E442" t="str">
        <f>"28"</f>
        <v>28</v>
      </c>
      <c r="H442">
        <v>140</v>
      </c>
      <c r="I442" t="s">
        <v>140</v>
      </c>
      <c r="J442" t="s">
        <v>141</v>
      </c>
      <c r="K442">
        <v>0</v>
      </c>
      <c r="L442">
        <v>3</v>
      </c>
      <c r="M442">
        <v>0</v>
      </c>
      <c r="N442">
        <v>2</v>
      </c>
      <c r="O442">
        <v>1</v>
      </c>
      <c r="P442">
        <v>0</v>
      </c>
      <c r="Q442">
        <v>0</v>
      </c>
      <c r="R442" t="s">
        <v>127</v>
      </c>
      <c r="S442" t="str">
        <f>"15:39:25.922"</f>
        <v>15:39:25.922</v>
      </c>
      <c r="T442" t="str">
        <f>"15:39:25.722"</f>
        <v>15:39:25.722</v>
      </c>
      <c r="U442" t="str">
        <f t="shared" si="34"/>
        <v>A55E09</v>
      </c>
      <c r="V442">
        <v>0</v>
      </c>
      <c r="W442">
        <v>0</v>
      </c>
      <c r="X442">
        <v>2</v>
      </c>
      <c r="Y442">
        <v>0</v>
      </c>
      <c r="AA442">
        <v>0</v>
      </c>
      <c r="AB442">
        <v>9</v>
      </c>
      <c r="AC442">
        <v>3</v>
      </c>
      <c r="AD442">
        <v>0</v>
      </c>
      <c r="AE442">
        <v>9</v>
      </c>
      <c r="AF442" t="s">
        <v>128</v>
      </c>
      <c r="AG442">
        <v>0</v>
      </c>
      <c r="AH442">
        <v>0</v>
      </c>
      <c r="AI442">
        <v>1</v>
      </c>
      <c r="AJ442">
        <v>0</v>
      </c>
      <c r="AK442" t="s">
        <v>354</v>
      </c>
      <c r="AL442">
        <v>33.698695000000001</v>
      </c>
      <c r="AM442" t="s">
        <v>353</v>
      </c>
      <c r="AN442">
        <v>-101.210368</v>
      </c>
      <c r="AO442">
        <v>100</v>
      </c>
      <c r="AP442">
        <v>3300</v>
      </c>
      <c r="AQ442" t="s">
        <v>131</v>
      </c>
      <c r="AR442">
        <v>-8</v>
      </c>
      <c r="AS442">
        <v>90</v>
      </c>
      <c r="AT442">
        <v>-384</v>
      </c>
      <c r="BB442" t="str">
        <f t="shared" si="35"/>
        <v>1200</v>
      </c>
      <c r="BC442">
        <v>1</v>
      </c>
      <c r="BD442" t="str">
        <f t="shared" si="36"/>
        <v xml:space="preserve">N445JS  </v>
      </c>
      <c r="BE442">
        <v>7</v>
      </c>
      <c r="BG442">
        <v>0</v>
      </c>
      <c r="BH442">
        <v>0</v>
      </c>
      <c r="BI442">
        <v>0</v>
      </c>
      <c r="BJ442">
        <v>3050</v>
      </c>
      <c r="BK442">
        <v>-250</v>
      </c>
      <c r="BL442" t="s">
        <v>132</v>
      </c>
      <c r="BM442">
        <v>1</v>
      </c>
      <c r="BN442">
        <v>1</v>
      </c>
      <c r="BO442">
        <v>1</v>
      </c>
      <c r="BP442">
        <v>0</v>
      </c>
      <c r="BT442">
        <v>0</v>
      </c>
      <c r="BU442">
        <v>0</v>
      </c>
      <c r="CE442" t="str">
        <f>"15:39:25.922"</f>
        <v>15:39:25.922</v>
      </c>
      <c r="CF442">
        <v>921935731</v>
      </c>
      <c r="CS442">
        <v>0</v>
      </c>
      <c r="CT442">
        <v>2</v>
      </c>
      <c r="CU442">
        <v>0</v>
      </c>
      <c r="CV442">
        <v>2</v>
      </c>
      <c r="CW442">
        <v>0</v>
      </c>
      <c r="CX442">
        <v>7</v>
      </c>
      <c r="CY442">
        <v>7</v>
      </c>
      <c r="CZ442" t="s">
        <v>133</v>
      </c>
      <c r="DA442">
        <v>125</v>
      </c>
      <c r="DB442">
        <v>0</v>
      </c>
      <c r="DC442" t="s">
        <v>134</v>
      </c>
      <c r="DD442" t="s">
        <v>135</v>
      </c>
      <c r="DG442">
        <v>3516569</v>
      </c>
      <c r="DI442">
        <v>0</v>
      </c>
      <c r="DJ442">
        <v>0</v>
      </c>
      <c r="DK442">
        <v>0</v>
      </c>
      <c r="DL442">
        <v>0</v>
      </c>
      <c r="DM442">
        <v>0</v>
      </c>
      <c r="DN442">
        <v>0</v>
      </c>
      <c r="DO442">
        <v>0</v>
      </c>
      <c r="DP442">
        <v>0</v>
      </c>
      <c r="DQ442">
        <v>0</v>
      </c>
      <c r="DR442">
        <v>0</v>
      </c>
      <c r="DS442">
        <v>0</v>
      </c>
    </row>
    <row r="443" spans="1:123" x14ac:dyDescent="0.25">
      <c r="A443" t="str">
        <f>"04/17/2026 15:39:26.189"</f>
        <v>04/17/2026 15:39:26.189</v>
      </c>
      <c r="C443" t="str">
        <f t="shared" si="33"/>
        <v>FFDFD3C0</v>
      </c>
      <c r="D443" t="s">
        <v>136</v>
      </c>
      <c r="E443" t="str">
        <f>"0E"</f>
        <v>0E</v>
      </c>
      <c r="F443">
        <v>1014</v>
      </c>
      <c r="G443" t="s">
        <v>125</v>
      </c>
      <c r="J443" t="s">
        <v>137</v>
      </c>
      <c r="K443">
        <v>0</v>
      </c>
      <c r="L443">
        <v>3</v>
      </c>
      <c r="M443">
        <v>0</v>
      </c>
      <c r="N443">
        <v>2</v>
      </c>
      <c r="O443">
        <v>1</v>
      </c>
      <c r="P443">
        <v>0</v>
      </c>
      <c r="Q443">
        <v>0</v>
      </c>
      <c r="R443" t="s">
        <v>127</v>
      </c>
      <c r="S443" t="str">
        <f>"15:39:25.922"</f>
        <v>15:39:25.922</v>
      </c>
      <c r="T443" t="str">
        <f>"15:39:25.722"</f>
        <v>15:39:25.722</v>
      </c>
      <c r="U443" t="str">
        <f t="shared" si="34"/>
        <v>A55E09</v>
      </c>
      <c r="V443">
        <v>0</v>
      </c>
      <c r="W443">
        <v>0</v>
      </c>
      <c r="X443">
        <v>2</v>
      </c>
      <c r="Y443">
        <v>0</v>
      </c>
      <c r="AA443">
        <v>0</v>
      </c>
      <c r="AB443">
        <v>9</v>
      </c>
      <c r="AC443">
        <v>3</v>
      </c>
      <c r="AD443">
        <v>0</v>
      </c>
      <c r="AE443">
        <v>9</v>
      </c>
      <c r="AF443" t="s">
        <v>128</v>
      </c>
      <c r="AG443">
        <v>0</v>
      </c>
      <c r="AH443">
        <v>0</v>
      </c>
      <c r="AI443">
        <v>1</v>
      </c>
      <c r="AJ443">
        <v>0</v>
      </c>
      <c r="AK443" t="s">
        <v>354</v>
      </c>
      <c r="AL443">
        <v>33.698695000000001</v>
      </c>
      <c r="AM443" t="s">
        <v>353</v>
      </c>
      <c r="AN443">
        <v>-101.210368</v>
      </c>
      <c r="AO443">
        <v>100</v>
      </c>
      <c r="AP443">
        <v>3300</v>
      </c>
      <c r="AQ443" t="s">
        <v>131</v>
      </c>
      <c r="AR443">
        <v>-8</v>
      </c>
      <c r="AS443">
        <v>90</v>
      </c>
      <c r="AT443">
        <v>-384</v>
      </c>
      <c r="BB443" t="str">
        <f t="shared" si="35"/>
        <v>1200</v>
      </c>
      <c r="BC443">
        <v>1</v>
      </c>
      <c r="BD443" t="str">
        <f t="shared" si="36"/>
        <v xml:space="preserve">N445JS  </v>
      </c>
      <c r="BE443">
        <v>7</v>
      </c>
      <c r="BG443">
        <v>0</v>
      </c>
      <c r="BH443">
        <v>0</v>
      </c>
      <c r="BI443">
        <v>0</v>
      </c>
      <c r="BJ443">
        <v>3050</v>
      </c>
      <c r="BK443">
        <v>-250</v>
      </c>
      <c r="BL443" t="s">
        <v>132</v>
      </c>
      <c r="BM443">
        <v>1</v>
      </c>
      <c r="BN443">
        <v>1</v>
      </c>
      <c r="BO443">
        <v>1</v>
      </c>
      <c r="BP443">
        <v>0</v>
      </c>
      <c r="BT443">
        <v>0</v>
      </c>
      <c r="BU443">
        <v>0</v>
      </c>
      <c r="CE443" t="str">
        <f>"15:39:25.922"</f>
        <v>15:39:25.922</v>
      </c>
      <c r="CF443">
        <v>921935731</v>
      </c>
      <c r="CS443">
        <v>0</v>
      </c>
      <c r="CT443">
        <v>2</v>
      </c>
      <c r="CU443">
        <v>0</v>
      </c>
      <c r="CV443">
        <v>2</v>
      </c>
      <c r="CW443">
        <v>0</v>
      </c>
      <c r="CX443">
        <v>7</v>
      </c>
      <c r="CY443">
        <v>7</v>
      </c>
      <c r="CZ443" t="s">
        <v>133</v>
      </c>
      <c r="DA443">
        <v>125</v>
      </c>
      <c r="DB443">
        <v>0</v>
      </c>
      <c r="DC443" t="s">
        <v>134</v>
      </c>
      <c r="DD443" t="s">
        <v>135</v>
      </c>
      <c r="DG443">
        <v>3516569</v>
      </c>
      <c r="DI443">
        <v>0</v>
      </c>
      <c r="DJ443">
        <v>0</v>
      </c>
      <c r="DK443">
        <v>1</v>
      </c>
      <c r="DL443">
        <v>0</v>
      </c>
      <c r="DM443">
        <v>0</v>
      </c>
      <c r="DN443">
        <v>0</v>
      </c>
      <c r="DO443">
        <v>0</v>
      </c>
      <c r="DP443">
        <v>0</v>
      </c>
      <c r="DQ443">
        <v>0</v>
      </c>
      <c r="DR443">
        <v>0</v>
      </c>
      <c r="DS443">
        <v>0</v>
      </c>
    </row>
    <row r="444" spans="1:123" x14ac:dyDescent="0.25">
      <c r="A444" t="str">
        <f>"04/17/2026 15:39:26.191"</f>
        <v>04/17/2026 15:39:26.191</v>
      </c>
      <c r="C444" t="str">
        <f t="shared" si="33"/>
        <v>FFDFD3C0</v>
      </c>
      <c r="D444" t="s">
        <v>136</v>
      </c>
      <c r="E444" t="str">
        <f>"0F"</f>
        <v>0F</v>
      </c>
      <c r="F444">
        <v>1015</v>
      </c>
      <c r="G444" t="s">
        <v>138</v>
      </c>
      <c r="J444" t="s">
        <v>137</v>
      </c>
      <c r="K444">
        <v>0</v>
      </c>
      <c r="L444">
        <v>3</v>
      </c>
      <c r="M444">
        <v>0</v>
      </c>
      <c r="N444">
        <v>2</v>
      </c>
      <c r="O444">
        <v>1</v>
      </c>
      <c r="P444">
        <v>0</v>
      </c>
      <c r="Q444">
        <v>0</v>
      </c>
      <c r="R444" t="s">
        <v>127</v>
      </c>
      <c r="S444" t="str">
        <f>"15:39:25.922"</f>
        <v>15:39:25.922</v>
      </c>
      <c r="T444" t="str">
        <f>"15:39:25.722"</f>
        <v>15:39:25.722</v>
      </c>
      <c r="U444" t="str">
        <f t="shared" si="34"/>
        <v>A55E09</v>
      </c>
      <c r="V444">
        <v>0</v>
      </c>
      <c r="W444">
        <v>0</v>
      </c>
      <c r="X444">
        <v>2</v>
      </c>
      <c r="Y444">
        <v>0</v>
      </c>
      <c r="AA444">
        <v>0</v>
      </c>
      <c r="AB444">
        <v>9</v>
      </c>
      <c r="AC444">
        <v>3</v>
      </c>
      <c r="AD444">
        <v>0</v>
      </c>
      <c r="AE444">
        <v>9</v>
      </c>
      <c r="AF444" t="s">
        <v>128</v>
      </c>
      <c r="AG444">
        <v>0</v>
      </c>
      <c r="AH444">
        <v>0</v>
      </c>
      <c r="AI444">
        <v>1</v>
      </c>
      <c r="AJ444">
        <v>0</v>
      </c>
      <c r="AK444" t="s">
        <v>354</v>
      </c>
      <c r="AL444">
        <v>33.698695000000001</v>
      </c>
      <c r="AM444" t="s">
        <v>353</v>
      </c>
      <c r="AN444">
        <v>-101.210368</v>
      </c>
      <c r="AO444">
        <v>100</v>
      </c>
      <c r="AP444">
        <v>3300</v>
      </c>
      <c r="AQ444" t="s">
        <v>131</v>
      </c>
      <c r="AR444">
        <v>-8</v>
      </c>
      <c r="AS444">
        <v>90</v>
      </c>
      <c r="AT444">
        <v>-384</v>
      </c>
      <c r="BB444" t="str">
        <f t="shared" si="35"/>
        <v>1200</v>
      </c>
      <c r="BC444">
        <v>1</v>
      </c>
      <c r="BD444" t="str">
        <f t="shared" si="36"/>
        <v xml:space="preserve">N445JS  </v>
      </c>
      <c r="BE444">
        <v>7</v>
      </c>
      <c r="BG444">
        <v>0</v>
      </c>
      <c r="BH444">
        <v>0</v>
      </c>
      <c r="BI444">
        <v>0</v>
      </c>
      <c r="BJ444">
        <v>3050</v>
      </c>
      <c r="BK444">
        <v>-250</v>
      </c>
      <c r="BL444" t="s">
        <v>132</v>
      </c>
      <c r="BM444">
        <v>1</v>
      </c>
      <c r="BN444">
        <v>1</v>
      </c>
      <c r="BO444">
        <v>1</v>
      </c>
      <c r="BP444">
        <v>0</v>
      </c>
      <c r="BT444">
        <v>0</v>
      </c>
      <c r="BU444">
        <v>0</v>
      </c>
      <c r="CE444" t="str">
        <f>"15:39:25.922"</f>
        <v>15:39:25.922</v>
      </c>
      <c r="CF444">
        <v>921935731</v>
      </c>
      <c r="CS444">
        <v>0</v>
      </c>
      <c r="CT444">
        <v>2</v>
      </c>
      <c r="CU444">
        <v>0</v>
      </c>
      <c r="CV444">
        <v>2</v>
      </c>
      <c r="CW444">
        <v>0</v>
      </c>
      <c r="CX444">
        <v>7</v>
      </c>
      <c r="CY444">
        <v>7</v>
      </c>
      <c r="CZ444" t="s">
        <v>133</v>
      </c>
      <c r="DA444">
        <v>125</v>
      </c>
      <c r="DB444">
        <v>0</v>
      </c>
      <c r="DC444" t="s">
        <v>134</v>
      </c>
      <c r="DD444" t="s">
        <v>135</v>
      </c>
      <c r="DG444">
        <v>3516569</v>
      </c>
      <c r="DI444">
        <v>0</v>
      </c>
      <c r="DJ444">
        <v>0</v>
      </c>
      <c r="DK444">
        <v>1</v>
      </c>
      <c r="DL444">
        <v>0</v>
      </c>
      <c r="DM444">
        <v>0</v>
      </c>
      <c r="DN444">
        <v>0</v>
      </c>
      <c r="DO444">
        <v>0</v>
      </c>
      <c r="DP444">
        <v>0</v>
      </c>
      <c r="DQ444">
        <v>0</v>
      </c>
      <c r="DR444">
        <v>0</v>
      </c>
      <c r="DS444">
        <v>0</v>
      </c>
    </row>
    <row r="445" spans="1:123" x14ac:dyDescent="0.25">
      <c r="A445" t="str">
        <f>"04/17/2026 15:39:26.204"</f>
        <v>04/17/2026 15:39:26.204</v>
      </c>
      <c r="C445" t="str">
        <f t="shared" si="33"/>
        <v>FFDFD3C0</v>
      </c>
      <c r="D445" t="s">
        <v>124</v>
      </c>
      <c r="E445" t="str">
        <f>"03"</f>
        <v>03</v>
      </c>
      <c r="H445">
        <v>160</v>
      </c>
      <c r="I445" t="s">
        <v>125</v>
      </c>
      <c r="J445" t="s">
        <v>126</v>
      </c>
      <c r="K445">
        <v>0</v>
      </c>
      <c r="L445">
        <v>3</v>
      </c>
      <c r="M445">
        <v>0</v>
      </c>
      <c r="N445">
        <v>2</v>
      </c>
      <c r="O445">
        <v>1</v>
      </c>
      <c r="P445">
        <v>0</v>
      </c>
      <c r="Q445">
        <v>0</v>
      </c>
      <c r="R445" t="s">
        <v>127</v>
      </c>
      <c r="S445" t="str">
        <f>"15:39:25.922"</f>
        <v>15:39:25.922</v>
      </c>
      <c r="T445" t="str">
        <f>"15:39:25.722"</f>
        <v>15:39:25.722</v>
      </c>
      <c r="U445" t="str">
        <f t="shared" si="34"/>
        <v>A55E09</v>
      </c>
      <c r="V445">
        <v>0</v>
      </c>
      <c r="W445">
        <v>0</v>
      </c>
      <c r="X445">
        <v>2</v>
      </c>
      <c r="Y445">
        <v>0</v>
      </c>
      <c r="AA445">
        <v>0</v>
      </c>
      <c r="AB445">
        <v>9</v>
      </c>
      <c r="AC445">
        <v>3</v>
      </c>
      <c r="AD445">
        <v>0</v>
      </c>
      <c r="AE445">
        <v>9</v>
      </c>
      <c r="AF445" t="s">
        <v>128</v>
      </c>
      <c r="AG445">
        <v>0</v>
      </c>
      <c r="AH445">
        <v>0</v>
      </c>
      <c r="AI445">
        <v>1</v>
      </c>
      <c r="AJ445">
        <v>0</v>
      </c>
      <c r="AK445" t="s">
        <v>354</v>
      </c>
      <c r="AL445">
        <v>33.698695000000001</v>
      </c>
      <c r="AM445" t="s">
        <v>353</v>
      </c>
      <c r="AN445">
        <v>-101.210368</v>
      </c>
      <c r="AO445">
        <v>100</v>
      </c>
      <c r="AP445">
        <v>3300</v>
      </c>
      <c r="AQ445" t="s">
        <v>131</v>
      </c>
      <c r="AR445">
        <v>-8</v>
      </c>
      <c r="AS445">
        <v>90</v>
      </c>
      <c r="AT445">
        <v>-384</v>
      </c>
      <c r="BB445" t="str">
        <f t="shared" si="35"/>
        <v>1200</v>
      </c>
      <c r="BC445">
        <v>1</v>
      </c>
      <c r="BD445" t="str">
        <f t="shared" si="36"/>
        <v xml:space="preserve">N445JS  </v>
      </c>
      <c r="BE445">
        <v>7</v>
      </c>
      <c r="BG445">
        <v>0</v>
      </c>
      <c r="BH445">
        <v>0</v>
      </c>
      <c r="BI445">
        <v>0</v>
      </c>
      <c r="BJ445">
        <v>3050</v>
      </c>
      <c r="BK445">
        <v>-250</v>
      </c>
      <c r="BL445" t="s">
        <v>132</v>
      </c>
      <c r="BM445">
        <v>1</v>
      </c>
      <c r="BN445">
        <v>1</v>
      </c>
      <c r="BO445">
        <v>1</v>
      </c>
      <c r="BP445">
        <v>0</v>
      </c>
      <c r="BT445">
        <v>0</v>
      </c>
      <c r="BU445">
        <v>0</v>
      </c>
      <c r="CE445" t="str">
        <f>"15:39:25.922"</f>
        <v>15:39:25.922</v>
      </c>
      <c r="CF445">
        <v>921935731</v>
      </c>
      <c r="CS445">
        <v>0</v>
      </c>
      <c r="CT445">
        <v>2</v>
      </c>
      <c r="CU445">
        <v>0</v>
      </c>
      <c r="CV445">
        <v>2</v>
      </c>
      <c r="CW445">
        <v>0</v>
      </c>
      <c r="CX445">
        <v>7</v>
      </c>
      <c r="CY445">
        <v>7</v>
      </c>
      <c r="CZ445" t="s">
        <v>133</v>
      </c>
      <c r="DA445">
        <v>125</v>
      </c>
      <c r="DB445">
        <v>0</v>
      </c>
      <c r="DC445" t="s">
        <v>134</v>
      </c>
      <c r="DD445" t="s">
        <v>135</v>
      </c>
      <c r="DG445">
        <v>3516569</v>
      </c>
      <c r="DI445">
        <v>0</v>
      </c>
      <c r="DJ445">
        <v>0</v>
      </c>
      <c r="DK445">
        <v>1</v>
      </c>
      <c r="DL445">
        <v>0</v>
      </c>
      <c r="DM445">
        <v>0</v>
      </c>
      <c r="DN445">
        <v>0</v>
      </c>
      <c r="DO445">
        <v>0</v>
      </c>
      <c r="DP445">
        <v>0</v>
      </c>
      <c r="DQ445">
        <v>0</v>
      </c>
      <c r="DR445">
        <v>0</v>
      </c>
      <c r="DS445">
        <v>0</v>
      </c>
    </row>
    <row r="446" spans="1:123" x14ac:dyDescent="0.25">
      <c r="A446" t="str">
        <f>"04/17/2026 15:39:27.136"</f>
        <v>04/17/2026 15:39:27.136</v>
      </c>
      <c r="C446" t="str">
        <f t="shared" si="33"/>
        <v>FFDFD3C0</v>
      </c>
      <c r="D446" t="s">
        <v>139</v>
      </c>
      <c r="E446" t="str">
        <f>"28"</f>
        <v>28</v>
      </c>
      <c r="H446">
        <v>140</v>
      </c>
      <c r="I446" t="s">
        <v>140</v>
      </c>
      <c r="J446" t="s">
        <v>141</v>
      </c>
      <c r="K446">
        <v>0</v>
      </c>
      <c r="L446">
        <v>3</v>
      </c>
      <c r="M446">
        <v>0</v>
      </c>
      <c r="N446">
        <v>2</v>
      </c>
      <c r="O446">
        <v>1</v>
      </c>
      <c r="P446">
        <v>0</v>
      </c>
      <c r="Q446">
        <v>0</v>
      </c>
      <c r="R446" t="s">
        <v>127</v>
      </c>
      <c r="S446" t="str">
        <f>"15:39:26.875"</f>
        <v>15:39:26.875</v>
      </c>
      <c r="T446" t="str">
        <f>"15:39:26.675"</f>
        <v>15:39:26.675</v>
      </c>
      <c r="U446" t="str">
        <f t="shared" si="34"/>
        <v>A55E09</v>
      </c>
      <c r="V446">
        <v>0</v>
      </c>
      <c r="W446">
        <v>0</v>
      </c>
      <c r="X446">
        <v>2</v>
      </c>
      <c r="Y446">
        <v>0</v>
      </c>
      <c r="AA446">
        <v>0</v>
      </c>
      <c r="AB446">
        <v>9</v>
      </c>
      <c r="AC446">
        <v>3</v>
      </c>
      <c r="AD446">
        <v>0</v>
      </c>
      <c r="AE446">
        <v>9</v>
      </c>
      <c r="AF446" t="s">
        <v>128</v>
      </c>
      <c r="AG446">
        <v>0</v>
      </c>
      <c r="AH446">
        <v>0</v>
      </c>
      <c r="AI446">
        <v>1</v>
      </c>
      <c r="AJ446">
        <v>0</v>
      </c>
      <c r="AK446" t="s">
        <v>355</v>
      </c>
      <c r="AL446">
        <v>33.699081</v>
      </c>
      <c r="AM446" t="s">
        <v>356</v>
      </c>
      <c r="AN446">
        <v>-101.21041099999999</v>
      </c>
      <c r="AO446">
        <v>100</v>
      </c>
      <c r="AP446">
        <v>3300</v>
      </c>
      <c r="AQ446" t="s">
        <v>131</v>
      </c>
      <c r="AR446">
        <v>-7</v>
      </c>
      <c r="AS446">
        <v>91</v>
      </c>
      <c r="AT446">
        <v>-384</v>
      </c>
      <c r="BB446" t="str">
        <f t="shared" si="35"/>
        <v>1200</v>
      </c>
      <c r="BC446">
        <v>1</v>
      </c>
      <c r="BD446" t="str">
        <f t="shared" si="36"/>
        <v xml:space="preserve">N445JS  </v>
      </c>
      <c r="BE446">
        <v>7</v>
      </c>
      <c r="BG446">
        <v>0</v>
      </c>
      <c r="BH446">
        <v>0</v>
      </c>
      <c r="BI446">
        <v>0</v>
      </c>
      <c r="BJ446">
        <v>3025</v>
      </c>
      <c r="BK446">
        <v>-275</v>
      </c>
      <c r="BL446" t="s">
        <v>132</v>
      </c>
      <c r="BM446">
        <v>1</v>
      </c>
      <c r="BN446">
        <v>1</v>
      </c>
      <c r="BO446">
        <v>1</v>
      </c>
      <c r="BP446">
        <v>0</v>
      </c>
      <c r="BT446">
        <v>0</v>
      </c>
      <c r="BU446">
        <v>0</v>
      </c>
      <c r="CE446" t="str">
        <f>"15:39:26.882"</f>
        <v>15:39:26.882</v>
      </c>
      <c r="CF446">
        <v>881841680</v>
      </c>
      <c r="CS446">
        <v>0</v>
      </c>
      <c r="CT446">
        <v>2</v>
      </c>
      <c r="CU446">
        <v>0</v>
      </c>
      <c r="CV446">
        <v>2</v>
      </c>
      <c r="CW446">
        <v>0</v>
      </c>
      <c r="CX446">
        <v>7</v>
      </c>
      <c r="CY446">
        <v>7</v>
      </c>
      <c r="CZ446" t="s">
        <v>133</v>
      </c>
      <c r="DA446">
        <v>125</v>
      </c>
      <c r="DB446">
        <v>1</v>
      </c>
      <c r="DC446" t="s">
        <v>134</v>
      </c>
      <c r="DD446" t="s">
        <v>135</v>
      </c>
      <c r="DG446">
        <v>2556608</v>
      </c>
      <c r="DI446">
        <v>0</v>
      </c>
      <c r="DJ446">
        <v>0</v>
      </c>
      <c r="DK446">
        <v>0</v>
      </c>
      <c r="DL446">
        <v>0</v>
      </c>
      <c r="DM446">
        <v>0</v>
      </c>
      <c r="DN446">
        <v>0</v>
      </c>
      <c r="DO446">
        <v>0</v>
      </c>
      <c r="DP446">
        <v>0</v>
      </c>
      <c r="DQ446">
        <v>0</v>
      </c>
      <c r="DR446">
        <v>0</v>
      </c>
      <c r="DS446">
        <v>0</v>
      </c>
    </row>
    <row r="447" spans="1:123" x14ac:dyDescent="0.25">
      <c r="A447" t="str">
        <f>"04/17/2026 15:39:27.141"</f>
        <v>04/17/2026 15:39:27.141</v>
      </c>
      <c r="C447" t="str">
        <f t="shared" si="33"/>
        <v>FFDFD3C0</v>
      </c>
      <c r="D447" t="s">
        <v>136</v>
      </c>
      <c r="E447" t="str">
        <f>"0E"</f>
        <v>0E</v>
      </c>
      <c r="F447">
        <v>1014</v>
      </c>
      <c r="G447" t="s">
        <v>125</v>
      </c>
      <c r="J447" t="s">
        <v>137</v>
      </c>
      <c r="K447">
        <v>0</v>
      </c>
      <c r="L447">
        <v>3</v>
      </c>
      <c r="M447">
        <v>0</v>
      </c>
      <c r="N447">
        <v>2</v>
      </c>
      <c r="O447">
        <v>1</v>
      </c>
      <c r="P447">
        <v>0</v>
      </c>
      <c r="Q447">
        <v>0</v>
      </c>
      <c r="R447" t="s">
        <v>127</v>
      </c>
      <c r="S447" t="str">
        <f>"15:39:26.875"</f>
        <v>15:39:26.875</v>
      </c>
      <c r="T447" t="str">
        <f>"15:39:26.675"</f>
        <v>15:39:26.675</v>
      </c>
      <c r="U447" t="str">
        <f t="shared" si="34"/>
        <v>A55E09</v>
      </c>
      <c r="V447">
        <v>0</v>
      </c>
      <c r="W447">
        <v>0</v>
      </c>
      <c r="X447">
        <v>2</v>
      </c>
      <c r="Y447">
        <v>0</v>
      </c>
      <c r="AA447">
        <v>0</v>
      </c>
      <c r="AB447">
        <v>9</v>
      </c>
      <c r="AC447">
        <v>3</v>
      </c>
      <c r="AD447">
        <v>0</v>
      </c>
      <c r="AE447">
        <v>9</v>
      </c>
      <c r="AF447" t="s">
        <v>128</v>
      </c>
      <c r="AG447">
        <v>0</v>
      </c>
      <c r="AH447">
        <v>0</v>
      </c>
      <c r="AI447">
        <v>1</v>
      </c>
      <c r="AJ447">
        <v>0</v>
      </c>
      <c r="AK447" t="s">
        <v>355</v>
      </c>
      <c r="AL447">
        <v>33.699081</v>
      </c>
      <c r="AM447" t="s">
        <v>356</v>
      </c>
      <c r="AN447">
        <v>-101.21041099999999</v>
      </c>
      <c r="AO447">
        <v>100</v>
      </c>
      <c r="AP447">
        <v>3300</v>
      </c>
      <c r="AQ447" t="s">
        <v>131</v>
      </c>
      <c r="AR447">
        <v>-7</v>
      </c>
      <c r="AS447">
        <v>91</v>
      </c>
      <c r="AT447">
        <v>-384</v>
      </c>
      <c r="BB447" t="str">
        <f t="shared" si="35"/>
        <v>1200</v>
      </c>
      <c r="BC447">
        <v>1</v>
      </c>
      <c r="BD447" t="str">
        <f t="shared" si="36"/>
        <v xml:space="preserve">N445JS  </v>
      </c>
      <c r="BE447">
        <v>7</v>
      </c>
      <c r="BG447">
        <v>0</v>
      </c>
      <c r="BH447">
        <v>0</v>
      </c>
      <c r="BI447">
        <v>0</v>
      </c>
      <c r="BJ447">
        <v>3025</v>
      </c>
      <c r="BK447">
        <v>-275</v>
      </c>
      <c r="BL447" t="s">
        <v>132</v>
      </c>
      <c r="BM447">
        <v>1</v>
      </c>
      <c r="BN447">
        <v>1</v>
      </c>
      <c r="BO447">
        <v>1</v>
      </c>
      <c r="BP447">
        <v>0</v>
      </c>
      <c r="BT447">
        <v>0</v>
      </c>
      <c r="BU447">
        <v>0</v>
      </c>
      <c r="CE447" t="str">
        <f>"15:39:26.882"</f>
        <v>15:39:26.882</v>
      </c>
      <c r="CF447">
        <v>881841680</v>
      </c>
      <c r="CS447">
        <v>0</v>
      </c>
      <c r="CT447">
        <v>2</v>
      </c>
      <c r="CU447">
        <v>0</v>
      </c>
      <c r="CV447">
        <v>2</v>
      </c>
      <c r="CW447">
        <v>0</v>
      </c>
      <c r="CX447">
        <v>7</v>
      </c>
      <c r="CY447">
        <v>7</v>
      </c>
      <c r="CZ447" t="s">
        <v>133</v>
      </c>
      <c r="DA447">
        <v>125</v>
      </c>
      <c r="DB447">
        <v>1</v>
      </c>
      <c r="DC447" t="s">
        <v>134</v>
      </c>
      <c r="DD447" t="s">
        <v>135</v>
      </c>
      <c r="DG447">
        <v>2556608</v>
      </c>
      <c r="DI447">
        <v>0</v>
      </c>
      <c r="DJ447">
        <v>0</v>
      </c>
      <c r="DK447">
        <v>1</v>
      </c>
      <c r="DL447">
        <v>0</v>
      </c>
      <c r="DM447">
        <v>0</v>
      </c>
      <c r="DN447">
        <v>0</v>
      </c>
      <c r="DO447">
        <v>0</v>
      </c>
      <c r="DP447">
        <v>0</v>
      </c>
      <c r="DQ447">
        <v>0</v>
      </c>
      <c r="DR447">
        <v>0</v>
      </c>
      <c r="DS447">
        <v>0</v>
      </c>
    </row>
    <row r="448" spans="1:123" x14ac:dyDescent="0.25">
      <c r="A448" t="str">
        <f>"04/17/2026 15:39:27.143"</f>
        <v>04/17/2026 15:39:27.143</v>
      </c>
      <c r="C448" t="str">
        <f t="shared" si="33"/>
        <v>FFDFD3C0</v>
      </c>
      <c r="D448" t="s">
        <v>136</v>
      </c>
      <c r="E448" t="str">
        <f>"0F"</f>
        <v>0F</v>
      </c>
      <c r="F448">
        <v>1015</v>
      </c>
      <c r="G448" t="s">
        <v>138</v>
      </c>
      <c r="J448" t="s">
        <v>137</v>
      </c>
      <c r="K448">
        <v>0</v>
      </c>
      <c r="L448">
        <v>3</v>
      </c>
      <c r="M448">
        <v>0</v>
      </c>
      <c r="N448">
        <v>2</v>
      </c>
      <c r="O448">
        <v>1</v>
      </c>
      <c r="P448">
        <v>0</v>
      </c>
      <c r="Q448">
        <v>0</v>
      </c>
      <c r="R448" t="s">
        <v>127</v>
      </c>
      <c r="S448" t="str">
        <f>"15:39:26.875"</f>
        <v>15:39:26.875</v>
      </c>
      <c r="T448" t="str">
        <f>"15:39:26.675"</f>
        <v>15:39:26.675</v>
      </c>
      <c r="U448" t="str">
        <f t="shared" si="34"/>
        <v>A55E09</v>
      </c>
      <c r="V448">
        <v>0</v>
      </c>
      <c r="W448">
        <v>0</v>
      </c>
      <c r="X448">
        <v>2</v>
      </c>
      <c r="Y448">
        <v>0</v>
      </c>
      <c r="AA448">
        <v>0</v>
      </c>
      <c r="AB448">
        <v>9</v>
      </c>
      <c r="AC448">
        <v>3</v>
      </c>
      <c r="AD448">
        <v>0</v>
      </c>
      <c r="AE448">
        <v>9</v>
      </c>
      <c r="AF448" t="s">
        <v>128</v>
      </c>
      <c r="AG448">
        <v>0</v>
      </c>
      <c r="AH448">
        <v>0</v>
      </c>
      <c r="AI448">
        <v>1</v>
      </c>
      <c r="AJ448">
        <v>0</v>
      </c>
      <c r="AK448" t="s">
        <v>355</v>
      </c>
      <c r="AL448">
        <v>33.699081</v>
      </c>
      <c r="AM448" t="s">
        <v>356</v>
      </c>
      <c r="AN448">
        <v>-101.21041099999999</v>
      </c>
      <c r="AO448">
        <v>100</v>
      </c>
      <c r="AP448">
        <v>3300</v>
      </c>
      <c r="AQ448" t="s">
        <v>131</v>
      </c>
      <c r="AR448">
        <v>-7</v>
      </c>
      <c r="AS448">
        <v>91</v>
      </c>
      <c r="AT448">
        <v>-384</v>
      </c>
      <c r="BB448" t="str">
        <f t="shared" si="35"/>
        <v>1200</v>
      </c>
      <c r="BC448">
        <v>1</v>
      </c>
      <c r="BD448" t="str">
        <f t="shared" si="36"/>
        <v xml:space="preserve">N445JS  </v>
      </c>
      <c r="BE448">
        <v>7</v>
      </c>
      <c r="BG448">
        <v>0</v>
      </c>
      <c r="BH448">
        <v>0</v>
      </c>
      <c r="BI448">
        <v>0</v>
      </c>
      <c r="BJ448">
        <v>3025</v>
      </c>
      <c r="BK448">
        <v>-275</v>
      </c>
      <c r="BL448" t="s">
        <v>132</v>
      </c>
      <c r="BM448">
        <v>1</v>
      </c>
      <c r="BN448">
        <v>1</v>
      </c>
      <c r="BO448">
        <v>1</v>
      </c>
      <c r="BP448">
        <v>0</v>
      </c>
      <c r="BT448">
        <v>0</v>
      </c>
      <c r="BU448">
        <v>0</v>
      </c>
      <c r="CE448" t="str">
        <f>"15:39:26.882"</f>
        <v>15:39:26.882</v>
      </c>
      <c r="CF448">
        <v>881841680</v>
      </c>
      <c r="CS448">
        <v>0</v>
      </c>
      <c r="CT448">
        <v>2</v>
      </c>
      <c r="CU448">
        <v>0</v>
      </c>
      <c r="CV448">
        <v>2</v>
      </c>
      <c r="CW448">
        <v>0</v>
      </c>
      <c r="CX448">
        <v>7</v>
      </c>
      <c r="CY448">
        <v>7</v>
      </c>
      <c r="CZ448" t="s">
        <v>133</v>
      </c>
      <c r="DA448">
        <v>125</v>
      </c>
      <c r="DB448">
        <v>1</v>
      </c>
      <c r="DC448" t="s">
        <v>134</v>
      </c>
      <c r="DD448" t="s">
        <v>135</v>
      </c>
      <c r="DG448">
        <v>2556608</v>
      </c>
      <c r="DI448">
        <v>0</v>
      </c>
      <c r="DJ448">
        <v>0</v>
      </c>
      <c r="DK448">
        <v>1</v>
      </c>
      <c r="DL448">
        <v>0</v>
      </c>
      <c r="DM448">
        <v>0</v>
      </c>
      <c r="DN448">
        <v>0</v>
      </c>
      <c r="DO448">
        <v>0</v>
      </c>
      <c r="DP448">
        <v>0</v>
      </c>
      <c r="DQ448">
        <v>0</v>
      </c>
      <c r="DR448">
        <v>0</v>
      </c>
      <c r="DS448">
        <v>0</v>
      </c>
    </row>
    <row r="449" spans="1:123" x14ac:dyDescent="0.25">
      <c r="A449" t="str">
        <f>"04/17/2026 15:39:27.155"</f>
        <v>04/17/2026 15:39:27.155</v>
      </c>
      <c r="C449" t="str">
        <f t="shared" si="33"/>
        <v>FFDFD3C0</v>
      </c>
      <c r="D449" t="s">
        <v>124</v>
      </c>
      <c r="E449" t="str">
        <f>"03"</f>
        <v>03</v>
      </c>
      <c r="H449">
        <v>160</v>
      </c>
      <c r="I449" t="s">
        <v>125</v>
      </c>
      <c r="J449" t="s">
        <v>126</v>
      </c>
      <c r="K449">
        <v>0</v>
      </c>
      <c r="L449">
        <v>3</v>
      </c>
      <c r="M449">
        <v>0</v>
      </c>
      <c r="N449">
        <v>2</v>
      </c>
      <c r="O449">
        <v>1</v>
      </c>
      <c r="P449">
        <v>0</v>
      </c>
      <c r="Q449">
        <v>0</v>
      </c>
      <c r="R449" t="s">
        <v>127</v>
      </c>
      <c r="S449" t="str">
        <f>"15:39:26.875"</f>
        <v>15:39:26.875</v>
      </c>
      <c r="T449" t="str">
        <f>"15:39:26.675"</f>
        <v>15:39:26.675</v>
      </c>
      <c r="U449" t="str">
        <f t="shared" si="34"/>
        <v>A55E09</v>
      </c>
      <c r="V449">
        <v>0</v>
      </c>
      <c r="W449">
        <v>0</v>
      </c>
      <c r="X449">
        <v>2</v>
      </c>
      <c r="Y449">
        <v>0</v>
      </c>
      <c r="AA449">
        <v>0</v>
      </c>
      <c r="AB449">
        <v>9</v>
      </c>
      <c r="AC449">
        <v>3</v>
      </c>
      <c r="AD449">
        <v>0</v>
      </c>
      <c r="AE449">
        <v>9</v>
      </c>
      <c r="AF449" t="s">
        <v>128</v>
      </c>
      <c r="AG449">
        <v>0</v>
      </c>
      <c r="AH449">
        <v>0</v>
      </c>
      <c r="AI449">
        <v>1</v>
      </c>
      <c r="AJ449">
        <v>0</v>
      </c>
      <c r="AK449" t="s">
        <v>355</v>
      </c>
      <c r="AL449">
        <v>33.699081</v>
      </c>
      <c r="AM449" t="s">
        <v>356</v>
      </c>
      <c r="AN449">
        <v>-101.21041099999999</v>
      </c>
      <c r="AO449">
        <v>100</v>
      </c>
      <c r="AP449">
        <v>3300</v>
      </c>
      <c r="AQ449" t="s">
        <v>131</v>
      </c>
      <c r="AR449">
        <v>-7</v>
      </c>
      <c r="AS449">
        <v>91</v>
      </c>
      <c r="AT449">
        <v>-384</v>
      </c>
      <c r="BB449" t="str">
        <f t="shared" si="35"/>
        <v>1200</v>
      </c>
      <c r="BC449">
        <v>1</v>
      </c>
      <c r="BD449" t="str">
        <f t="shared" si="36"/>
        <v xml:space="preserve">N445JS  </v>
      </c>
      <c r="BE449">
        <v>7</v>
      </c>
      <c r="BG449">
        <v>0</v>
      </c>
      <c r="BH449">
        <v>0</v>
      </c>
      <c r="BI449">
        <v>0</v>
      </c>
      <c r="BJ449">
        <v>3025</v>
      </c>
      <c r="BK449">
        <v>-275</v>
      </c>
      <c r="BL449" t="s">
        <v>132</v>
      </c>
      <c r="BM449">
        <v>1</v>
      </c>
      <c r="BN449">
        <v>1</v>
      </c>
      <c r="BO449">
        <v>1</v>
      </c>
      <c r="BP449">
        <v>0</v>
      </c>
      <c r="BT449">
        <v>0</v>
      </c>
      <c r="BU449">
        <v>0</v>
      </c>
      <c r="CE449" t="str">
        <f>"15:39:26.882"</f>
        <v>15:39:26.882</v>
      </c>
      <c r="CF449">
        <v>881841680</v>
      </c>
      <c r="CS449">
        <v>0</v>
      </c>
      <c r="CT449">
        <v>2</v>
      </c>
      <c r="CU449">
        <v>0</v>
      </c>
      <c r="CV449">
        <v>2</v>
      </c>
      <c r="CW449">
        <v>0</v>
      </c>
      <c r="CX449">
        <v>7</v>
      </c>
      <c r="CY449">
        <v>7</v>
      </c>
      <c r="CZ449" t="s">
        <v>133</v>
      </c>
      <c r="DA449">
        <v>125</v>
      </c>
      <c r="DB449">
        <v>1</v>
      </c>
      <c r="DC449" t="s">
        <v>134</v>
      </c>
      <c r="DD449" t="s">
        <v>135</v>
      </c>
      <c r="DG449">
        <v>2556608</v>
      </c>
      <c r="DI449">
        <v>0</v>
      </c>
      <c r="DJ449">
        <v>0</v>
      </c>
      <c r="DK449">
        <v>1</v>
      </c>
      <c r="DL449">
        <v>0</v>
      </c>
      <c r="DM449">
        <v>0</v>
      </c>
      <c r="DN449">
        <v>0</v>
      </c>
      <c r="DO449">
        <v>0</v>
      </c>
      <c r="DP449">
        <v>0</v>
      </c>
      <c r="DQ449">
        <v>0</v>
      </c>
      <c r="DR449">
        <v>0</v>
      </c>
      <c r="DS449">
        <v>0</v>
      </c>
    </row>
    <row r="450" spans="1:123" x14ac:dyDescent="0.25">
      <c r="A450" t="str">
        <f>"04/17/2026 15:39:28.157"</f>
        <v>04/17/2026 15:39:28.157</v>
      </c>
      <c r="C450" t="str">
        <f t="shared" ref="C450:C513" si="38">"FFDFD3C0"</f>
        <v>FFDFD3C0</v>
      </c>
      <c r="D450" t="s">
        <v>124</v>
      </c>
      <c r="E450" t="str">
        <f>"03"</f>
        <v>03</v>
      </c>
      <c r="H450">
        <v>160</v>
      </c>
      <c r="I450" t="s">
        <v>125</v>
      </c>
      <c r="J450" t="s">
        <v>126</v>
      </c>
      <c r="K450">
        <v>0</v>
      </c>
      <c r="L450">
        <v>3</v>
      </c>
      <c r="M450">
        <v>0</v>
      </c>
      <c r="N450">
        <v>2</v>
      </c>
      <c r="O450">
        <v>1</v>
      </c>
      <c r="P450">
        <v>0</v>
      </c>
      <c r="Q450">
        <v>0</v>
      </c>
      <c r="R450" t="s">
        <v>127</v>
      </c>
      <c r="S450" t="str">
        <f>"15:39:27.883"</f>
        <v>15:39:27.883</v>
      </c>
      <c r="T450" t="str">
        <f>"15:39:27.683"</f>
        <v>15:39:27.683</v>
      </c>
      <c r="U450" t="str">
        <f t="shared" ref="U450:U513" si="39">"A55E09"</f>
        <v>A55E09</v>
      </c>
      <c r="V450">
        <v>0</v>
      </c>
      <c r="W450">
        <v>0</v>
      </c>
      <c r="X450">
        <v>2</v>
      </c>
      <c r="Y450">
        <v>0</v>
      </c>
      <c r="AA450">
        <v>0</v>
      </c>
      <c r="AB450">
        <v>9</v>
      </c>
      <c r="AC450">
        <v>3</v>
      </c>
      <c r="AD450">
        <v>0</v>
      </c>
      <c r="AE450">
        <v>9</v>
      </c>
      <c r="AF450" t="s">
        <v>128</v>
      </c>
      <c r="AG450">
        <v>0</v>
      </c>
      <c r="AH450">
        <v>0</v>
      </c>
      <c r="AI450">
        <v>1</v>
      </c>
      <c r="AJ450">
        <v>0</v>
      </c>
      <c r="AK450" t="s">
        <v>357</v>
      </c>
      <c r="AL450">
        <v>33.699509999999997</v>
      </c>
      <c r="AM450" t="s">
        <v>358</v>
      </c>
      <c r="AN450">
        <v>-101.210432</v>
      </c>
      <c r="AO450">
        <v>100</v>
      </c>
      <c r="AP450">
        <v>3300</v>
      </c>
      <c r="AQ450" t="s">
        <v>131</v>
      </c>
      <c r="AR450">
        <v>-5</v>
      </c>
      <c r="AS450">
        <v>92</v>
      </c>
      <c r="AT450">
        <v>-448</v>
      </c>
      <c r="BB450" t="str">
        <f t="shared" ref="BB450:BB513" si="40">"1200"</f>
        <v>1200</v>
      </c>
      <c r="BC450">
        <v>1</v>
      </c>
      <c r="BD450" t="str">
        <f t="shared" ref="BD450:BD513" si="41">"N445JS  "</f>
        <v xml:space="preserve">N445JS  </v>
      </c>
      <c r="BE450">
        <v>7</v>
      </c>
      <c r="BG450">
        <v>0</v>
      </c>
      <c r="BH450">
        <v>0</v>
      </c>
      <c r="BI450">
        <v>0</v>
      </c>
      <c r="BJ450">
        <v>3025</v>
      </c>
      <c r="BK450">
        <v>-275</v>
      </c>
      <c r="BL450" t="s">
        <v>132</v>
      </c>
      <c r="BM450">
        <v>1</v>
      </c>
      <c r="BN450">
        <v>1</v>
      </c>
      <c r="BO450">
        <v>1</v>
      </c>
      <c r="BP450">
        <v>0</v>
      </c>
      <c r="BT450">
        <v>0</v>
      </c>
      <c r="BU450">
        <v>0</v>
      </c>
      <c r="CE450" t="str">
        <f>"15:39:27.887"</f>
        <v>15:39:27.887</v>
      </c>
      <c r="CF450">
        <v>886743174</v>
      </c>
      <c r="CS450">
        <v>0</v>
      </c>
      <c r="CT450">
        <v>2</v>
      </c>
      <c r="CU450">
        <v>0</v>
      </c>
      <c r="CV450">
        <v>2</v>
      </c>
      <c r="CW450">
        <v>0</v>
      </c>
      <c r="CX450">
        <v>7</v>
      </c>
      <c r="CY450">
        <v>7</v>
      </c>
      <c r="CZ450" t="s">
        <v>133</v>
      </c>
      <c r="DA450">
        <v>125</v>
      </c>
      <c r="DB450">
        <v>0</v>
      </c>
      <c r="DC450" t="s">
        <v>134</v>
      </c>
      <c r="DD450" t="s">
        <v>135</v>
      </c>
      <c r="DG450">
        <v>3518617</v>
      </c>
      <c r="DI450">
        <v>0</v>
      </c>
      <c r="DJ450">
        <v>0</v>
      </c>
      <c r="DK450">
        <v>0</v>
      </c>
      <c r="DL450">
        <v>0</v>
      </c>
      <c r="DM450">
        <v>0</v>
      </c>
      <c r="DN450">
        <v>0</v>
      </c>
      <c r="DO450">
        <v>0</v>
      </c>
      <c r="DP450">
        <v>0</v>
      </c>
      <c r="DQ450">
        <v>0</v>
      </c>
      <c r="DR450">
        <v>0</v>
      </c>
      <c r="DS450">
        <v>0</v>
      </c>
    </row>
    <row r="451" spans="1:123" x14ac:dyDescent="0.25">
      <c r="A451" t="str">
        <f>"04/17/2026 15:39:28.189"</f>
        <v>04/17/2026 15:39:28.189</v>
      </c>
      <c r="C451" t="str">
        <f t="shared" si="38"/>
        <v>FFDFD3C0</v>
      </c>
      <c r="D451" t="s">
        <v>139</v>
      </c>
      <c r="E451" t="str">
        <f>"28"</f>
        <v>28</v>
      </c>
      <c r="H451">
        <v>140</v>
      </c>
      <c r="I451" t="s">
        <v>140</v>
      </c>
      <c r="J451" t="s">
        <v>141</v>
      </c>
      <c r="K451">
        <v>0</v>
      </c>
      <c r="L451">
        <v>3</v>
      </c>
      <c r="M451">
        <v>0</v>
      </c>
      <c r="N451">
        <v>2</v>
      </c>
      <c r="O451">
        <v>1</v>
      </c>
      <c r="P451">
        <v>0</v>
      </c>
      <c r="Q451">
        <v>0</v>
      </c>
      <c r="R451" t="s">
        <v>127</v>
      </c>
      <c r="S451" t="str">
        <f>"15:39:27.883"</f>
        <v>15:39:27.883</v>
      </c>
      <c r="T451" t="str">
        <f>"15:39:27.683"</f>
        <v>15:39:27.683</v>
      </c>
      <c r="U451" t="str">
        <f t="shared" si="39"/>
        <v>A55E09</v>
      </c>
      <c r="V451">
        <v>0</v>
      </c>
      <c r="W451">
        <v>0</v>
      </c>
      <c r="X451">
        <v>2</v>
      </c>
      <c r="Y451">
        <v>0</v>
      </c>
      <c r="AA451">
        <v>0</v>
      </c>
      <c r="AB451">
        <v>9</v>
      </c>
      <c r="AC451">
        <v>3</v>
      </c>
      <c r="AD451">
        <v>0</v>
      </c>
      <c r="AE451">
        <v>9</v>
      </c>
      <c r="AF451" t="s">
        <v>128</v>
      </c>
      <c r="AG451">
        <v>0</v>
      </c>
      <c r="AH451">
        <v>0</v>
      </c>
      <c r="AI451">
        <v>1</v>
      </c>
      <c r="AJ451">
        <v>0</v>
      </c>
      <c r="AK451" t="s">
        <v>357</v>
      </c>
      <c r="AL451">
        <v>33.699509999999997</v>
      </c>
      <c r="AM451" t="s">
        <v>358</v>
      </c>
      <c r="AN451">
        <v>-101.210432</v>
      </c>
      <c r="AO451">
        <v>100</v>
      </c>
      <c r="AP451">
        <v>3300</v>
      </c>
      <c r="AQ451" t="s">
        <v>131</v>
      </c>
      <c r="AR451">
        <v>-5</v>
      </c>
      <c r="AS451">
        <v>92</v>
      </c>
      <c r="AT451">
        <v>-448</v>
      </c>
      <c r="BB451" t="str">
        <f t="shared" si="40"/>
        <v>1200</v>
      </c>
      <c r="BC451">
        <v>1</v>
      </c>
      <c r="BD451" t="str">
        <f t="shared" si="41"/>
        <v xml:space="preserve">N445JS  </v>
      </c>
      <c r="BE451">
        <v>7</v>
      </c>
      <c r="BG451">
        <v>0</v>
      </c>
      <c r="BH451">
        <v>0</v>
      </c>
      <c r="BI451">
        <v>0</v>
      </c>
      <c r="BJ451">
        <v>3025</v>
      </c>
      <c r="BK451">
        <v>-275</v>
      </c>
      <c r="BL451" t="s">
        <v>132</v>
      </c>
      <c r="BM451">
        <v>1</v>
      </c>
      <c r="BN451">
        <v>1</v>
      </c>
      <c r="BO451">
        <v>1</v>
      </c>
      <c r="BP451">
        <v>0</v>
      </c>
      <c r="BT451">
        <v>0</v>
      </c>
      <c r="BU451">
        <v>0</v>
      </c>
      <c r="CE451" t="str">
        <f>"15:39:27.887"</f>
        <v>15:39:27.887</v>
      </c>
      <c r="CF451">
        <v>886743174</v>
      </c>
      <c r="CS451">
        <v>0</v>
      </c>
      <c r="CT451">
        <v>2</v>
      </c>
      <c r="CU451">
        <v>0</v>
      </c>
      <c r="CV451">
        <v>2</v>
      </c>
      <c r="CW451">
        <v>0</v>
      </c>
      <c r="CX451">
        <v>7</v>
      </c>
      <c r="CY451">
        <v>7</v>
      </c>
      <c r="CZ451" t="s">
        <v>133</v>
      </c>
      <c r="DA451">
        <v>125</v>
      </c>
      <c r="DB451">
        <v>0</v>
      </c>
      <c r="DC451" t="s">
        <v>134</v>
      </c>
      <c r="DD451" t="s">
        <v>135</v>
      </c>
      <c r="DG451">
        <v>3518617</v>
      </c>
      <c r="DI451">
        <v>0</v>
      </c>
      <c r="DJ451">
        <v>0</v>
      </c>
      <c r="DK451">
        <v>1</v>
      </c>
      <c r="DL451">
        <v>0</v>
      </c>
      <c r="DM451">
        <v>0</v>
      </c>
      <c r="DN451">
        <v>0</v>
      </c>
      <c r="DO451">
        <v>0</v>
      </c>
      <c r="DP451">
        <v>0</v>
      </c>
      <c r="DQ451">
        <v>0</v>
      </c>
      <c r="DR451">
        <v>0</v>
      </c>
      <c r="DS451">
        <v>0</v>
      </c>
    </row>
    <row r="452" spans="1:123" x14ac:dyDescent="0.25">
      <c r="A452" t="str">
        <f>"04/17/2026 15:39:28.192"</f>
        <v>04/17/2026 15:39:28.192</v>
      </c>
      <c r="C452" t="str">
        <f t="shared" si="38"/>
        <v>FFDFD3C0</v>
      </c>
      <c r="D452" t="s">
        <v>136</v>
      </c>
      <c r="E452" t="str">
        <f>"0E"</f>
        <v>0E</v>
      </c>
      <c r="F452">
        <v>1014</v>
      </c>
      <c r="G452" t="s">
        <v>125</v>
      </c>
      <c r="J452" t="s">
        <v>137</v>
      </c>
      <c r="K452">
        <v>0</v>
      </c>
      <c r="L452">
        <v>3</v>
      </c>
      <c r="M452">
        <v>0</v>
      </c>
      <c r="N452">
        <v>2</v>
      </c>
      <c r="O452">
        <v>1</v>
      </c>
      <c r="P452">
        <v>0</v>
      </c>
      <c r="Q452">
        <v>0</v>
      </c>
      <c r="R452" t="s">
        <v>127</v>
      </c>
      <c r="S452" t="str">
        <f>"15:39:27.883"</f>
        <v>15:39:27.883</v>
      </c>
      <c r="T452" t="str">
        <f>"15:39:27.683"</f>
        <v>15:39:27.683</v>
      </c>
      <c r="U452" t="str">
        <f t="shared" si="39"/>
        <v>A55E09</v>
      </c>
      <c r="V452">
        <v>0</v>
      </c>
      <c r="W452">
        <v>0</v>
      </c>
      <c r="X452">
        <v>2</v>
      </c>
      <c r="Y452">
        <v>0</v>
      </c>
      <c r="AA452">
        <v>0</v>
      </c>
      <c r="AB452">
        <v>9</v>
      </c>
      <c r="AC452">
        <v>3</v>
      </c>
      <c r="AD452">
        <v>0</v>
      </c>
      <c r="AE452">
        <v>9</v>
      </c>
      <c r="AF452" t="s">
        <v>128</v>
      </c>
      <c r="AG452">
        <v>0</v>
      </c>
      <c r="AH452">
        <v>0</v>
      </c>
      <c r="AI452">
        <v>1</v>
      </c>
      <c r="AJ452">
        <v>0</v>
      </c>
      <c r="AK452" t="s">
        <v>357</v>
      </c>
      <c r="AL452">
        <v>33.699509999999997</v>
      </c>
      <c r="AM452" t="s">
        <v>358</v>
      </c>
      <c r="AN452">
        <v>-101.210432</v>
      </c>
      <c r="AO452">
        <v>100</v>
      </c>
      <c r="AP452">
        <v>3300</v>
      </c>
      <c r="AQ452" t="s">
        <v>131</v>
      </c>
      <c r="AR452">
        <v>-5</v>
      </c>
      <c r="AS452">
        <v>92</v>
      </c>
      <c r="AT452">
        <v>-448</v>
      </c>
      <c r="BB452" t="str">
        <f t="shared" si="40"/>
        <v>1200</v>
      </c>
      <c r="BC452">
        <v>1</v>
      </c>
      <c r="BD452" t="str">
        <f t="shared" si="41"/>
        <v xml:space="preserve">N445JS  </v>
      </c>
      <c r="BE452">
        <v>7</v>
      </c>
      <c r="BG452">
        <v>0</v>
      </c>
      <c r="BH452">
        <v>0</v>
      </c>
      <c r="BI452">
        <v>0</v>
      </c>
      <c r="BJ452">
        <v>3025</v>
      </c>
      <c r="BK452">
        <v>-275</v>
      </c>
      <c r="BL452" t="s">
        <v>132</v>
      </c>
      <c r="BM452">
        <v>1</v>
      </c>
      <c r="BN452">
        <v>1</v>
      </c>
      <c r="BO452">
        <v>1</v>
      </c>
      <c r="BP452">
        <v>0</v>
      </c>
      <c r="BT452">
        <v>0</v>
      </c>
      <c r="BU452">
        <v>0</v>
      </c>
      <c r="CE452" t="str">
        <f>"15:39:27.887"</f>
        <v>15:39:27.887</v>
      </c>
      <c r="CF452">
        <v>886743174</v>
      </c>
      <c r="CS452">
        <v>0</v>
      </c>
      <c r="CT452">
        <v>2</v>
      </c>
      <c r="CU452">
        <v>0</v>
      </c>
      <c r="CV452">
        <v>2</v>
      </c>
      <c r="CW452">
        <v>0</v>
      </c>
      <c r="CX452">
        <v>7</v>
      </c>
      <c r="CY452">
        <v>7</v>
      </c>
      <c r="CZ452" t="s">
        <v>133</v>
      </c>
      <c r="DA452">
        <v>125</v>
      </c>
      <c r="DB452">
        <v>0</v>
      </c>
      <c r="DC452" t="s">
        <v>134</v>
      </c>
      <c r="DD452" t="s">
        <v>135</v>
      </c>
      <c r="DG452">
        <v>3518617</v>
      </c>
      <c r="DI452">
        <v>0</v>
      </c>
      <c r="DJ452">
        <v>0</v>
      </c>
      <c r="DK452">
        <v>1</v>
      </c>
      <c r="DL452">
        <v>0</v>
      </c>
      <c r="DM452">
        <v>0</v>
      </c>
      <c r="DN452">
        <v>0</v>
      </c>
      <c r="DO452">
        <v>0</v>
      </c>
      <c r="DP452">
        <v>0</v>
      </c>
      <c r="DQ452">
        <v>0</v>
      </c>
      <c r="DR452">
        <v>0</v>
      </c>
      <c r="DS452">
        <v>0</v>
      </c>
    </row>
    <row r="453" spans="1:123" x14ac:dyDescent="0.25">
      <c r="A453" t="str">
        <f>"04/17/2026 15:39:28.194"</f>
        <v>04/17/2026 15:39:28.194</v>
      </c>
      <c r="C453" t="str">
        <f t="shared" si="38"/>
        <v>FFDFD3C0</v>
      </c>
      <c r="D453" t="s">
        <v>136</v>
      </c>
      <c r="E453" t="str">
        <f>"0F"</f>
        <v>0F</v>
      </c>
      <c r="F453">
        <v>1015</v>
      </c>
      <c r="G453" t="s">
        <v>138</v>
      </c>
      <c r="J453" t="s">
        <v>137</v>
      </c>
      <c r="K453">
        <v>0</v>
      </c>
      <c r="L453">
        <v>3</v>
      </c>
      <c r="M453">
        <v>0</v>
      </c>
      <c r="N453">
        <v>2</v>
      </c>
      <c r="O453">
        <v>1</v>
      </c>
      <c r="P453">
        <v>0</v>
      </c>
      <c r="Q453">
        <v>0</v>
      </c>
      <c r="R453" t="s">
        <v>127</v>
      </c>
      <c r="S453" t="str">
        <f>"15:39:27.883"</f>
        <v>15:39:27.883</v>
      </c>
      <c r="T453" t="str">
        <f>"15:39:27.683"</f>
        <v>15:39:27.683</v>
      </c>
      <c r="U453" t="str">
        <f t="shared" si="39"/>
        <v>A55E09</v>
      </c>
      <c r="V453">
        <v>0</v>
      </c>
      <c r="W453">
        <v>0</v>
      </c>
      <c r="X453">
        <v>2</v>
      </c>
      <c r="Y453">
        <v>0</v>
      </c>
      <c r="AA453">
        <v>0</v>
      </c>
      <c r="AB453">
        <v>9</v>
      </c>
      <c r="AC453">
        <v>3</v>
      </c>
      <c r="AD453">
        <v>0</v>
      </c>
      <c r="AE453">
        <v>9</v>
      </c>
      <c r="AF453" t="s">
        <v>128</v>
      </c>
      <c r="AG453">
        <v>0</v>
      </c>
      <c r="AH453">
        <v>0</v>
      </c>
      <c r="AI453">
        <v>1</v>
      </c>
      <c r="AJ453">
        <v>0</v>
      </c>
      <c r="AK453" t="s">
        <v>357</v>
      </c>
      <c r="AL453">
        <v>33.699509999999997</v>
      </c>
      <c r="AM453" t="s">
        <v>358</v>
      </c>
      <c r="AN453">
        <v>-101.210432</v>
      </c>
      <c r="AO453">
        <v>100</v>
      </c>
      <c r="AP453">
        <v>3300</v>
      </c>
      <c r="AQ453" t="s">
        <v>131</v>
      </c>
      <c r="AR453">
        <v>-5</v>
      </c>
      <c r="AS453">
        <v>92</v>
      </c>
      <c r="AT453">
        <v>-448</v>
      </c>
      <c r="BB453" t="str">
        <f t="shared" si="40"/>
        <v>1200</v>
      </c>
      <c r="BC453">
        <v>1</v>
      </c>
      <c r="BD453" t="str">
        <f t="shared" si="41"/>
        <v xml:space="preserve">N445JS  </v>
      </c>
      <c r="BE453">
        <v>7</v>
      </c>
      <c r="BG453">
        <v>0</v>
      </c>
      <c r="BH453">
        <v>0</v>
      </c>
      <c r="BI453">
        <v>0</v>
      </c>
      <c r="BJ453">
        <v>3025</v>
      </c>
      <c r="BK453">
        <v>-275</v>
      </c>
      <c r="BL453" t="s">
        <v>132</v>
      </c>
      <c r="BM453">
        <v>1</v>
      </c>
      <c r="BN453">
        <v>1</v>
      </c>
      <c r="BO453">
        <v>1</v>
      </c>
      <c r="BP453">
        <v>0</v>
      </c>
      <c r="BT453">
        <v>0</v>
      </c>
      <c r="BU453">
        <v>0</v>
      </c>
      <c r="CE453" t="str">
        <f>"15:39:27.887"</f>
        <v>15:39:27.887</v>
      </c>
      <c r="CF453">
        <v>886743174</v>
      </c>
      <c r="CS453">
        <v>0</v>
      </c>
      <c r="CT453">
        <v>2</v>
      </c>
      <c r="CU453">
        <v>0</v>
      </c>
      <c r="CV453">
        <v>2</v>
      </c>
      <c r="CW453">
        <v>0</v>
      </c>
      <c r="CX453">
        <v>7</v>
      </c>
      <c r="CY453">
        <v>7</v>
      </c>
      <c r="CZ453" t="s">
        <v>133</v>
      </c>
      <c r="DA453">
        <v>125</v>
      </c>
      <c r="DB453">
        <v>0</v>
      </c>
      <c r="DC453" t="s">
        <v>134</v>
      </c>
      <c r="DD453" t="s">
        <v>135</v>
      </c>
      <c r="DG453">
        <v>3518617</v>
      </c>
      <c r="DI453">
        <v>0</v>
      </c>
      <c r="DJ453">
        <v>0</v>
      </c>
      <c r="DK453">
        <v>1</v>
      </c>
      <c r="DL453">
        <v>0</v>
      </c>
      <c r="DM453">
        <v>0</v>
      </c>
      <c r="DN453">
        <v>0</v>
      </c>
      <c r="DO453">
        <v>0</v>
      </c>
      <c r="DP453">
        <v>0</v>
      </c>
      <c r="DQ453">
        <v>0</v>
      </c>
      <c r="DR453">
        <v>0</v>
      </c>
      <c r="DS453">
        <v>0</v>
      </c>
    </row>
    <row r="454" spans="1:123" x14ac:dyDescent="0.25">
      <c r="A454" t="str">
        <f>"04/17/2026 15:39:29.043"</f>
        <v>04/17/2026 15:39:29.043</v>
      </c>
      <c r="C454" t="str">
        <f t="shared" si="38"/>
        <v>FFDFD3C0</v>
      </c>
      <c r="D454" t="s">
        <v>136</v>
      </c>
      <c r="E454" t="str">
        <f>"0E"</f>
        <v>0E</v>
      </c>
      <c r="F454">
        <v>1014</v>
      </c>
      <c r="G454" t="s">
        <v>125</v>
      </c>
      <c r="J454" t="s">
        <v>137</v>
      </c>
      <c r="K454">
        <v>0</v>
      </c>
      <c r="L454">
        <v>3</v>
      </c>
      <c r="M454">
        <v>0</v>
      </c>
      <c r="N454">
        <v>2</v>
      </c>
      <c r="O454">
        <v>1</v>
      </c>
      <c r="P454">
        <v>0</v>
      </c>
      <c r="Q454">
        <v>0</v>
      </c>
      <c r="R454" t="s">
        <v>127</v>
      </c>
      <c r="S454" t="str">
        <f>"15:39:28.781"</f>
        <v>15:39:28.781</v>
      </c>
      <c r="T454" t="str">
        <f>"15:39:28.681"</f>
        <v>15:39:28.681</v>
      </c>
      <c r="U454" t="str">
        <f t="shared" si="39"/>
        <v>A55E09</v>
      </c>
      <c r="V454">
        <v>0</v>
      </c>
      <c r="W454">
        <v>0</v>
      </c>
      <c r="X454">
        <v>2</v>
      </c>
      <c r="Y454">
        <v>0</v>
      </c>
      <c r="AA454">
        <v>0</v>
      </c>
      <c r="AB454">
        <v>9</v>
      </c>
      <c r="AC454">
        <v>3</v>
      </c>
      <c r="AD454">
        <v>0</v>
      </c>
      <c r="AE454">
        <v>9</v>
      </c>
      <c r="AF454" t="s">
        <v>128</v>
      </c>
      <c r="AG454">
        <v>0</v>
      </c>
      <c r="AH454">
        <v>0</v>
      </c>
      <c r="AI454">
        <v>1</v>
      </c>
      <c r="AJ454">
        <v>0</v>
      </c>
      <c r="AK454" t="s">
        <v>359</v>
      </c>
      <c r="AL454">
        <v>33.699917999999997</v>
      </c>
      <c r="AM454" t="s">
        <v>360</v>
      </c>
      <c r="AN454">
        <v>-101.210454</v>
      </c>
      <c r="AO454">
        <v>100</v>
      </c>
      <c r="AP454">
        <v>3200</v>
      </c>
      <c r="AQ454" t="s">
        <v>131</v>
      </c>
      <c r="AR454">
        <v>-3</v>
      </c>
      <c r="AS454">
        <v>92</v>
      </c>
      <c r="AT454">
        <v>-384</v>
      </c>
      <c r="BB454" t="str">
        <f t="shared" si="40"/>
        <v>1200</v>
      </c>
      <c r="BC454">
        <v>1</v>
      </c>
      <c r="BD454" t="str">
        <f t="shared" si="41"/>
        <v xml:space="preserve">N445JS  </v>
      </c>
      <c r="BE454">
        <v>7</v>
      </c>
      <c r="BG454">
        <v>0</v>
      </c>
      <c r="BH454">
        <v>0</v>
      </c>
      <c r="BI454">
        <v>0</v>
      </c>
      <c r="BJ454">
        <v>3125</v>
      </c>
      <c r="BK454">
        <v>-75</v>
      </c>
      <c r="BL454" t="s">
        <v>132</v>
      </c>
      <c r="BM454">
        <v>1</v>
      </c>
      <c r="BN454">
        <v>1</v>
      </c>
      <c r="BO454">
        <v>1</v>
      </c>
      <c r="BP454">
        <v>0</v>
      </c>
      <c r="BT454">
        <v>0</v>
      </c>
      <c r="BU454">
        <v>0</v>
      </c>
      <c r="CE454" t="str">
        <f>"15:39:28.787"</f>
        <v>15:39:28.787</v>
      </c>
      <c r="CF454">
        <v>786655000</v>
      </c>
      <c r="CS454">
        <v>0</v>
      </c>
      <c r="CT454">
        <v>2</v>
      </c>
      <c r="CU454">
        <v>0</v>
      </c>
      <c r="CV454">
        <v>2</v>
      </c>
      <c r="CW454">
        <v>0</v>
      </c>
      <c r="CX454">
        <v>7</v>
      </c>
      <c r="CY454">
        <v>7</v>
      </c>
      <c r="CZ454" t="s">
        <v>133</v>
      </c>
      <c r="DA454">
        <v>125</v>
      </c>
      <c r="DB454">
        <v>1</v>
      </c>
      <c r="DC454" t="s">
        <v>134</v>
      </c>
      <c r="DD454" t="s">
        <v>135</v>
      </c>
      <c r="DG454">
        <v>2558511</v>
      </c>
      <c r="DI454">
        <v>0</v>
      </c>
      <c r="DJ454">
        <v>0</v>
      </c>
      <c r="DK454">
        <v>0</v>
      </c>
      <c r="DL454">
        <v>0</v>
      </c>
      <c r="DM454">
        <v>0</v>
      </c>
      <c r="DN454">
        <v>0</v>
      </c>
      <c r="DO454">
        <v>0</v>
      </c>
      <c r="DP454">
        <v>0</v>
      </c>
      <c r="DQ454">
        <v>0</v>
      </c>
      <c r="DR454">
        <v>0</v>
      </c>
      <c r="DS454">
        <v>0</v>
      </c>
    </row>
    <row r="455" spans="1:123" x14ac:dyDescent="0.25">
      <c r="A455" t="str">
        <f>"04/17/2026 15:39:29.046"</f>
        <v>04/17/2026 15:39:29.046</v>
      </c>
      <c r="C455" t="str">
        <f t="shared" si="38"/>
        <v>FFDFD3C0</v>
      </c>
      <c r="D455" t="s">
        <v>136</v>
      </c>
      <c r="E455" t="str">
        <f>"0F"</f>
        <v>0F</v>
      </c>
      <c r="F455">
        <v>1015</v>
      </c>
      <c r="G455" t="s">
        <v>138</v>
      </c>
      <c r="J455" t="s">
        <v>137</v>
      </c>
      <c r="K455">
        <v>0</v>
      </c>
      <c r="L455">
        <v>3</v>
      </c>
      <c r="M455">
        <v>0</v>
      </c>
      <c r="N455">
        <v>2</v>
      </c>
      <c r="O455">
        <v>1</v>
      </c>
      <c r="P455">
        <v>0</v>
      </c>
      <c r="Q455">
        <v>0</v>
      </c>
      <c r="R455" t="s">
        <v>127</v>
      </c>
      <c r="S455" t="str">
        <f>"15:39:28.781"</f>
        <v>15:39:28.781</v>
      </c>
      <c r="T455" t="str">
        <f>"15:39:28.681"</f>
        <v>15:39:28.681</v>
      </c>
      <c r="U455" t="str">
        <f t="shared" si="39"/>
        <v>A55E09</v>
      </c>
      <c r="V455">
        <v>0</v>
      </c>
      <c r="W455">
        <v>0</v>
      </c>
      <c r="X455">
        <v>2</v>
      </c>
      <c r="Y455">
        <v>0</v>
      </c>
      <c r="AA455">
        <v>0</v>
      </c>
      <c r="AB455">
        <v>9</v>
      </c>
      <c r="AC455">
        <v>3</v>
      </c>
      <c r="AD455">
        <v>0</v>
      </c>
      <c r="AE455">
        <v>9</v>
      </c>
      <c r="AF455" t="s">
        <v>128</v>
      </c>
      <c r="AG455">
        <v>0</v>
      </c>
      <c r="AH455">
        <v>0</v>
      </c>
      <c r="AI455">
        <v>1</v>
      </c>
      <c r="AJ455">
        <v>0</v>
      </c>
      <c r="AK455" t="s">
        <v>359</v>
      </c>
      <c r="AL455">
        <v>33.699917999999997</v>
      </c>
      <c r="AM455" t="s">
        <v>360</v>
      </c>
      <c r="AN455">
        <v>-101.210454</v>
      </c>
      <c r="AO455">
        <v>100</v>
      </c>
      <c r="AP455">
        <v>3200</v>
      </c>
      <c r="AQ455" t="s">
        <v>131</v>
      </c>
      <c r="AR455">
        <v>-3</v>
      </c>
      <c r="AS455">
        <v>92</v>
      </c>
      <c r="AT455">
        <v>-384</v>
      </c>
      <c r="BB455" t="str">
        <f t="shared" si="40"/>
        <v>1200</v>
      </c>
      <c r="BC455">
        <v>1</v>
      </c>
      <c r="BD455" t="str">
        <f t="shared" si="41"/>
        <v xml:space="preserve">N445JS  </v>
      </c>
      <c r="BE455">
        <v>7</v>
      </c>
      <c r="BG455">
        <v>0</v>
      </c>
      <c r="BH455">
        <v>0</v>
      </c>
      <c r="BI455">
        <v>0</v>
      </c>
      <c r="BJ455">
        <v>3125</v>
      </c>
      <c r="BK455">
        <v>-75</v>
      </c>
      <c r="BL455" t="s">
        <v>132</v>
      </c>
      <c r="BM455">
        <v>1</v>
      </c>
      <c r="BN455">
        <v>1</v>
      </c>
      <c r="BO455">
        <v>1</v>
      </c>
      <c r="BP455">
        <v>0</v>
      </c>
      <c r="BT455">
        <v>0</v>
      </c>
      <c r="BU455">
        <v>0</v>
      </c>
      <c r="CE455" t="str">
        <f>"15:39:28.787"</f>
        <v>15:39:28.787</v>
      </c>
      <c r="CF455">
        <v>786655000</v>
      </c>
      <c r="CS455">
        <v>0</v>
      </c>
      <c r="CT455">
        <v>2</v>
      </c>
      <c r="CU455">
        <v>0</v>
      </c>
      <c r="CV455">
        <v>2</v>
      </c>
      <c r="CW455">
        <v>0</v>
      </c>
      <c r="CX455">
        <v>7</v>
      </c>
      <c r="CY455">
        <v>7</v>
      </c>
      <c r="CZ455" t="s">
        <v>133</v>
      </c>
      <c r="DA455">
        <v>125</v>
      </c>
      <c r="DB455">
        <v>1</v>
      </c>
      <c r="DC455" t="s">
        <v>134</v>
      </c>
      <c r="DD455" t="s">
        <v>135</v>
      </c>
      <c r="DG455">
        <v>2558511</v>
      </c>
      <c r="DI455">
        <v>0</v>
      </c>
      <c r="DJ455">
        <v>0</v>
      </c>
      <c r="DK455">
        <v>1</v>
      </c>
      <c r="DL455">
        <v>0</v>
      </c>
      <c r="DM455">
        <v>0</v>
      </c>
      <c r="DN455">
        <v>0</v>
      </c>
      <c r="DO455">
        <v>0</v>
      </c>
      <c r="DP455">
        <v>0</v>
      </c>
      <c r="DQ455">
        <v>0</v>
      </c>
      <c r="DR455">
        <v>0</v>
      </c>
      <c r="DS455">
        <v>0</v>
      </c>
    </row>
    <row r="456" spans="1:123" x14ac:dyDescent="0.25">
      <c r="A456" t="str">
        <f>"04/17/2026 15:39:29.058"</f>
        <v>04/17/2026 15:39:29.058</v>
      </c>
      <c r="C456" t="str">
        <f t="shared" si="38"/>
        <v>FFDFD3C0</v>
      </c>
      <c r="D456" t="s">
        <v>124</v>
      </c>
      <c r="E456" t="str">
        <f>"03"</f>
        <v>03</v>
      </c>
      <c r="H456">
        <v>160</v>
      </c>
      <c r="I456" t="s">
        <v>125</v>
      </c>
      <c r="J456" t="s">
        <v>126</v>
      </c>
      <c r="K456">
        <v>0</v>
      </c>
      <c r="L456">
        <v>3</v>
      </c>
      <c r="M456">
        <v>0</v>
      </c>
      <c r="N456">
        <v>2</v>
      </c>
      <c r="O456">
        <v>1</v>
      </c>
      <c r="P456">
        <v>0</v>
      </c>
      <c r="Q456">
        <v>0</v>
      </c>
      <c r="R456" t="s">
        <v>127</v>
      </c>
      <c r="S456" t="str">
        <f>"15:39:28.781"</f>
        <v>15:39:28.781</v>
      </c>
      <c r="T456" t="str">
        <f>"15:39:28.681"</f>
        <v>15:39:28.681</v>
      </c>
      <c r="U456" t="str">
        <f t="shared" si="39"/>
        <v>A55E09</v>
      </c>
      <c r="V456">
        <v>0</v>
      </c>
      <c r="W456">
        <v>0</v>
      </c>
      <c r="X456">
        <v>2</v>
      </c>
      <c r="Y456">
        <v>0</v>
      </c>
      <c r="AA456">
        <v>0</v>
      </c>
      <c r="AB456">
        <v>9</v>
      </c>
      <c r="AC456">
        <v>3</v>
      </c>
      <c r="AD456">
        <v>0</v>
      </c>
      <c r="AE456">
        <v>9</v>
      </c>
      <c r="AF456" t="s">
        <v>128</v>
      </c>
      <c r="AG456">
        <v>0</v>
      </c>
      <c r="AH456">
        <v>0</v>
      </c>
      <c r="AI456">
        <v>1</v>
      </c>
      <c r="AJ456">
        <v>0</v>
      </c>
      <c r="AK456" t="s">
        <v>359</v>
      </c>
      <c r="AL456">
        <v>33.699917999999997</v>
      </c>
      <c r="AM456" t="s">
        <v>360</v>
      </c>
      <c r="AN456">
        <v>-101.210454</v>
      </c>
      <c r="AO456">
        <v>100</v>
      </c>
      <c r="AP456">
        <v>3200</v>
      </c>
      <c r="AQ456" t="s">
        <v>131</v>
      </c>
      <c r="AR456">
        <v>-3</v>
      </c>
      <c r="AS456">
        <v>92</v>
      </c>
      <c r="AT456">
        <v>-384</v>
      </c>
      <c r="BB456" t="str">
        <f t="shared" si="40"/>
        <v>1200</v>
      </c>
      <c r="BC456">
        <v>1</v>
      </c>
      <c r="BD456" t="str">
        <f t="shared" si="41"/>
        <v xml:space="preserve">N445JS  </v>
      </c>
      <c r="BE456">
        <v>7</v>
      </c>
      <c r="BG456">
        <v>0</v>
      </c>
      <c r="BH456">
        <v>0</v>
      </c>
      <c r="BI456">
        <v>0</v>
      </c>
      <c r="BJ456">
        <v>3125</v>
      </c>
      <c r="BK456">
        <v>-75</v>
      </c>
      <c r="BL456" t="s">
        <v>132</v>
      </c>
      <c r="BM456">
        <v>1</v>
      </c>
      <c r="BN456">
        <v>1</v>
      </c>
      <c r="BO456">
        <v>1</v>
      </c>
      <c r="BP456">
        <v>0</v>
      </c>
      <c r="BT456">
        <v>0</v>
      </c>
      <c r="BU456">
        <v>0</v>
      </c>
      <c r="CE456" t="str">
        <f>"15:39:28.787"</f>
        <v>15:39:28.787</v>
      </c>
      <c r="CF456">
        <v>786655000</v>
      </c>
      <c r="CS456">
        <v>0</v>
      </c>
      <c r="CT456">
        <v>2</v>
      </c>
      <c r="CU456">
        <v>0</v>
      </c>
      <c r="CV456">
        <v>2</v>
      </c>
      <c r="CW456">
        <v>0</v>
      </c>
      <c r="CX456">
        <v>7</v>
      </c>
      <c r="CY456">
        <v>7</v>
      </c>
      <c r="CZ456" t="s">
        <v>133</v>
      </c>
      <c r="DA456">
        <v>125</v>
      </c>
      <c r="DB456">
        <v>1</v>
      </c>
      <c r="DC456" t="s">
        <v>134</v>
      </c>
      <c r="DD456" t="s">
        <v>135</v>
      </c>
      <c r="DG456">
        <v>2558511</v>
      </c>
      <c r="DI456">
        <v>0</v>
      </c>
      <c r="DJ456">
        <v>0</v>
      </c>
      <c r="DK456">
        <v>1</v>
      </c>
      <c r="DL456">
        <v>0</v>
      </c>
      <c r="DM456">
        <v>0</v>
      </c>
      <c r="DN456">
        <v>0</v>
      </c>
      <c r="DO456">
        <v>0</v>
      </c>
      <c r="DP456">
        <v>0</v>
      </c>
      <c r="DQ456">
        <v>0</v>
      </c>
      <c r="DR456">
        <v>0</v>
      </c>
      <c r="DS456">
        <v>0</v>
      </c>
    </row>
    <row r="457" spans="1:123" x14ac:dyDescent="0.25">
      <c r="A457" t="str">
        <f>"04/17/2026 15:39:29.091"</f>
        <v>04/17/2026 15:39:29.091</v>
      </c>
      <c r="C457" t="str">
        <f t="shared" si="38"/>
        <v>FFDFD3C0</v>
      </c>
      <c r="D457" t="s">
        <v>139</v>
      </c>
      <c r="E457" t="str">
        <f>"28"</f>
        <v>28</v>
      </c>
      <c r="H457">
        <v>140</v>
      </c>
      <c r="I457" t="s">
        <v>140</v>
      </c>
      <c r="J457" t="s">
        <v>141</v>
      </c>
      <c r="K457">
        <v>0</v>
      </c>
      <c r="L457">
        <v>3</v>
      </c>
      <c r="M457">
        <v>0</v>
      </c>
      <c r="N457">
        <v>2</v>
      </c>
      <c r="O457">
        <v>1</v>
      </c>
      <c r="P457">
        <v>0</v>
      </c>
      <c r="Q457">
        <v>0</v>
      </c>
      <c r="R457" t="s">
        <v>127</v>
      </c>
      <c r="S457" t="str">
        <f>"15:39:28.781"</f>
        <v>15:39:28.781</v>
      </c>
      <c r="T457" t="str">
        <f>"15:39:28.681"</f>
        <v>15:39:28.681</v>
      </c>
      <c r="U457" t="str">
        <f t="shared" si="39"/>
        <v>A55E09</v>
      </c>
      <c r="V457">
        <v>0</v>
      </c>
      <c r="W457">
        <v>0</v>
      </c>
      <c r="X457">
        <v>2</v>
      </c>
      <c r="Y457">
        <v>0</v>
      </c>
      <c r="AA457">
        <v>0</v>
      </c>
      <c r="AB457">
        <v>9</v>
      </c>
      <c r="AC457">
        <v>3</v>
      </c>
      <c r="AD457">
        <v>0</v>
      </c>
      <c r="AE457">
        <v>9</v>
      </c>
      <c r="AF457" t="s">
        <v>128</v>
      </c>
      <c r="AG457">
        <v>0</v>
      </c>
      <c r="AH457">
        <v>0</v>
      </c>
      <c r="AI457">
        <v>1</v>
      </c>
      <c r="AJ457">
        <v>0</v>
      </c>
      <c r="AK457" t="s">
        <v>359</v>
      </c>
      <c r="AL457">
        <v>33.699917999999997</v>
      </c>
      <c r="AM457" t="s">
        <v>360</v>
      </c>
      <c r="AN457">
        <v>-101.210454</v>
      </c>
      <c r="AO457">
        <v>100</v>
      </c>
      <c r="AP457">
        <v>3200</v>
      </c>
      <c r="AQ457" t="s">
        <v>131</v>
      </c>
      <c r="AR457">
        <v>-3</v>
      </c>
      <c r="AS457">
        <v>92</v>
      </c>
      <c r="AT457">
        <v>-384</v>
      </c>
      <c r="BB457" t="str">
        <f t="shared" si="40"/>
        <v>1200</v>
      </c>
      <c r="BC457">
        <v>1</v>
      </c>
      <c r="BD457" t="str">
        <f t="shared" si="41"/>
        <v xml:space="preserve">N445JS  </v>
      </c>
      <c r="BE457">
        <v>7</v>
      </c>
      <c r="BG457">
        <v>0</v>
      </c>
      <c r="BH457">
        <v>0</v>
      </c>
      <c r="BI457">
        <v>0</v>
      </c>
      <c r="BJ457">
        <v>3125</v>
      </c>
      <c r="BK457">
        <v>-75</v>
      </c>
      <c r="BL457" t="s">
        <v>132</v>
      </c>
      <c r="BM457">
        <v>1</v>
      </c>
      <c r="BN457">
        <v>1</v>
      </c>
      <c r="BO457">
        <v>1</v>
      </c>
      <c r="BP457">
        <v>0</v>
      </c>
      <c r="BT457">
        <v>0</v>
      </c>
      <c r="BU457">
        <v>0</v>
      </c>
      <c r="CE457" t="str">
        <f>"15:39:28.787"</f>
        <v>15:39:28.787</v>
      </c>
      <c r="CF457">
        <v>786655000</v>
      </c>
      <c r="CS457">
        <v>0</v>
      </c>
      <c r="CT457">
        <v>2</v>
      </c>
      <c r="CU457">
        <v>0</v>
      </c>
      <c r="CV457">
        <v>2</v>
      </c>
      <c r="CW457">
        <v>0</v>
      </c>
      <c r="CX457">
        <v>7</v>
      </c>
      <c r="CY457">
        <v>7</v>
      </c>
      <c r="CZ457" t="s">
        <v>133</v>
      </c>
      <c r="DA457">
        <v>125</v>
      </c>
      <c r="DB457">
        <v>1</v>
      </c>
      <c r="DC457" t="s">
        <v>134</v>
      </c>
      <c r="DD457" t="s">
        <v>135</v>
      </c>
      <c r="DG457">
        <v>2558511</v>
      </c>
      <c r="DI457">
        <v>0</v>
      </c>
      <c r="DJ457">
        <v>0</v>
      </c>
      <c r="DK457">
        <v>1</v>
      </c>
      <c r="DL457">
        <v>0</v>
      </c>
      <c r="DM457">
        <v>0</v>
      </c>
      <c r="DN457">
        <v>0</v>
      </c>
      <c r="DO457">
        <v>0</v>
      </c>
      <c r="DP457">
        <v>0</v>
      </c>
      <c r="DQ457">
        <v>0</v>
      </c>
      <c r="DR457">
        <v>0</v>
      </c>
      <c r="DS457">
        <v>0</v>
      </c>
    </row>
    <row r="458" spans="1:123" x14ac:dyDescent="0.25">
      <c r="A458" t="str">
        <f>"04/17/2026 15:39:30.095"</f>
        <v>04/17/2026 15:39:30.095</v>
      </c>
      <c r="C458" t="str">
        <f t="shared" si="38"/>
        <v>FFDFD3C0</v>
      </c>
      <c r="D458" t="s">
        <v>136</v>
      </c>
      <c r="E458" t="str">
        <f>"0E"</f>
        <v>0E</v>
      </c>
      <c r="F458">
        <v>1014</v>
      </c>
      <c r="G458" t="s">
        <v>125</v>
      </c>
      <c r="J458" t="s">
        <v>137</v>
      </c>
      <c r="K458">
        <v>0</v>
      </c>
      <c r="L458">
        <v>3</v>
      </c>
      <c r="M458">
        <v>0</v>
      </c>
      <c r="N458">
        <v>2</v>
      </c>
      <c r="O458">
        <v>1</v>
      </c>
      <c r="P458">
        <v>0</v>
      </c>
      <c r="Q458">
        <v>0</v>
      </c>
      <c r="R458" t="s">
        <v>127</v>
      </c>
      <c r="S458" t="str">
        <f>"15:39:29.836"</f>
        <v>15:39:29.836</v>
      </c>
      <c r="T458" t="str">
        <f>"15:39:29.536"</f>
        <v>15:39:29.536</v>
      </c>
      <c r="U458" t="str">
        <f t="shared" si="39"/>
        <v>A55E09</v>
      </c>
      <c r="V458">
        <v>0</v>
      </c>
      <c r="W458">
        <v>0</v>
      </c>
      <c r="X458">
        <v>2</v>
      </c>
      <c r="Y458">
        <v>0</v>
      </c>
      <c r="AA458">
        <v>0</v>
      </c>
      <c r="AB458">
        <v>9</v>
      </c>
      <c r="AC458">
        <v>3</v>
      </c>
      <c r="AD458">
        <v>0</v>
      </c>
      <c r="AE458">
        <v>9</v>
      </c>
      <c r="AF458" t="s">
        <v>128</v>
      </c>
      <c r="AG458">
        <v>0</v>
      </c>
      <c r="AH458">
        <v>0</v>
      </c>
      <c r="AI458">
        <v>1</v>
      </c>
      <c r="AJ458">
        <v>0</v>
      </c>
      <c r="AK458" t="s">
        <v>361</v>
      </c>
      <c r="AL458">
        <v>33.700324999999999</v>
      </c>
      <c r="AM458" t="s">
        <v>362</v>
      </c>
      <c r="AN458">
        <v>-101.210475</v>
      </c>
      <c r="AO458">
        <v>100</v>
      </c>
      <c r="AP458">
        <v>3200</v>
      </c>
      <c r="AQ458" t="s">
        <v>131</v>
      </c>
      <c r="AR458">
        <v>-3</v>
      </c>
      <c r="AS458">
        <v>93</v>
      </c>
      <c r="AT458">
        <v>-384</v>
      </c>
      <c r="BB458" t="str">
        <f t="shared" si="40"/>
        <v>1200</v>
      </c>
      <c r="BC458">
        <v>1</v>
      </c>
      <c r="BD458" t="str">
        <f t="shared" si="41"/>
        <v xml:space="preserve">N445JS  </v>
      </c>
      <c r="BE458">
        <v>7</v>
      </c>
      <c r="BG458">
        <v>0</v>
      </c>
      <c r="BH458">
        <v>0</v>
      </c>
      <c r="BI458">
        <v>0</v>
      </c>
      <c r="BJ458">
        <v>3025</v>
      </c>
      <c r="BK458">
        <v>-175</v>
      </c>
      <c r="BL458" t="s">
        <v>132</v>
      </c>
      <c r="BM458">
        <v>1</v>
      </c>
      <c r="BN458">
        <v>1</v>
      </c>
      <c r="BO458">
        <v>1</v>
      </c>
      <c r="BP458">
        <v>0</v>
      </c>
      <c r="BT458">
        <v>0</v>
      </c>
      <c r="BU458">
        <v>0</v>
      </c>
      <c r="CE458" t="str">
        <f>"15:39:29.837"</f>
        <v>15:39:29.837</v>
      </c>
      <c r="CF458">
        <v>836552121</v>
      </c>
      <c r="CS458">
        <v>0</v>
      </c>
      <c r="CT458">
        <v>2</v>
      </c>
      <c r="CU458">
        <v>0</v>
      </c>
      <c r="CV458">
        <v>2</v>
      </c>
      <c r="CW458">
        <v>0</v>
      </c>
      <c r="CX458">
        <v>7</v>
      </c>
      <c r="CY458">
        <v>7</v>
      </c>
      <c r="CZ458" t="s">
        <v>133</v>
      </c>
      <c r="DA458">
        <v>125</v>
      </c>
      <c r="DB458">
        <v>1</v>
      </c>
      <c r="DC458" t="s">
        <v>134</v>
      </c>
      <c r="DD458" t="s">
        <v>135</v>
      </c>
      <c r="DG458">
        <v>2559581</v>
      </c>
      <c r="DI458">
        <v>0</v>
      </c>
      <c r="DJ458">
        <v>0</v>
      </c>
      <c r="DK458">
        <v>0</v>
      </c>
      <c r="DL458">
        <v>0</v>
      </c>
      <c r="DM458">
        <v>0</v>
      </c>
      <c r="DN458">
        <v>0</v>
      </c>
      <c r="DO458">
        <v>0</v>
      </c>
      <c r="DP458">
        <v>0</v>
      </c>
      <c r="DQ458">
        <v>0</v>
      </c>
      <c r="DR458">
        <v>0</v>
      </c>
      <c r="DS458">
        <v>0</v>
      </c>
    </row>
    <row r="459" spans="1:123" x14ac:dyDescent="0.25">
      <c r="A459" t="str">
        <f>"04/17/2026 15:39:30.093"</f>
        <v>04/17/2026 15:39:30.093</v>
      </c>
      <c r="C459" t="str">
        <f t="shared" si="38"/>
        <v>FFDFD3C0</v>
      </c>
      <c r="D459" t="s">
        <v>139</v>
      </c>
      <c r="E459" t="str">
        <f>"28"</f>
        <v>28</v>
      </c>
      <c r="H459">
        <v>140</v>
      </c>
      <c r="I459" t="s">
        <v>140</v>
      </c>
      <c r="J459" t="s">
        <v>141</v>
      </c>
      <c r="K459">
        <v>0</v>
      </c>
      <c r="L459">
        <v>3</v>
      </c>
      <c r="M459">
        <v>0</v>
      </c>
      <c r="N459">
        <v>2</v>
      </c>
      <c r="O459">
        <v>1</v>
      </c>
      <c r="P459">
        <v>0</v>
      </c>
      <c r="Q459">
        <v>0</v>
      </c>
      <c r="R459" t="s">
        <v>127</v>
      </c>
      <c r="S459" t="str">
        <f>"15:39:29.836"</f>
        <v>15:39:29.836</v>
      </c>
      <c r="T459" t="str">
        <f>"15:39:29.536"</f>
        <v>15:39:29.536</v>
      </c>
      <c r="U459" t="str">
        <f t="shared" si="39"/>
        <v>A55E09</v>
      </c>
      <c r="V459">
        <v>0</v>
      </c>
      <c r="W459">
        <v>0</v>
      </c>
      <c r="X459">
        <v>2</v>
      </c>
      <c r="Y459">
        <v>0</v>
      </c>
      <c r="AA459">
        <v>0</v>
      </c>
      <c r="AB459">
        <v>9</v>
      </c>
      <c r="AC459">
        <v>3</v>
      </c>
      <c r="AD459">
        <v>0</v>
      </c>
      <c r="AE459">
        <v>9</v>
      </c>
      <c r="AF459" t="s">
        <v>128</v>
      </c>
      <c r="AG459">
        <v>0</v>
      </c>
      <c r="AH459">
        <v>0</v>
      </c>
      <c r="AI459">
        <v>1</v>
      </c>
      <c r="AJ459">
        <v>0</v>
      </c>
      <c r="AK459" t="s">
        <v>361</v>
      </c>
      <c r="AL459">
        <v>33.700324999999999</v>
      </c>
      <c r="AM459" t="s">
        <v>362</v>
      </c>
      <c r="AN459">
        <v>-101.210475</v>
      </c>
      <c r="AO459">
        <v>100</v>
      </c>
      <c r="AP459">
        <v>3200</v>
      </c>
      <c r="AQ459" t="s">
        <v>131</v>
      </c>
      <c r="AR459">
        <v>-3</v>
      </c>
      <c r="AS459">
        <v>93</v>
      </c>
      <c r="AT459">
        <v>-384</v>
      </c>
      <c r="BB459" t="str">
        <f t="shared" si="40"/>
        <v>1200</v>
      </c>
      <c r="BC459">
        <v>1</v>
      </c>
      <c r="BD459" t="str">
        <f t="shared" si="41"/>
        <v xml:space="preserve">N445JS  </v>
      </c>
      <c r="BE459">
        <v>7</v>
      </c>
      <c r="BG459">
        <v>0</v>
      </c>
      <c r="BH459">
        <v>0</v>
      </c>
      <c r="BI459">
        <v>0</v>
      </c>
      <c r="BJ459">
        <v>3025</v>
      </c>
      <c r="BK459">
        <v>-175</v>
      </c>
      <c r="BL459" t="s">
        <v>132</v>
      </c>
      <c r="BM459">
        <v>1</v>
      </c>
      <c r="BN459">
        <v>1</v>
      </c>
      <c r="BO459">
        <v>1</v>
      </c>
      <c r="BP459">
        <v>0</v>
      </c>
      <c r="BT459">
        <v>0</v>
      </c>
      <c r="BU459">
        <v>0</v>
      </c>
      <c r="CE459" t="str">
        <f>"15:39:29.837"</f>
        <v>15:39:29.837</v>
      </c>
      <c r="CF459">
        <v>836552121</v>
      </c>
      <c r="CS459">
        <v>0</v>
      </c>
      <c r="CT459">
        <v>2</v>
      </c>
      <c r="CU459">
        <v>0</v>
      </c>
      <c r="CV459">
        <v>2</v>
      </c>
      <c r="CW459">
        <v>0</v>
      </c>
      <c r="CX459">
        <v>7</v>
      </c>
      <c r="CY459">
        <v>7</v>
      </c>
      <c r="CZ459" t="s">
        <v>133</v>
      </c>
      <c r="DA459">
        <v>125</v>
      </c>
      <c r="DB459">
        <v>1</v>
      </c>
      <c r="DC459" t="s">
        <v>134</v>
      </c>
      <c r="DD459" t="s">
        <v>135</v>
      </c>
      <c r="DG459">
        <v>2559581</v>
      </c>
      <c r="DI459">
        <v>0</v>
      </c>
      <c r="DJ459">
        <v>0</v>
      </c>
      <c r="DK459">
        <v>1</v>
      </c>
      <c r="DL459">
        <v>0</v>
      </c>
      <c r="DM459">
        <v>0</v>
      </c>
      <c r="DN459">
        <v>0</v>
      </c>
      <c r="DO459">
        <v>0</v>
      </c>
      <c r="DP459">
        <v>0</v>
      </c>
      <c r="DQ459">
        <v>0</v>
      </c>
      <c r="DR459">
        <v>0</v>
      </c>
      <c r="DS459">
        <v>0</v>
      </c>
    </row>
    <row r="460" spans="1:123" x14ac:dyDescent="0.25">
      <c r="A460" t="str">
        <f>"04/17/2026 15:39:30.098"</f>
        <v>04/17/2026 15:39:30.098</v>
      </c>
      <c r="C460" t="str">
        <f t="shared" si="38"/>
        <v>FFDFD3C0</v>
      </c>
      <c r="D460" t="s">
        <v>136</v>
      </c>
      <c r="E460" t="str">
        <f>"0F"</f>
        <v>0F</v>
      </c>
      <c r="F460">
        <v>1015</v>
      </c>
      <c r="G460" t="s">
        <v>138</v>
      </c>
      <c r="J460" t="s">
        <v>137</v>
      </c>
      <c r="K460">
        <v>0</v>
      </c>
      <c r="L460">
        <v>3</v>
      </c>
      <c r="M460">
        <v>0</v>
      </c>
      <c r="N460">
        <v>2</v>
      </c>
      <c r="O460">
        <v>1</v>
      </c>
      <c r="P460">
        <v>0</v>
      </c>
      <c r="Q460">
        <v>0</v>
      </c>
      <c r="R460" t="s">
        <v>127</v>
      </c>
      <c r="S460" t="str">
        <f>"15:39:29.836"</f>
        <v>15:39:29.836</v>
      </c>
      <c r="T460" t="str">
        <f>"15:39:29.536"</f>
        <v>15:39:29.536</v>
      </c>
      <c r="U460" t="str">
        <f t="shared" si="39"/>
        <v>A55E09</v>
      </c>
      <c r="V460">
        <v>0</v>
      </c>
      <c r="W460">
        <v>0</v>
      </c>
      <c r="X460">
        <v>2</v>
      </c>
      <c r="Y460">
        <v>0</v>
      </c>
      <c r="AA460">
        <v>0</v>
      </c>
      <c r="AB460">
        <v>9</v>
      </c>
      <c r="AC460">
        <v>3</v>
      </c>
      <c r="AD460">
        <v>0</v>
      </c>
      <c r="AE460">
        <v>9</v>
      </c>
      <c r="AF460" t="s">
        <v>128</v>
      </c>
      <c r="AG460">
        <v>0</v>
      </c>
      <c r="AH460">
        <v>0</v>
      </c>
      <c r="AI460">
        <v>1</v>
      </c>
      <c r="AJ460">
        <v>0</v>
      </c>
      <c r="AK460" t="s">
        <v>361</v>
      </c>
      <c r="AL460">
        <v>33.700324999999999</v>
      </c>
      <c r="AM460" t="s">
        <v>362</v>
      </c>
      <c r="AN460">
        <v>-101.210475</v>
      </c>
      <c r="AO460">
        <v>100</v>
      </c>
      <c r="AP460">
        <v>3200</v>
      </c>
      <c r="AQ460" t="s">
        <v>131</v>
      </c>
      <c r="AR460">
        <v>-3</v>
      </c>
      <c r="AS460">
        <v>93</v>
      </c>
      <c r="AT460">
        <v>-384</v>
      </c>
      <c r="BB460" t="str">
        <f t="shared" si="40"/>
        <v>1200</v>
      </c>
      <c r="BC460">
        <v>1</v>
      </c>
      <c r="BD460" t="str">
        <f t="shared" si="41"/>
        <v xml:space="preserve">N445JS  </v>
      </c>
      <c r="BE460">
        <v>7</v>
      </c>
      <c r="BG460">
        <v>0</v>
      </c>
      <c r="BH460">
        <v>0</v>
      </c>
      <c r="BI460">
        <v>0</v>
      </c>
      <c r="BJ460">
        <v>3025</v>
      </c>
      <c r="BK460">
        <v>-175</v>
      </c>
      <c r="BL460" t="s">
        <v>132</v>
      </c>
      <c r="BM460">
        <v>1</v>
      </c>
      <c r="BN460">
        <v>1</v>
      </c>
      <c r="BO460">
        <v>1</v>
      </c>
      <c r="BP460">
        <v>0</v>
      </c>
      <c r="BT460">
        <v>0</v>
      </c>
      <c r="BU460">
        <v>0</v>
      </c>
      <c r="CE460" t="str">
        <f>"15:39:29.837"</f>
        <v>15:39:29.837</v>
      </c>
      <c r="CF460">
        <v>836552121</v>
      </c>
      <c r="CS460">
        <v>0</v>
      </c>
      <c r="CT460">
        <v>2</v>
      </c>
      <c r="CU460">
        <v>0</v>
      </c>
      <c r="CV460">
        <v>2</v>
      </c>
      <c r="CW460">
        <v>0</v>
      </c>
      <c r="CX460">
        <v>7</v>
      </c>
      <c r="CY460">
        <v>7</v>
      </c>
      <c r="CZ460" t="s">
        <v>133</v>
      </c>
      <c r="DA460">
        <v>125</v>
      </c>
      <c r="DB460">
        <v>1</v>
      </c>
      <c r="DC460" t="s">
        <v>134</v>
      </c>
      <c r="DD460" t="s">
        <v>135</v>
      </c>
      <c r="DG460">
        <v>2559581</v>
      </c>
      <c r="DI460">
        <v>0</v>
      </c>
      <c r="DJ460">
        <v>0</v>
      </c>
      <c r="DK460">
        <v>1</v>
      </c>
      <c r="DL460">
        <v>0</v>
      </c>
      <c r="DM460">
        <v>0</v>
      </c>
      <c r="DN460">
        <v>0</v>
      </c>
      <c r="DO460">
        <v>0</v>
      </c>
      <c r="DP460">
        <v>0</v>
      </c>
      <c r="DQ460">
        <v>0</v>
      </c>
      <c r="DR460">
        <v>0</v>
      </c>
      <c r="DS460">
        <v>0</v>
      </c>
    </row>
    <row r="461" spans="1:123" x14ac:dyDescent="0.25">
      <c r="A461" t="str">
        <f>"04/17/2026 15:39:30.110"</f>
        <v>04/17/2026 15:39:30.110</v>
      </c>
      <c r="C461" t="str">
        <f t="shared" si="38"/>
        <v>FFDFD3C0</v>
      </c>
      <c r="D461" t="s">
        <v>124</v>
      </c>
      <c r="E461" t="str">
        <f>"03"</f>
        <v>03</v>
      </c>
      <c r="H461">
        <v>160</v>
      </c>
      <c r="I461" t="s">
        <v>125</v>
      </c>
      <c r="J461" t="s">
        <v>126</v>
      </c>
      <c r="K461">
        <v>0</v>
      </c>
      <c r="L461">
        <v>3</v>
      </c>
      <c r="M461">
        <v>0</v>
      </c>
      <c r="N461">
        <v>2</v>
      </c>
      <c r="O461">
        <v>1</v>
      </c>
      <c r="P461">
        <v>0</v>
      </c>
      <c r="Q461">
        <v>0</v>
      </c>
      <c r="R461" t="s">
        <v>127</v>
      </c>
      <c r="S461" t="str">
        <f>"15:39:29.836"</f>
        <v>15:39:29.836</v>
      </c>
      <c r="T461" t="str">
        <f>"15:39:29.536"</f>
        <v>15:39:29.536</v>
      </c>
      <c r="U461" t="str">
        <f t="shared" si="39"/>
        <v>A55E09</v>
      </c>
      <c r="V461">
        <v>0</v>
      </c>
      <c r="W461">
        <v>0</v>
      </c>
      <c r="X461">
        <v>2</v>
      </c>
      <c r="Y461">
        <v>0</v>
      </c>
      <c r="AA461">
        <v>0</v>
      </c>
      <c r="AB461">
        <v>9</v>
      </c>
      <c r="AC461">
        <v>3</v>
      </c>
      <c r="AD461">
        <v>0</v>
      </c>
      <c r="AE461">
        <v>9</v>
      </c>
      <c r="AF461" t="s">
        <v>128</v>
      </c>
      <c r="AG461">
        <v>0</v>
      </c>
      <c r="AH461">
        <v>0</v>
      </c>
      <c r="AI461">
        <v>1</v>
      </c>
      <c r="AJ461">
        <v>0</v>
      </c>
      <c r="AK461" t="s">
        <v>361</v>
      </c>
      <c r="AL461">
        <v>33.700324999999999</v>
      </c>
      <c r="AM461" t="s">
        <v>362</v>
      </c>
      <c r="AN461">
        <v>-101.210475</v>
      </c>
      <c r="AO461">
        <v>100</v>
      </c>
      <c r="AP461">
        <v>3200</v>
      </c>
      <c r="AQ461" t="s">
        <v>131</v>
      </c>
      <c r="AR461">
        <v>-3</v>
      </c>
      <c r="AS461">
        <v>93</v>
      </c>
      <c r="AT461">
        <v>-384</v>
      </c>
      <c r="BB461" t="str">
        <f t="shared" si="40"/>
        <v>1200</v>
      </c>
      <c r="BC461">
        <v>1</v>
      </c>
      <c r="BD461" t="str">
        <f t="shared" si="41"/>
        <v xml:space="preserve">N445JS  </v>
      </c>
      <c r="BE461">
        <v>7</v>
      </c>
      <c r="BG461">
        <v>0</v>
      </c>
      <c r="BH461">
        <v>0</v>
      </c>
      <c r="BI461">
        <v>0</v>
      </c>
      <c r="BJ461">
        <v>3025</v>
      </c>
      <c r="BK461">
        <v>-175</v>
      </c>
      <c r="BL461" t="s">
        <v>132</v>
      </c>
      <c r="BM461">
        <v>1</v>
      </c>
      <c r="BN461">
        <v>1</v>
      </c>
      <c r="BO461">
        <v>1</v>
      </c>
      <c r="BP461">
        <v>0</v>
      </c>
      <c r="BT461">
        <v>0</v>
      </c>
      <c r="BU461">
        <v>0</v>
      </c>
      <c r="CE461" t="str">
        <f>"15:39:29.837"</f>
        <v>15:39:29.837</v>
      </c>
      <c r="CF461">
        <v>836552121</v>
      </c>
      <c r="CS461">
        <v>0</v>
      </c>
      <c r="CT461">
        <v>2</v>
      </c>
      <c r="CU461">
        <v>0</v>
      </c>
      <c r="CV461">
        <v>2</v>
      </c>
      <c r="CW461">
        <v>0</v>
      </c>
      <c r="CX461">
        <v>7</v>
      </c>
      <c r="CY461">
        <v>7</v>
      </c>
      <c r="CZ461" t="s">
        <v>133</v>
      </c>
      <c r="DA461">
        <v>125</v>
      </c>
      <c r="DB461">
        <v>1</v>
      </c>
      <c r="DC461" t="s">
        <v>134</v>
      </c>
      <c r="DD461" t="s">
        <v>135</v>
      </c>
      <c r="DG461">
        <v>2559581</v>
      </c>
      <c r="DI461">
        <v>0</v>
      </c>
      <c r="DJ461">
        <v>0</v>
      </c>
      <c r="DK461">
        <v>1</v>
      </c>
      <c r="DL461">
        <v>0</v>
      </c>
      <c r="DM461">
        <v>0</v>
      </c>
      <c r="DN461">
        <v>0</v>
      </c>
      <c r="DO461">
        <v>0</v>
      </c>
      <c r="DP461">
        <v>0</v>
      </c>
      <c r="DQ461">
        <v>0</v>
      </c>
      <c r="DR461">
        <v>0</v>
      </c>
      <c r="DS461">
        <v>0</v>
      </c>
    </row>
    <row r="462" spans="1:123" x14ac:dyDescent="0.25">
      <c r="A462" t="str">
        <f>"04/17/2026 15:39:31.135"</f>
        <v>04/17/2026 15:39:31.135</v>
      </c>
      <c r="C462" t="str">
        <f t="shared" si="38"/>
        <v>FFDFD3C0</v>
      </c>
      <c r="D462" t="s">
        <v>136</v>
      </c>
      <c r="E462" t="str">
        <f>"0E"</f>
        <v>0E</v>
      </c>
      <c r="F462">
        <v>1014</v>
      </c>
      <c r="G462" t="s">
        <v>125</v>
      </c>
      <c r="J462" t="s">
        <v>137</v>
      </c>
      <c r="K462">
        <v>0</v>
      </c>
      <c r="L462">
        <v>3</v>
      </c>
      <c r="M462">
        <v>0</v>
      </c>
      <c r="N462">
        <v>2</v>
      </c>
      <c r="O462">
        <v>1</v>
      </c>
      <c r="P462">
        <v>0</v>
      </c>
      <c r="Q462">
        <v>0</v>
      </c>
      <c r="R462" t="s">
        <v>127</v>
      </c>
      <c r="S462" t="str">
        <f>"15:39:30.914"</f>
        <v>15:39:30.914</v>
      </c>
      <c r="T462" t="str">
        <f>"15:39:30.614"</f>
        <v>15:39:30.614</v>
      </c>
      <c r="U462" t="str">
        <f t="shared" si="39"/>
        <v>A55E09</v>
      </c>
      <c r="V462">
        <v>0</v>
      </c>
      <c r="W462">
        <v>0</v>
      </c>
      <c r="X462">
        <v>2</v>
      </c>
      <c r="Y462">
        <v>0</v>
      </c>
      <c r="AA462">
        <v>0</v>
      </c>
      <c r="AB462">
        <v>9</v>
      </c>
      <c r="AC462">
        <v>3</v>
      </c>
      <c r="AD462">
        <v>0</v>
      </c>
      <c r="AE462">
        <v>9</v>
      </c>
      <c r="AF462" t="s">
        <v>128</v>
      </c>
      <c r="AG462">
        <v>0</v>
      </c>
      <c r="AH462">
        <v>0</v>
      </c>
      <c r="AI462">
        <v>1</v>
      </c>
      <c r="AJ462">
        <v>0</v>
      </c>
      <c r="AK462" t="s">
        <v>363</v>
      </c>
      <c r="AL462">
        <v>33.700839999999999</v>
      </c>
      <c r="AM462" t="s">
        <v>364</v>
      </c>
      <c r="AN462">
        <v>-101.21051799999999</v>
      </c>
      <c r="AO462">
        <v>100</v>
      </c>
      <c r="AP462">
        <v>3200</v>
      </c>
      <c r="AQ462" t="s">
        <v>131</v>
      </c>
      <c r="AR462">
        <v>-2</v>
      </c>
      <c r="AS462">
        <v>93</v>
      </c>
      <c r="AT462">
        <v>-320</v>
      </c>
      <c r="BB462" t="str">
        <f t="shared" si="40"/>
        <v>1200</v>
      </c>
      <c r="BC462">
        <v>1</v>
      </c>
      <c r="BD462" t="str">
        <f t="shared" si="41"/>
        <v xml:space="preserve">N445JS  </v>
      </c>
      <c r="BE462">
        <v>7</v>
      </c>
      <c r="BG462">
        <v>0</v>
      </c>
      <c r="BH462">
        <v>0</v>
      </c>
      <c r="BI462">
        <v>0</v>
      </c>
      <c r="BJ462">
        <v>3000</v>
      </c>
      <c r="BK462">
        <v>-200</v>
      </c>
      <c r="BL462" t="s">
        <v>132</v>
      </c>
      <c r="BM462">
        <v>1</v>
      </c>
      <c r="BN462">
        <v>1</v>
      </c>
      <c r="BO462">
        <v>1</v>
      </c>
      <c r="BP462">
        <v>0</v>
      </c>
      <c r="BT462">
        <v>0</v>
      </c>
      <c r="BU462">
        <v>0</v>
      </c>
      <c r="CE462" t="str">
        <f>"15:39:30.916"</f>
        <v>15:39:30.916</v>
      </c>
      <c r="CF462">
        <v>916446295</v>
      </c>
      <c r="CS462">
        <v>0</v>
      </c>
      <c r="CT462">
        <v>2</v>
      </c>
      <c r="CU462">
        <v>0</v>
      </c>
      <c r="CV462">
        <v>2</v>
      </c>
      <c r="CW462">
        <v>0</v>
      </c>
      <c r="CX462">
        <v>7</v>
      </c>
      <c r="CY462">
        <v>7</v>
      </c>
      <c r="CZ462" t="s">
        <v>133</v>
      </c>
      <c r="DA462">
        <v>125</v>
      </c>
      <c r="DB462">
        <v>1</v>
      </c>
      <c r="DC462" t="s">
        <v>134</v>
      </c>
      <c r="DD462" t="s">
        <v>135</v>
      </c>
      <c r="DG462">
        <v>2560639</v>
      </c>
      <c r="DI462">
        <v>0</v>
      </c>
      <c r="DJ462">
        <v>0</v>
      </c>
      <c r="DK462">
        <v>0</v>
      </c>
      <c r="DL462">
        <v>0</v>
      </c>
      <c r="DM462">
        <v>0</v>
      </c>
      <c r="DN462">
        <v>0</v>
      </c>
      <c r="DO462">
        <v>0</v>
      </c>
      <c r="DP462">
        <v>0</v>
      </c>
      <c r="DQ462">
        <v>0</v>
      </c>
      <c r="DR462">
        <v>0</v>
      </c>
      <c r="DS462">
        <v>0</v>
      </c>
    </row>
    <row r="463" spans="1:123" x14ac:dyDescent="0.25">
      <c r="A463" t="str">
        <f>"04/17/2026 15:39:31.144"</f>
        <v>04/17/2026 15:39:31.144</v>
      </c>
      <c r="C463" t="str">
        <f t="shared" si="38"/>
        <v>FFDFD3C0</v>
      </c>
      <c r="D463" t="s">
        <v>139</v>
      </c>
      <c r="E463" t="str">
        <f>"28"</f>
        <v>28</v>
      </c>
      <c r="H463">
        <v>140</v>
      </c>
      <c r="I463" t="s">
        <v>140</v>
      </c>
      <c r="J463" t="s">
        <v>141</v>
      </c>
      <c r="K463">
        <v>0</v>
      </c>
      <c r="L463">
        <v>3</v>
      </c>
      <c r="M463">
        <v>0</v>
      </c>
      <c r="N463">
        <v>2</v>
      </c>
      <c r="O463">
        <v>1</v>
      </c>
      <c r="P463">
        <v>0</v>
      </c>
      <c r="Q463">
        <v>0</v>
      </c>
      <c r="R463" t="s">
        <v>127</v>
      </c>
      <c r="S463" t="str">
        <f>"15:39:30.914"</f>
        <v>15:39:30.914</v>
      </c>
      <c r="T463" t="str">
        <f>"15:39:30.614"</f>
        <v>15:39:30.614</v>
      </c>
      <c r="U463" t="str">
        <f t="shared" si="39"/>
        <v>A55E09</v>
      </c>
      <c r="V463">
        <v>0</v>
      </c>
      <c r="W463">
        <v>0</v>
      </c>
      <c r="X463">
        <v>2</v>
      </c>
      <c r="Y463">
        <v>0</v>
      </c>
      <c r="AA463">
        <v>0</v>
      </c>
      <c r="AB463">
        <v>9</v>
      </c>
      <c r="AC463">
        <v>3</v>
      </c>
      <c r="AD463">
        <v>0</v>
      </c>
      <c r="AE463">
        <v>9</v>
      </c>
      <c r="AF463" t="s">
        <v>128</v>
      </c>
      <c r="AG463">
        <v>0</v>
      </c>
      <c r="AH463">
        <v>0</v>
      </c>
      <c r="AI463">
        <v>1</v>
      </c>
      <c r="AJ463">
        <v>0</v>
      </c>
      <c r="AK463" t="s">
        <v>363</v>
      </c>
      <c r="AL463">
        <v>33.700839999999999</v>
      </c>
      <c r="AM463" t="s">
        <v>364</v>
      </c>
      <c r="AN463">
        <v>-101.21051799999999</v>
      </c>
      <c r="AO463">
        <v>100</v>
      </c>
      <c r="AP463">
        <v>3200</v>
      </c>
      <c r="AQ463" t="s">
        <v>131</v>
      </c>
      <c r="AR463">
        <v>-2</v>
      </c>
      <c r="AS463">
        <v>93</v>
      </c>
      <c r="AT463">
        <v>-320</v>
      </c>
      <c r="BB463" t="str">
        <f t="shared" si="40"/>
        <v>1200</v>
      </c>
      <c r="BC463">
        <v>1</v>
      </c>
      <c r="BD463" t="str">
        <f t="shared" si="41"/>
        <v xml:space="preserve">N445JS  </v>
      </c>
      <c r="BE463">
        <v>7</v>
      </c>
      <c r="BG463">
        <v>0</v>
      </c>
      <c r="BH463">
        <v>0</v>
      </c>
      <c r="BI463">
        <v>0</v>
      </c>
      <c r="BJ463">
        <v>3000</v>
      </c>
      <c r="BK463">
        <v>-200</v>
      </c>
      <c r="BL463" t="s">
        <v>132</v>
      </c>
      <c r="BM463">
        <v>1</v>
      </c>
      <c r="BN463">
        <v>1</v>
      </c>
      <c r="BO463">
        <v>1</v>
      </c>
      <c r="BP463">
        <v>0</v>
      </c>
      <c r="BT463">
        <v>0</v>
      </c>
      <c r="BU463">
        <v>0</v>
      </c>
      <c r="CE463" t="str">
        <f>"15:39:30.916"</f>
        <v>15:39:30.916</v>
      </c>
      <c r="CF463">
        <v>916446295</v>
      </c>
      <c r="CS463">
        <v>0</v>
      </c>
      <c r="CT463">
        <v>2</v>
      </c>
      <c r="CU463">
        <v>0</v>
      </c>
      <c r="CV463">
        <v>2</v>
      </c>
      <c r="CW463">
        <v>0</v>
      </c>
      <c r="CX463">
        <v>7</v>
      </c>
      <c r="CY463">
        <v>7</v>
      </c>
      <c r="CZ463" t="s">
        <v>133</v>
      </c>
      <c r="DA463">
        <v>125</v>
      </c>
      <c r="DB463">
        <v>1</v>
      </c>
      <c r="DC463" t="s">
        <v>134</v>
      </c>
      <c r="DD463" t="s">
        <v>135</v>
      </c>
      <c r="DG463">
        <v>2560639</v>
      </c>
      <c r="DI463">
        <v>0</v>
      </c>
      <c r="DJ463">
        <v>0</v>
      </c>
      <c r="DK463">
        <v>1</v>
      </c>
      <c r="DL463">
        <v>0</v>
      </c>
      <c r="DM463">
        <v>0</v>
      </c>
      <c r="DN463">
        <v>0</v>
      </c>
      <c r="DO463">
        <v>0</v>
      </c>
      <c r="DP463">
        <v>0</v>
      </c>
      <c r="DQ463">
        <v>0</v>
      </c>
      <c r="DR463">
        <v>0</v>
      </c>
      <c r="DS463">
        <v>0</v>
      </c>
    </row>
    <row r="464" spans="1:123" x14ac:dyDescent="0.25">
      <c r="A464" t="str">
        <f>"04/17/2026 15:39:31.149"</f>
        <v>04/17/2026 15:39:31.149</v>
      </c>
      <c r="C464" t="str">
        <f t="shared" si="38"/>
        <v>FFDFD3C0</v>
      </c>
      <c r="D464" t="s">
        <v>136</v>
      </c>
      <c r="E464" t="str">
        <f>"0F"</f>
        <v>0F</v>
      </c>
      <c r="F464">
        <v>1015</v>
      </c>
      <c r="G464" t="s">
        <v>138</v>
      </c>
      <c r="J464" t="s">
        <v>137</v>
      </c>
      <c r="K464">
        <v>0</v>
      </c>
      <c r="L464">
        <v>3</v>
      </c>
      <c r="M464">
        <v>0</v>
      </c>
      <c r="N464">
        <v>2</v>
      </c>
      <c r="O464">
        <v>1</v>
      </c>
      <c r="P464">
        <v>0</v>
      </c>
      <c r="Q464">
        <v>0</v>
      </c>
      <c r="R464" t="s">
        <v>127</v>
      </c>
      <c r="S464" t="str">
        <f>"15:39:30.914"</f>
        <v>15:39:30.914</v>
      </c>
      <c r="T464" t="str">
        <f>"15:39:30.614"</f>
        <v>15:39:30.614</v>
      </c>
      <c r="U464" t="str">
        <f t="shared" si="39"/>
        <v>A55E09</v>
      </c>
      <c r="V464">
        <v>0</v>
      </c>
      <c r="W464">
        <v>0</v>
      </c>
      <c r="X464">
        <v>2</v>
      </c>
      <c r="Y464">
        <v>0</v>
      </c>
      <c r="AA464">
        <v>0</v>
      </c>
      <c r="AB464">
        <v>9</v>
      </c>
      <c r="AC464">
        <v>3</v>
      </c>
      <c r="AD464">
        <v>0</v>
      </c>
      <c r="AE464">
        <v>9</v>
      </c>
      <c r="AF464" t="s">
        <v>128</v>
      </c>
      <c r="AG464">
        <v>0</v>
      </c>
      <c r="AH464">
        <v>0</v>
      </c>
      <c r="AI464">
        <v>1</v>
      </c>
      <c r="AJ464">
        <v>0</v>
      </c>
      <c r="AK464" t="s">
        <v>363</v>
      </c>
      <c r="AL464">
        <v>33.700839999999999</v>
      </c>
      <c r="AM464" t="s">
        <v>364</v>
      </c>
      <c r="AN464">
        <v>-101.21051799999999</v>
      </c>
      <c r="AO464">
        <v>100</v>
      </c>
      <c r="AP464">
        <v>3200</v>
      </c>
      <c r="AQ464" t="s">
        <v>131</v>
      </c>
      <c r="AR464">
        <v>-2</v>
      </c>
      <c r="AS464">
        <v>93</v>
      </c>
      <c r="AT464">
        <v>-320</v>
      </c>
      <c r="BB464" t="str">
        <f t="shared" si="40"/>
        <v>1200</v>
      </c>
      <c r="BC464">
        <v>1</v>
      </c>
      <c r="BD464" t="str">
        <f t="shared" si="41"/>
        <v xml:space="preserve">N445JS  </v>
      </c>
      <c r="BE464">
        <v>7</v>
      </c>
      <c r="BG464">
        <v>0</v>
      </c>
      <c r="BH464">
        <v>0</v>
      </c>
      <c r="BI464">
        <v>0</v>
      </c>
      <c r="BJ464">
        <v>3000</v>
      </c>
      <c r="BK464">
        <v>-200</v>
      </c>
      <c r="BL464" t="s">
        <v>132</v>
      </c>
      <c r="BM464">
        <v>1</v>
      </c>
      <c r="BN464">
        <v>1</v>
      </c>
      <c r="BO464">
        <v>1</v>
      </c>
      <c r="BP464">
        <v>0</v>
      </c>
      <c r="BT464">
        <v>0</v>
      </c>
      <c r="BU464">
        <v>0</v>
      </c>
      <c r="CE464" t="str">
        <f>"15:39:30.916"</f>
        <v>15:39:30.916</v>
      </c>
      <c r="CF464">
        <v>916446295</v>
      </c>
      <c r="CS464">
        <v>0</v>
      </c>
      <c r="CT464">
        <v>2</v>
      </c>
      <c r="CU464">
        <v>0</v>
      </c>
      <c r="CV464">
        <v>2</v>
      </c>
      <c r="CW464">
        <v>0</v>
      </c>
      <c r="CX464">
        <v>7</v>
      </c>
      <c r="CY464">
        <v>7</v>
      </c>
      <c r="CZ464" t="s">
        <v>133</v>
      </c>
      <c r="DA464">
        <v>125</v>
      </c>
      <c r="DB464">
        <v>1</v>
      </c>
      <c r="DC464" t="s">
        <v>134</v>
      </c>
      <c r="DD464" t="s">
        <v>135</v>
      </c>
      <c r="DG464">
        <v>2560639</v>
      </c>
      <c r="DI464">
        <v>0</v>
      </c>
      <c r="DJ464">
        <v>0</v>
      </c>
      <c r="DK464">
        <v>1</v>
      </c>
      <c r="DL464">
        <v>0</v>
      </c>
      <c r="DM464">
        <v>0</v>
      </c>
      <c r="DN464">
        <v>0</v>
      </c>
      <c r="DO464">
        <v>0</v>
      </c>
      <c r="DP464">
        <v>0</v>
      </c>
      <c r="DQ464">
        <v>0</v>
      </c>
      <c r="DR464">
        <v>0</v>
      </c>
      <c r="DS464">
        <v>0</v>
      </c>
    </row>
    <row r="465" spans="1:123" x14ac:dyDescent="0.25">
      <c r="A465" t="str">
        <f>"04/17/2026 15:39:31.162"</f>
        <v>04/17/2026 15:39:31.162</v>
      </c>
      <c r="C465" t="str">
        <f t="shared" si="38"/>
        <v>FFDFD3C0</v>
      </c>
      <c r="D465" t="s">
        <v>124</v>
      </c>
      <c r="E465" t="str">
        <f>"03"</f>
        <v>03</v>
      </c>
      <c r="H465">
        <v>160</v>
      </c>
      <c r="I465" t="s">
        <v>125</v>
      </c>
      <c r="J465" t="s">
        <v>126</v>
      </c>
      <c r="K465">
        <v>0</v>
      </c>
      <c r="L465">
        <v>3</v>
      </c>
      <c r="M465">
        <v>0</v>
      </c>
      <c r="N465">
        <v>2</v>
      </c>
      <c r="O465">
        <v>1</v>
      </c>
      <c r="P465">
        <v>0</v>
      </c>
      <c r="Q465">
        <v>0</v>
      </c>
      <c r="R465" t="s">
        <v>127</v>
      </c>
      <c r="S465" t="str">
        <f>"15:39:30.914"</f>
        <v>15:39:30.914</v>
      </c>
      <c r="T465" t="str">
        <f>"15:39:30.614"</f>
        <v>15:39:30.614</v>
      </c>
      <c r="U465" t="str">
        <f t="shared" si="39"/>
        <v>A55E09</v>
      </c>
      <c r="V465">
        <v>0</v>
      </c>
      <c r="W465">
        <v>0</v>
      </c>
      <c r="X465">
        <v>2</v>
      </c>
      <c r="Y465">
        <v>0</v>
      </c>
      <c r="AA465">
        <v>0</v>
      </c>
      <c r="AB465">
        <v>9</v>
      </c>
      <c r="AC465">
        <v>3</v>
      </c>
      <c r="AD465">
        <v>0</v>
      </c>
      <c r="AE465">
        <v>9</v>
      </c>
      <c r="AF465" t="s">
        <v>128</v>
      </c>
      <c r="AG465">
        <v>0</v>
      </c>
      <c r="AH465">
        <v>0</v>
      </c>
      <c r="AI465">
        <v>1</v>
      </c>
      <c r="AJ465">
        <v>0</v>
      </c>
      <c r="AK465" t="s">
        <v>363</v>
      </c>
      <c r="AL465">
        <v>33.700839999999999</v>
      </c>
      <c r="AM465" t="s">
        <v>364</v>
      </c>
      <c r="AN465">
        <v>-101.21051799999999</v>
      </c>
      <c r="AO465">
        <v>100</v>
      </c>
      <c r="AP465">
        <v>3200</v>
      </c>
      <c r="AQ465" t="s">
        <v>131</v>
      </c>
      <c r="AR465">
        <v>-2</v>
      </c>
      <c r="AS465">
        <v>93</v>
      </c>
      <c r="AT465">
        <v>-320</v>
      </c>
      <c r="BB465" t="str">
        <f t="shared" si="40"/>
        <v>1200</v>
      </c>
      <c r="BC465">
        <v>1</v>
      </c>
      <c r="BD465" t="str">
        <f t="shared" si="41"/>
        <v xml:space="preserve">N445JS  </v>
      </c>
      <c r="BE465">
        <v>7</v>
      </c>
      <c r="BG465">
        <v>0</v>
      </c>
      <c r="BH465">
        <v>0</v>
      </c>
      <c r="BI465">
        <v>0</v>
      </c>
      <c r="BJ465">
        <v>3000</v>
      </c>
      <c r="BK465">
        <v>-200</v>
      </c>
      <c r="BL465" t="s">
        <v>132</v>
      </c>
      <c r="BM465">
        <v>1</v>
      </c>
      <c r="BN465">
        <v>1</v>
      </c>
      <c r="BO465">
        <v>1</v>
      </c>
      <c r="BP465">
        <v>0</v>
      </c>
      <c r="BT465">
        <v>0</v>
      </c>
      <c r="BU465">
        <v>0</v>
      </c>
      <c r="CE465" t="str">
        <f>"15:39:30.916"</f>
        <v>15:39:30.916</v>
      </c>
      <c r="CF465">
        <v>916446295</v>
      </c>
      <c r="CS465">
        <v>0</v>
      </c>
      <c r="CT465">
        <v>2</v>
      </c>
      <c r="CU465">
        <v>0</v>
      </c>
      <c r="CV465">
        <v>2</v>
      </c>
      <c r="CW465">
        <v>0</v>
      </c>
      <c r="CX465">
        <v>7</v>
      </c>
      <c r="CY465">
        <v>7</v>
      </c>
      <c r="CZ465" t="s">
        <v>133</v>
      </c>
      <c r="DA465">
        <v>125</v>
      </c>
      <c r="DB465">
        <v>1</v>
      </c>
      <c r="DC465" t="s">
        <v>134</v>
      </c>
      <c r="DD465" t="s">
        <v>135</v>
      </c>
      <c r="DG465">
        <v>2560639</v>
      </c>
      <c r="DI465">
        <v>0</v>
      </c>
      <c r="DJ465">
        <v>0</v>
      </c>
      <c r="DK465">
        <v>1</v>
      </c>
      <c r="DL465">
        <v>0</v>
      </c>
      <c r="DM465">
        <v>0</v>
      </c>
      <c r="DN465">
        <v>0</v>
      </c>
      <c r="DO465">
        <v>0</v>
      </c>
      <c r="DP465">
        <v>0</v>
      </c>
      <c r="DQ465">
        <v>0</v>
      </c>
      <c r="DR465">
        <v>0</v>
      </c>
      <c r="DS465">
        <v>0</v>
      </c>
    </row>
    <row r="466" spans="1:123" x14ac:dyDescent="0.25">
      <c r="A466" t="str">
        <f>"04/17/2026 15:39:32.338"</f>
        <v>04/17/2026 15:39:32.338</v>
      </c>
      <c r="C466" t="str">
        <f t="shared" si="38"/>
        <v>FFDFD3C0</v>
      </c>
      <c r="D466" t="s">
        <v>136</v>
      </c>
      <c r="E466" t="str">
        <f>"0E"</f>
        <v>0E</v>
      </c>
      <c r="F466">
        <v>1014</v>
      </c>
      <c r="G466" t="s">
        <v>125</v>
      </c>
      <c r="J466" t="s">
        <v>137</v>
      </c>
      <c r="K466">
        <v>0</v>
      </c>
      <c r="L466">
        <v>3</v>
      </c>
      <c r="M466">
        <v>0</v>
      </c>
      <c r="N466">
        <v>2</v>
      </c>
      <c r="O466">
        <v>1</v>
      </c>
      <c r="P466">
        <v>0</v>
      </c>
      <c r="Q466">
        <v>0</v>
      </c>
      <c r="R466" t="s">
        <v>127</v>
      </c>
      <c r="S466" t="str">
        <f>"15:39:32.070"</f>
        <v>15:39:32.070</v>
      </c>
      <c r="T466" t="str">
        <f>"15:39:31.670"</f>
        <v>15:39:31.670</v>
      </c>
      <c r="U466" t="str">
        <f t="shared" si="39"/>
        <v>A55E09</v>
      </c>
      <c r="V466">
        <v>0</v>
      </c>
      <c r="W466">
        <v>0</v>
      </c>
      <c r="X466">
        <v>2</v>
      </c>
      <c r="Y466">
        <v>0</v>
      </c>
      <c r="AA466">
        <v>0</v>
      </c>
      <c r="AB466">
        <v>9</v>
      </c>
      <c r="AC466">
        <v>3</v>
      </c>
      <c r="AD466">
        <v>0</v>
      </c>
      <c r="AE466">
        <v>9</v>
      </c>
      <c r="AF466" t="s">
        <v>128</v>
      </c>
      <c r="AG466">
        <v>0</v>
      </c>
      <c r="AH466">
        <v>0</v>
      </c>
      <c r="AI466">
        <v>1</v>
      </c>
      <c r="AJ466">
        <v>0</v>
      </c>
      <c r="AK466" t="s">
        <v>365</v>
      </c>
      <c r="AL466">
        <v>33.701312999999999</v>
      </c>
      <c r="AM466" t="s">
        <v>364</v>
      </c>
      <c r="AN466">
        <v>-101.21051799999999</v>
      </c>
      <c r="AO466">
        <v>100</v>
      </c>
      <c r="AP466">
        <v>3200</v>
      </c>
      <c r="AQ466" t="s">
        <v>131</v>
      </c>
      <c r="AR466">
        <v>-2</v>
      </c>
      <c r="AS466">
        <v>93</v>
      </c>
      <c r="AT466">
        <v>-256</v>
      </c>
      <c r="BB466" t="str">
        <f t="shared" si="40"/>
        <v>1200</v>
      </c>
      <c r="BC466">
        <v>1</v>
      </c>
      <c r="BD466" t="str">
        <f t="shared" si="41"/>
        <v xml:space="preserve">N445JS  </v>
      </c>
      <c r="BE466">
        <v>7</v>
      </c>
      <c r="BG466">
        <v>0</v>
      </c>
      <c r="BH466">
        <v>0</v>
      </c>
      <c r="BI466">
        <v>0</v>
      </c>
      <c r="BJ466">
        <v>3000</v>
      </c>
      <c r="BK466">
        <v>-200</v>
      </c>
      <c r="BL466" t="s">
        <v>132</v>
      </c>
      <c r="BM466">
        <v>1</v>
      </c>
      <c r="BN466">
        <v>1</v>
      </c>
      <c r="BO466">
        <v>1</v>
      </c>
      <c r="BP466">
        <v>0</v>
      </c>
      <c r="BT466">
        <v>0</v>
      </c>
      <c r="BU466">
        <v>0</v>
      </c>
      <c r="CE466" t="str">
        <f>"15:39:32.071"</f>
        <v>15:39:32.071</v>
      </c>
      <c r="CF466">
        <v>71333122</v>
      </c>
      <c r="CS466">
        <v>0</v>
      </c>
      <c r="CT466">
        <v>2</v>
      </c>
      <c r="CU466">
        <v>0</v>
      </c>
      <c r="CV466">
        <v>2</v>
      </c>
      <c r="CW466">
        <v>0</v>
      </c>
      <c r="CX466">
        <v>7</v>
      </c>
      <c r="CY466">
        <v>7</v>
      </c>
      <c r="CZ466" t="s">
        <v>133</v>
      </c>
      <c r="DA466">
        <v>125</v>
      </c>
      <c r="DB466">
        <v>1</v>
      </c>
      <c r="DC466" t="s">
        <v>134</v>
      </c>
      <c r="DD466" t="s">
        <v>135</v>
      </c>
      <c r="DG466">
        <v>2561858</v>
      </c>
      <c r="DI466">
        <v>0</v>
      </c>
      <c r="DJ466">
        <v>0</v>
      </c>
      <c r="DK466">
        <v>0</v>
      </c>
      <c r="DL466">
        <v>0</v>
      </c>
      <c r="DM466">
        <v>0</v>
      </c>
      <c r="DN466">
        <v>0</v>
      </c>
      <c r="DO466">
        <v>0</v>
      </c>
      <c r="DP466">
        <v>0</v>
      </c>
      <c r="DQ466">
        <v>0</v>
      </c>
      <c r="DR466">
        <v>0</v>
      </c>
      <c r="DS466">
        <v>0</v>
      </c>
    </row>
    <row r="467" spans="1:123" x14ac:dyDescent="0.25">
      <c r="A467" t="str">
        <f>"04/17/2026 15:39:32.346"</f>
        <v>04/17/2026 15:39:32.346</v>
      </c>
      <c r="C467" t="str">
        <f t="shared" si="38"/>
        <v>FFDFD3C0</v>
      </c>
      <c r="D467" t="s">
        <v>139</v>
      </c>
      <c r="E467" t="str">
        <f>"28"</f>
        <v>28</v>
      </c>
      <c r="H467">
        <v>140</v>
      </c>
      <c r="I467" t="s">
        <v>140</v>
      </c>
      <c r="J467" t="s">
        <v>141</v>
      </c>
      <c r="K467">
        <v>0</v>
      </c>
      <c r="L467">
        <v>3</v>
      </c>
      <c r="M467">
        <v>0</v>
      </c>
      <c r="N467">
        <v>2</v>
      </c>
      <c r="O467">
        <v>1</v>
      </c>
      <c r="P467">
        <v>0</v>
      </c>
      <c r="Q467">
        <v>0</v>
      </c>
      <c r="R467" t="s">
        <v>127</v>
      </c>
      <c r="S467" t="str">
        <f>"15:39:32.070"</f>
        <v>15:39:32.070</v>
      </c>
      <c r="T467" t="str">
        <f>"15:39:31.670"</f>
        <v>15:39:31.670</v>
      </c>
      <c r="U467" t="str">
        <f t="shared" si="39"/>
        <v>A55E09</v>
      </c>
      <c r="V467">
        <v>0</v>
      </c>
      <c r="W467">
        <v>0</v>
      </c>
      <c r="X467">
        <v>2</v>
      </c>
      <c r="Y467">
        <v>0</v>
      </c>
      <c r="AA467">
        <v>0</v>
      </c>
      <c r="AB467">
        <v>9</v>
      </c>
      <c r="AC467">
        <v>3</v>
      </c>
      <c r="AD467">
        <v>0</v>
      </c>
      <c r="AE467">
        <v>9</v>
      </c>
      <c r="AF467" t="s">
        <v>128</v>
      </c>
      <c r="AG467">
        <v>0</v>
      </c>
      <c r="AH467">
        <v>0</v>
      </c>
      <c r="AI467">
        <v>1</v>
      </c>
      <c r="AJ467">
        <v>0</v>
      </c>
      <c r="AK467" t="s">
        <v>365</v>
      </c>
      <c r="AL467">
        <v>33.701312999999999</v>
      </c>
      <c r="AM467" t="s">
        <v>364</v>
      </c>
      <c r="AN467">
        <v>-101.21051799999999</v>
      </c>
      <c r="AO467">
        <v>100</v>
      </c>
      <c r="AP467">
        <v>3200</v>
      </c>
      <c r="AQ467" t="s">
        <v>131</v>
      </c>
      <c r="AR467">
        <v>-2</v>
      </c>
      <c r="AS467">
        <v>93</v>
      </c>
      <c r="AT467">
        <v>-256</v>
      </c>
      <c r="BB467" t="str">
        <f t="shared" si="40"/>
        <v>1200</v>
      </c>
      <c r="BC467">
        <v>1</v>
      </c>
      <c r="BD467" t="str">
        <f t="shared" si="41"/>
        <v xml:space="preserve">N445JS  </v>
      </c>
      <c r="BE467">
        <v>7</v>
      </c>
      <c r="BG467">
        <v>0</v>
      </c>
      <c r="BH467">
        <v>0</v>
      </c>
      <c r="BI467">
        <v>0</v>
      </c>
      <c r="BJ467">
        <v>3000</v>
      </c>
      <c r="BK467">
        <v>-200</v>
      </c>
      <c r="BL467" t="s">
        <v>132</v>
      </c>
      <c r="BM467">
        <v>1</v>
      </c>
      <c r="BN467">
        <v>1</v>
      </c>
      <c r="BO467">
        <v>1</v>
      </c>
      <c r="BP467">
        <v>0</v>
      </c>
      <c r="BT467">
        <v>0</v>
      </c>
      <c r="BU467">
        <v>0</v>
      </c>
      <c r="CE467" t="str">
        <f>"15:39:32.071"</f>
        <v>15:39:32.071</v>
      </c>
      <c r="CF467">
        <v>71333122</v>
      </c>
      <c r="CS467">
        <v>0</v>
      </c>
      <c r="CT467">
        <v>2</v>
      </c>
      <c r="CU467">
        <v>0</v>
      </c>
      <c r="CV467">
        <v>2</v>
      </c>
      <c r="CW467">
        <v>0</v>
      </c>
      <c r="CX467">
        <v>7</v>
      </c>
      <c r="CY467">
        <v>7</v>
      </c>
      <c r="CZ467" t="s">
        <v>133</v>
      </c>
      <c r="DA467">
        <v>125</v>
      </c>
      <c r="DB467">
        <v>1</v>
      </c>
      <c r="DC467" t="s">
        <v>134</v>
      </c>
      <c r="DD467" t="s">
        <v>135</v>
      </c>
      <c r="DG467">
        <v>2561858</v>
      </c>
      <c r="DI467">
        <v>0</v>
      </c>
      <c r="DJ467">
        <v>0</v>
      </c>
      <c r="DK467">
        <v>1</v>
      </c>
      <c r="DL467">
        <v>0</v>
      </c>
      <c r="DM467">
        <v>0</v>
      </c>
      <c r="DN467">
        <v>0</v>
      </c>
      <c r="DO467">
        <v>0</v>
      </c>
      <c r="DP467">
        <v>0</v>
      </c>
      <c r="DQ467">
        <v>0</v>
      </c>
      <c r="DR467">
        <v>0</v>
      </c>
      <c r="DS467">
        <v>0</v>
      </c>
    </row>
    <row r="468" spans="1:123" x14ac:dyDescent="0.25">
      <c r="A468" t="str">
        <f>"04/17/2026 15:39:32.351"</f>
        <v>04/17/2026 15:39:32.351</v>
      </c>
      <c r="C468" t="str">
        <f t="shared" si="38"/>
        <v>FFDFD3C0</v>
      </c>
      <c r="D468" t="s">
        <v>136</v>
      </c>
      <c r="E468" t="str">
        <f>"0F"</f>
        <v>0F</v>
      </c>
      <c r="F468">
        <v>1015</v>
      </c>
      <c r="G468" t="s">
        <v>138</v>
      </c>
      <c r="J468" t="s">
        <v>137</v>
      </c>
      <c r="K468">
        <v>0</v>
      </c>
      <c r="L468">
        <v>3</v>
      </c>
      <c r="M468">
        <v>0</v>
      </c>
      <c r="N468">
        <v>2</v>
      </c>
      <c r="O468">
        <v>1</v>
      </c>
      <c r="P468">
        <v>0</v>
      </c>
      <c r="Q468">
        <v>0</v>
      </c>
      <c r="R468" t="s">
        <v>127</v>
      </c>
      <c r="S468" t="str">
        <f>"15:39:32.070"</f>
        <v>15:39:32.070</v>
      </c>
      <c r="T468" t="str">
        <f>"15:39:31.670"</f>
        <v>15:39:31.670</v>
      </c>
      <c r="U468" t="str">
        <f t="shared" si="39"/>
        <v>A55E09</v>
      </c>
      <c r="V468">
        <v>0</v>
      </c>
      <c r="W468">
        <v>0</v>
      </c>
      <c r="X468">
        <v>2</v>
      </c>
      <c r="Y468">
        <v>0</v>
      </c>
      <c r="AA468">
        <v>0</v>
      </c>
      <c r="AB468">
        <v>9</v>
      </c>
      <c r="AC468">
        <v>3</v>
      </c>
      <c r="AD468">
        <v>0</v>
      </c>
      <c r="AE468">
        <v>9</v>
      </c>
      <c r="AF468" t="s">
        <v>128</v>
      </c>
      <c r="AG468">
        <v>0</v>
      </c>
      <c r="AH468">
        <v>0</v>
      </c>
      <c r="AI468">
        <v>1</v>
      </c>
      <c r="AJ468">
        <v>0</v>
      </c>
      <c r="AK468" t="s">
        <v>365</v>
      </c>
      <c r="AL468">
        <v>33.701312999999999</v>
      </c>
      <c r="AM468" t="s">
        <v>364</v>
      </c>
      <c r="AN468">
        <v>-101.21051799999999</v>
      </c>
      <c r="AO468">
        <v>100</v>
      </c>
      <c r="AP468">
        <v>3200</v>
      </c>
      <c r="AQ468" t="s">
        <v>131</v>
      </c>
      <c r="AR468">
        <v>-2</v>
      </c>
      <c r="AS468">
        <v>93</v>
      </c>
      <c r="AT468">
        <v>-256</v>
      </c>
      <c r="BB468" t="str">
        <f t="shared" si="40"/>
        <v>1200</v>
      </c>
      <c r="BC468">
        <v>1</v>
      </c>
      <c r="BD468" t="str">
        <f t="shared" si="41"/>
        <v xml:space="preserve">N445JS  </v>
      </c>
      <c r="BE468">
        <v>7</v>
      </c>
      <c r="BG468">
        <v>0</v>
      </c>
      <c r="BH468">
        <v>0</v>
      </c>
      <c r="BI468">
        <v>0</v>
      </c>
      <c r="BJ468">
        <v>3000</v>
      </c>
      <c r="BK468">
        <v>-200</v>
      </c>
      <c r="BL468" t="s">
        <v>132</v>
      </c>
      <c r="BM468">
        <v>1</v>
      </c>
      <c r="BN468">
        <v>1</v>
      </c>
      <c r="BO468">
        <v>1</v>
      </c>
      <c r="BP468">
        <v>0</v>
      </c>
      <c r="BT468">
        <v>0</v>
      </c>
      <c r="BU468">
        <v>0</v>
      </c>
      <c r="CE468" t="str">
        <f>"15:39:32.071"</f>
        <v>15:39:32.071</v>
      </c>
      <c r="CF468">
        <v>71333122</v>
      </c>
      <c r="CS468">
        <v>0</v>
      </c>
      <c r="CT468">
        <v>2</v>
      </c>
      <c r="CU468">
        <v>0</v>
      </c>
      <c r="CV468">
        <v>2</v>
      </c>
      <c r="CW468">
        <v>0</v>
      </c>
      <c r="CX468">
        <v>7</v>
      </c>
      <c r="CY468">
        <v>7</v>
      </c>
      <c r="CZ468" t="s">
        <v>133</v>
      </c>
      <c r="DA468">
        <v>125</v>
      </c>
      <c r="DB468">
        <v>1</v>
      </c>
      <c r="DC468" t="s">
        <v>134</v>
      </c>
      <c r="DD468" t="s">
        <v>135</v>
      </c>
      <c r="DG468">
        <v>2561858</v>
      </c>
      <c r="DI468">
        <v>0</v>
      </c>
      <c r="DJ468">
        <v>0</v>
      </c>
      <c r="DK468">
        <v>1</v>
      </c>
      <c r="DL468">
        <v>0</v>
      </c>
      <c r="DM468">
        <v>0</v>
      </c>
      <c r="DN468">
        <v>0</v>
      </c>
      <c r="DO468">
        <v>0</v>
      </c>
      <c r="DP468">
        <v>0</v>
      </c>
      <c r="DQ468">
        <v>0</v>
      </c>
      <c r="DR468">
        <v>0</v>
      </c>
      <c r="DS468">
        <v>0</v>
      </c>
    </row>
    <row r="469" spans="1:123" x14ac:dyDescent="0.25">
      <c r="A469" t="str">
        <f>"04/17/2026 15:39:32.364"</f>
        <v>04/17/2026 15:39:32.364</v>
      </c>
      <c r="C469" t="str">
        <f t="shared" si="38"/>
        <v>FFDFD3C0</v>
      </c>
      <c r="D469" t="s">
        <v>124</v>
      </c>
      <c r="E469" t="str">
        <f>"03"</f>
        <v>03</v>
      </c>
      <c r="H469">
        <v>160</v>
      </c>
      <c r="I469" t="s">
        <v>125</v>
      </c>
      <c r="J469" t="s">
        <v>126</v>
      </c>
      <c r="K469">
        <v>0</v>
      </c>
      <c r="L469">
        <v>3</v>
      </c>
      <c r="M469">
        <v>0</v>
      </c>
      <c r="N469">
        <v>2</v>
      </c>
      <c r="O469">
        <v>1</v>
      </c>
      <c r="P469">
        <v>0</v>
      </c>
      <c r="Q469">
        <v>0</v>
      </c>
      <c r="R469" t="s">
        <v>127</v>
      </c>
      <c r="S469" t="str">
        <f>"15:39:32.070"</f>
        <v>15:39:32.070</v>
      </c>
      <c r="T469" t="str">
        <f>"15:39:31.670"</f>
        <v>15:39:31.670</v>
      </c>
      <c r="U469" t="str">
        <f t="shared" si="39"/>
        <v>A55E09</v>
      </c>
      <c r="V469">
        <v>0</v>
      </c>
      <c r="W469">
        <v>0</v>
      </c>
      <c r="X469">
        <v>2</v>
      </c>
      <c r="Y469">
        <v>0</v>
      </c>
      <c r="AA469">
        <v>0</v>
      </c>
      <c r="AB469">
        <v>9</v>
      </c>
      <c r="AC469">
        <v>3</v>
      </c>
      <c r="AD469">
        <v>0</v>
      </c>
      <c r="AE469">
        <v>9</v>
      </c>
      <c r="AF469" t="s">
        <v>128</v>
      </c>
      <c r="AG469">
        <v>0</v>
      </c>
      <c r="AH469">
        <v>0</v>
      </c>
      <c r="AI469">
        <v>1</v>
      </c>
      <c r="AJ469">
        <v>0</v>
      </c>
      <c r="AK469" t="s">
        <v>365</v>
      </c>
      <c r="AL469">
        <v>33.701312999999999</v>
      </c>
      <c r="AM469" t="s">
        <v>364</v>
      </c>
      <c r="AN469">
        <v>-101.21051799999999</v>
      </c>
      <c r="AO469">
        <v>100</v>
      </c>
      <c r="AP469">
        <v>3200</v>
      </c>
      <c r="AQ469" t="s">
        <v>131</v>
      </c>
      <c r="AR469">
        <v>-2</v>
      </c>
      <c r="AS469">
        <v>93</v>
      </c>
      <c r="AT469">
        <v>-256</v>
      </c>
      <c r="BB469" t="str">
        <f t="shared" si="40"/>
        <v>1200</v>
      </c>
      <c r="BC469">
        <v>1</v>
      </c>
      <c r="BD469" t="str">
        <f t="shared" si="41"/>
        <v xml:space="preserve">N445JS  </v>
      </c>
      <c r="BE469">
        <v>7</v>
      </c>
      <c r="BG469">
        <v>0</v>
      </c>
      <c r="BH469">
        <v>0</v>
      </c>
      <c r="BI469">
        <v>0</v>
      </c>
      <c r="BJ469">
        <v>3000</v>
      </c>
      <c r="BK469">
        <v>-200</v>
      </c>
      <c r="BL469" t="s">
        <v>132</v>
      </c>
      <c r="BM469">
        <v>1</v>
      </c>
      <c r="BN469">
        <v>1</v>
      </c>
      <c r="BO469">
        <v>1</v>
      </c>
      <c r="BP469">
        <v>0</v>
      </c>
      <c r="BT469">
        <v>0</v>
      </c>
      <c r="BU469">
        <v>0</v>
      </c>
      <c r="CE469" t="str">
        <f>"15:39:32.071"</f>
        <v>15:39:32.071</v>
      </c>
      <c r="CF469">
        <v>71333122</v>
      </c>
      <c r="CS469">
        <v>0</v>
      </c>
      <c r="CT469">
        <v>2</v>
      </c>
      <c r="CU469">
        <v>0</v>
      </c>
      <c r="CV469">
        <v>2</v>
      </c>
      <c r="CW469">
        <v>0</v>
      </c>
      <c r="CX469">
        <v>7</v>
      </c>
      <c r="CY469">
        <v>7</v>
      </c>
      <c r="CZ469" t="s">
        <v>133</v>
      </c>
      <c r="DA469">
        <v>125</v>
      </c>
      <c r="DB469">
        <v>1</v>
      </c>
      <c r="DC469" t="s">
        <v>134</v>
      </c>
      <c r="DD469" t="s">
        <v>135</v>
      </c>
      <c r="DG469">
        <v>2561858</v>
      </c>
      <c r="DI469">
        <v>0</v>
      </c>
      <c r="DJ469">
        <v>0</v>
      </c>
      <c r="DK469">
        <v>1</v>
      </c>
      <c r="DL469">
        <v>0</v>
      </c>
      <c r="DM469">
        <v>0</v>
      </c>
      <c r="DN469">
        <v>0</v>
      </c>
      <c r="DO469">
        <v>0</v>
      </c>
      <c r="DP469">
        <v>0</v>
      </c>
      <c r="DQ469">
        <v>0</v>
      </c>
      <c r="DR469">
        <v>0</v>
      </c>
      <c r="DS469">
        <v>0</v>
      </c>
    </row>
    <row r="470" spans="1:123" x14ac:dyDescent="0.25">
      <c r="A470" t="str">
        <f>"04/17/2026 15:39:33.340"</f>
        <v>04/17/2026 15:39:33.340</v>
      </c>
      <c r="C470" t="str">
        <f t="shared" si="38"/>
        <v>FFDFD3C0</v>
      </c>
      <c r="D470" t="s">
        <v>136</v>
      </c>
      <c r="E470" t="str">
        <f>"0E"</f>
        <v>0E</v>
      </c>
      <c r="F470">
        <v>1014</v>
      </c>
      <c r="G470" t="s">
        <v>125</v>
      </c>
      <c r="J470" t="s">
        <v>137</v>
      </c>
      <c r="K470">
        <v>0</v>
      </c>
      <c r="L470">
        <v>3</v>
      </c>
      <c r="M470">
        <v>0</v>
      </c>
      <c r="N470">
        <v>2</v>
      </c>
      <c r="O470">
        <v>1</v>
      </c>
      <c r="P470">
        <v>0</v>
      </c>
      <c r="Q470">
        <v>0</v>
      </c>
      <c r="R470" t="s">
        <v>127</v>
      </c>
      <c r="S470" t="str">
        <f t="shared" ref="S470:T473" si="42">"15:39:33.070"</f>
        <v>15:39:33.070</v>
      </c>
      <c r="T470" t="str">
        <f t="shared" si="42"/>
        <v>15:39:33.070</v>
      </c>
      <c r="U470" t="str">
        <f t="shared" si="39"/>
        <v>A55E09</v>
      </c>
      <c r="V470">
        <v>0</v>
      </c>
      <c r="W470">
        <v>0</v>
      </c>
      <c r="X470">
        <v>2</v>
      </c>
      <c r="Y470">
        <v>0</v>
      </c>
      <c r="AA470">
        <v>0</v>
      </c>
      <c r="AB470">
        <v>9</v>
      </c>
      <c r="AC470">
        <v>3</v>
      </c>
      <c r="AD470">
        <v>0</v>
      </c>
      <c r="AE470">
        <v>9</v>
      </c>
      <c r="AF470" t="s">
        <v>128</v>
      </c>
      <c r="AG470">
        <v>0</v>
      </c>
      <c r="AH470">
        <v>0</v>
      </c>
      <c r="AI470">
        <v>1</v>
      </c>
      <c r="AJ470">
        <v>0</v>
      </c>
      <c r="AK470" t="s">
        <v>366</v>
      </c>
      <c r="AL470">
        <v>33.701742000000003</v>
      </c>
      <c r="AM470" t="s">
        <v>362</v>
      </c>
      <c r="AN470">
        <v>-101.210475</v>
      </c>
      <c r="AO470">
        <v>100</v>
      </c>
      <c r="AP470">
        <v>3200</v>
      </c>
      <c r="AQ470" t="s">
        <v>131</v>
      </c>
      <c r="AR470">
        <v>-1</v>
      </c>
      <c r="AS470">
        <v>92</v>
      </c>
      <c r="AT470">
        <v>-192</v>
      </c>
      <c r="BB470" t="str">
        <f t="shared" si="40"/>
        <v>1200</v>
      </c>
      <c r="BC470">
        <v>1</v>
      </c>
      <c r="BD470" t="str">
        <f t="shared" si="41"/>
        <v xml:space="preserve">N445JS  </v>
      </c>
      <c r="BE470">
        <v>7</v>
      </c>
      <c r="BG470">
        <v>0</v>
      </c>
      <c r="BH470">
        <v>0</v>
      </c>
      <c r="BI470">
        <v>0</v>
      </c>
      <c r="BJ470">
        <v>3000</v>
      </c>
      <c r="BK470">
        <v>-200</v>
      </c>
      <c r="BL470" t="s">
        <v>132</v>
      </c>
      <c r="BM470">
        <v>1</v>
      </c>
      <c r="BN470">
        <v>1</v>
      </c>
      <c r="BO470">
        <v>1</v>
      </c>
      <c r="BP470">
        <v>0</v>
      </c>
      <c r="BT470">
        <v>0</v>
      </c>
      <c r="BU470">
        <v>0</v>
      </c>
      <c r="CE470" t="str">
        <f>"15:39:33.076"</f>
        <v>15:39:33.076</v>
      </c>
      <c r="CF470">
        <v>76234640</v>
      </c>
      <c r="CS470">
        <v>0</v>
      </c>
      <c r="CT470">
        <v>2</v>
      </c>
      <c r="CU470">
        <v>0</v>
      </c>
      <c r="CV470">
        <v>2</v>
      </c>
      <c r="CW470">
        <v>0</v>
      </c>
      <c r="CX470">
        <v>7</v>
      </c>
      <c r="CY470">
        <v>7</v>
      </c>
      <c r="CZ470" t="s">
        <v>133</v>
      </c>
      <c r="DA470">
        <v>125</v>
      </c>
      <c r="DB470">
        <v>2</v>
      </c>
      <c r="DC470" t="s">
        <v>134</v>
      </c>
      <c r="DD470" t="s">
        <v>135</v>
      </c>
      <c r="DG470">
        <v>15538747</v>
      </c>
      <c r="DI470">
        <v>0</v>
      </c>
      <c r="DJ470">
        <v>0</v>
      </c>
      <c r="DK470">
        <v>0</v>
      </c>
      <c r="DL470">
        <v>0</v>
      </c>
      <c r="DM470">
        <v>0</v>
      </c>
      <c r="DN470">
        <v>0</v>
      </c>
      <c r="DO470">
        <v>0</v>
      </c>
      <c r="DP470">
        <v>0</v>
      </c>
      <c r="DQ470">
        <v>0</v>
      </c>
      <c r="DR470">
        <v>0</v>
      </c>
      <c r="DS470">
        <v>0</v>
      </c>
    </row>
    <row r="471" spans="1:123" x14ac:dyDescent="0.25">
      <c r="A471" t="str">
        <f>"04/17/2026 15:39:33.348"</f>
        <v>04/17/2026 15:39:33.348</v>
      </c>
      <c r="C471" t="str">
        <f t="shared" si="38"/>
        <v>FFDFD3C0</v>
      </c>
      <c r="D471" t="s">
        <v>139</v>
      </c>
      <c r="E471" t="str">
        <f>"28"</f>
        <v>28</v>
      </c>
      <c r="H471">
        <v>140</v>
      </c>
      <c r="I471" t="s">
        <v>140</v>
      </c>
      <c r="J471" t="s">
        <v>141</v>
      </c>
      <c r="K471">
        <v>0</v>
      </c>
      <c r="L471">
        <v>3</v>
      </c>
      <c r="M471">
        <v>0</v>
      </c>
      <c r="N471">
        <v>2</v>
      </c>
      <c r="O471">
        <v>1</v>
      </c>
      <c r="P471">
        <v>0</v>
      </c>
      <c r="Q471">
        <v>0</v>
      </c>
      <c r="R471" t="s">
        <v>127</v>
      </c>
      <c r="S471" t="str">
        <f t="shared" si="42"/>
        <v>15:39:33.070</v>
      </c>
      <c r="T471" t="str">
        <f t="shared" si="42"/>
        <v>15:39:33.070</v>
      </c>
      <c r="U471" t="str">
        <f t="shared" si="39"/>
        <v>A55E09</v>
      </c>
      <c r="V471">
        <v>0</v>
      </c>
      <c r="W471">
        <v>0</v>
      </c>
      <c r="X471">
        <v>2</v>
      </c>
      <c r="Y471">
        <v>0</v>
      </c>
      <c r="AA471">
        <v>0</v>
      </c>
      <c r="AB471">
        <v>9</v>
      </c>
      <c r="AC471">
        <v>3</v>
      </c>
      <c r="AD471">
        <v>0</v>
      </c>
      <c r="AE471">
        <v>9</v>
      </c>
      <c r="AF471" t="s">
        <v>128</v>
      </c>
      <c r="AG471">
        <v>0</v>
      </c>
      <c r="AH471">
        <v>0</v>
      </c>
      <c r="AI471">
        <v>1</v>
      </c>
      <c r="AJ471">
        <v>0</v>
      </c>
      <c r="AK471" t="s">
        <v>366</v>
      </c>
      <c r="AL471">
        <v>33.701742000000003</v>
      </c>
      <c r="AM471" t="s">
        <v>362</v>
      </c>
      <c r="AN471">
        <v>-101.210475</v>
      </c>
      <c r="AO471">
        <v>100</v>
      </c>
      <c r="AP471">
        <v>3200</v>
      </c>
      <c r="AQ471" t="s">
        <v>131</v>
      </c>
      <c r="AR471">
        <v>-1</v>
      </c>
      <c r="AS471">
        <v>92</v>
      </c>
      <c r="AT471">
        <v>-192</v>
      </c>
      <c r="BB471" t="str">
        <f t="shared" si="40"/>
        <v>1200</v>
      </c>
      <c r="BC471">
        <v>1</v>
      </c>
      <c r="BD471" t="str">
        <f t="shared" si="41"/>
        <v xml:space="preserve">N445JS  </v>
      </c>
      <c r="BE471">
        <v>7</v>
      </c>
      <c r="BG471">
        <v>0</v>
      </c>
      <c r="BH471">
        <v>0</v>
      </c>
      <c r="BI471">
        <v>0</v>
      </c>
      <c r="BJ471">
        <v>3000</v>
      </c>
      <c r="BK471">
        <v>-200</v>
      </c>
      <c r="BL471" t="s">
        <v>132</v>
      </c>
      <c r="BM471">
        <v>1</v>
      </c>
      <c r="BN471">
        <v>1</v>
      </c>
      <c r="BO471">
        <v>1</v>
      </c>
      <c r="BP471">
        <v>0</v>
      </c>
      <c r="BT471">
        <v>0</v>
      </c>
      <c r="BU471">
        <v>0</v>
      </c>
      <c r="CE471" t="str">
        <f>"15:39:33.076"</f>
        <v>15:39:33.076</v>
      </c>
      <c r="CF471">
        <v>76234640</v>
      </c>
      <c r="CS471">
        <v>0</v>
      </c>
      <c r="CT471">
        <v>2</v>
      </c>
      <c r="CU471">
        <v>0</v>
      </c>
      <c r="CV471">
        <v>2</v>
      </c>
      <c r="CW471">
        <v>0</v>
      </c>
      <c r="CX471">
        <v>7</v>
      </c>
      <c r="CY471">
        <v>7</v>
      </c>
      <c r="CZ471" t="s">
        <v>133</v>
      </c>
      <c r="DA471">
        <v>125</v>
      </c>
      <c r="DB471">
        <v>2</v>
      </c>
      <c r="DC471" t="s">
        <v>134</v>
      </c>
      <c r="DD471" t="s">
        <v>135</v>
      </c>
      <c r="DG471">
        <v>15538747</v>
      </c>
      <c r="DI471">
        <v>0</v>
      </c>
      <c r="DJ471">
        <v>0</v>
      </c>
      <c r="DK471">
        <v>1</v>
      </c>
      <c r="DL471">
        <v>0</v>
      </c>
      <c r="DM471">
        <v>0</v>
      </c>
      <c r="DN471">
        <v>0</v>
      </c>
      <c r="DO471">
        <v>0</v>
      </c>
      <c r="DP471">
        <v>0</v>
      </c>
      <c r="DQ471">
        <v>0</v>
      </c>
      <c r="DR471">
        <v>0</v>
      </c>
      <c r="DS471">
        <v>0</v>
      </c>
    </row>
    <row r="472" spans="1:123" x14ac:dyDescent="0.25">
      <c r="A472" t="str">
        <f>"04/17/2026 15:39:33.353"</f>
        <v>04/17/2026 15:39:33.353</v>
      </c>
      <c r="C472" t="str">
        <f t="shared" si="38"/>
        <v>FFDFD3C0</v>
      </c>
      <c r="D472" t="s">
        <v>136</v>
      </c>
      <c r="E472" t="str">
        <f>"0F"</f>
        <v>0F</v>
      </c>
      <c r="F472">
        <v>1015</v>
      </c>
      <c r="G472" t="s">
        <v>138</v>
      </c>
      <c r="J472" t="s">
        <v>137</v>
      </c>
      <c r="K472">
        <v>0</v>
      </c>
      <c r="L472">
        <v>3</v>
      </c>
      <c r="M472">
        <v>0</v>
      </c>
      <c r="N472">
        <v>2</v>
      </c>
      <c r="O472">
        <v>1</v>
      </c>
      <c r="P472">
        <v>0</v>
      </c>
      <c r="Q472">
        <v>0</v>
      </c>
      <c r="R472" t="s">
        <v>127</v>
      </c>
      <c r="S472" t="str">
        <f t="shared" si="42"/>
        <v>15:39:33.070</v>
      </c>
      <c r="T472" t="str">
        <f t="shared" si="42"/>
        <v>15:39:33.070</v>
      </c>
      <c r="U472" t="str">
        <f t="shared" si="39"/>
        <v>A55E09</v>
      </c>
      <c r="V472">
        <v>0</v>
      </c>
      <c r="W472">
        <v>0</v>
      </c>
      <c r="X472">
        <v>2</v>
      </c>
      <c r="Y472">
        <v>0</v>
      </c>
      <c r="AA472">
        <v>0</v>
      </c>
      <c r="AB472">
        <v>9</v>
      </c>
      <c r="AC472">
        <v>3</v>
      </c>
      <c r="AD472">
        <v>0</v>
      </c>
      <c r="AE472">
        <v>9</v>
      </c>
      <c r="AF472" t="s">
        <v>128</v>
      </c>
      <c r="AG472">
        <v>0</v>
      </c>
      <c r="AH472">
        <v>0</v>
      </c>
      <c r="AI472">
        <v>1</v>
      </c>
      <c r="AJ472">
        <v>0</v>
      </c>
      <c r="AK472" t="s">
        <v>366</v>
      </c>
      <c r="AL472">
        <v>33.701742000000003</v>
      </c>
      <c r="AM472" t="s">
        <v>362</v>
      </c>
      <c r="AN472">
        <v>-101.210475</v>
      </c>
      <c r="AO472">
        <v>100</v>
      </c>
      <c r="AP472">
        <v>3200</v>
      </c>
      <c r="AQ472" t="s">
        <v>131</v>
      </c>
      <c r="AR472">
        <v>-1</v>
      </c>
      <c r="AS472">
        <v>92</v>
      </c>
      <c r="AT472">
        <v>-192</v>
      </c>
      <c r="BB472" t="str">
        <f t="shared" si="40"/>
        <v>1200</v>
      </c>
      <c r="BC472">
        <v>1</v>
      </c>
      <c r="BD472" t="str">
        <f t="shared" si="41"/>
        <v xml:space="preserve">N445JS  </v>
      </c>
      <c r="BE472">
        <v>7</v>
      </c>
      <c r="BG472">
        <v>0</v>
      </c>
      <c r="BH472">
        <v>0</v>
      </c>
      <c r="BI472">
        <v>0</v>
      </c>
      <c r="BJ472">
        <v>3000</v>
      </c>
      <c r="BK472">
        <v>-200</v>
      </c>
      <c r="BL472" t="s">
        <v>132</v>
      </c>
      <c r="BM472">
        <v>1</v>
      </c>
      <c r="BN472">
        <v>1</v>
      </c>
      <c r="BO472">
        <v>1</v>
      </c>
      <c r="BP472">
        <v>0</v>
      </c>
      <c r="BT472">
        <v>0</v>
      </c>
      <c r="BU472">
        <v>0</v>
      </c>
      <c r="CE472" t="str">
        <f>"15:39:33.076"</f>
        <v>15:39:33.076</v>
      </c>
      <c r="CF472">
        <v>76234640</v>
      </c>
      <c r="CS472">
        <v>0</v>
      </c>
      <c r="CT472">
        <v>2</v>
      </c>
      <c r="CU472">
        <v>0</v>
      </c>
      <c r="CV472">
        <v>2</v>
      </c>
      <c r="CW472">
        <v>0</v>
      </c>
      <c r="CX472">
        <v>7</v>
      </c>
      <c r="CY472">
        <v>7</v>
      </c>
      <c r="CZ472" t="s">
        <v>133</v>
      </c>
      <c r="DA472">
        <v>125</v>
      </c>
      <c r="DB472">
        <v>2</v>
      </c>
      <c r="DC472" t="s">
        <v>134</v>
      </c>
      <c r="DD472" t="s">
        <v>135</v>
      </c>
      <c r="DG472">
        <v>15538747</v>
      </c>
      <c r="DI472">
        <v>0</v>
      </c>
      <c r="DJ472">
        <v>0</v>
      </c>
      <c r="DK472">
        <v>1</v>
      </c>
      <c r="DL472">
        <v>0</v>
      </c>
      <c r="DM472">
        <v>0</v>
      </c>
      <c r="DN472">
        <v>0</v>
      </c>
      <c r="DO472">
        <v>0</v>
      </c>
      <c r="DP472">
        <v>0</v>
      </c>
      <c r="DQ472">
        <v>0</v>
      </c>
      <c r="DR472">
        <v>0</v>
      </c>
      <c r="DS472">
        <v>0</v>
      </c>
    </row>
    <row r="473" spans="1:123" x14ac:dyDescent="0.25">
      <c r="A473" t="str">
        <f>"04/17/2026 15:39:33.366"</f>
        <v>04/17/2026 15:39:33.366</v>
      </c>
      <c r="C473" t="str">
        <f t="shared" si="38"/>
        <v>FFDFD3C0</v>
      </c>
      <c r="D473" t="s">
        <v>124</v>
      </c>
      <c r="E473" t="str">
        <f>"03"</f>
        <v>03</v>
      </c>
      <c r="H473">
        <v>160</v>
      </c>
      <c r="I473" t="s">
        <v>125</v>
      </c>
      <c r="J473" t="s">
        <v>126</v>
      </c>
      <c r="K473">
        <v>0</v>
      </c>
      <c r="L473">
        <v>3</v>
      </c>
      <c r="M473">
        <v>0</v>
      </c>
      <c r="N473">
        <v>2</v>
      </c>
      <c r="O473">
        <v>1</v>
      </c>
      <c r="P473">
        <v>0</v>
      </c>
      <c r="Q473">
        <v>0</v>
      </c>
      <c r="R473" t="s">
        <v>127</v>
      </c>
      <c r="S473" t="str">
        <f t="shared" si="42"/>
        <v>15:39:33.070</v>
      </c>
      <c r="T473" t="str">
        <f t="shared" si="42"/>
        <v>15:39:33.070</v>
      </c>
      <c r="U473" t="str">
        <f t="shared" si="39"/>
        <v>A55E09</v>
      </c>
      <c r="V473">
        <v>0</v>
      </c>
      <c r="W473">
        <v>0</v>
      </c>
      <c r="X473">
        <v>2</v>
      </c>
      <c r="Y473">
        <v>0</v>
      </c>
      <c r="AA473">
        <v>0</v>
      </c>
      <c r="AB473">
        <v>9</v>
      </c>
      <c r="AC473">
        <v>3</v>
      </c>
      <c r="AD473">
        <v>0</v>
      </c>
      <c r="AE473">
        <v>9</v>
      </c>
      <c r="AF473" t="s">
        <v>128</v>
      </c>
      <c r="AG473">
        <v>0</v>
      </c>
      <c r="AH473">
        <v>0</v>
      </c>
      <c r="AI473">
        <v>1</v>
      </c>
      <c r="AJ473">
        <v>0</v>
      </c>
      <c r="AK473" t="s">
        <v>366</v>
      </c>
      <c r="AL473">
        <v>33.701742000000003</v>
      </c>
      <c r="AM473" t="s">
        <v>362</v>
      </c>
      <c r="AN473">
        <v>-101.210475</v>
      </c>
      <c r="AO473">
        <v>100</v>
      </c>
      <c r="AP473">
        <v>3200</v>
      </c>
      <c r="AQ473" t="s">
        <v>131</v>
      </c>
      <c r="AR473">
        <v>-1</v>
      </c>
      <c r="AS473">
        <v>92</v>
      </c>
      <c r="AT473">
        <v>-192</v>
      </c>
      <c r="BB473" t="str">
        <f t="shared" si="40"/>
        <v>1200</v>
      </c>
      <c r="BC473">
        <v>1</v>
      </c>
      <c r="BD473" t="str">
        <f t="shared" si="41"/>
        <v xml:space="preserve">N445JS  </v>
      </c>
      <c r="BE473">
        <v>7</v>
      </c>
      <c r="BG473">
        <v>0</v>
      </c>
      <c r="BH473">
        <v>0</v>
      </c>
      <c r="BI473">
        <v>0</v>
      </c>
      <c r="BJ473">
        <v>3000</v>
      </c>
      <c r="BK473">
        <v>-200</v>
      </c>
      <c r="BL473" t="s">
        <v>132</v>
      </c>
      <c r="BM473">
        <v>1</v>
      </c>
      <c r="BN473">
        <v>1</v>
      </c>
      <c r="BO473">
        <v>1</v>
      </c>
      <c r="BP473">
        <v>0</v>
      </c>
      <c r="BT473">
        <v>0</v>
      </c>
      <c r="BU473">
        <v>0</v>
      </c>
      <c r="CE473" t="str">
        <f>"15:39:33.076"</f>
        <v>15:39:33.076</v>
      </c>
      <c r="CF473">
        <v>76234640</v>
      </c>
      <c r="CS473">
        <v>0</v>
      </c>
      <c r="CT473">
        <v>2</v>
      </c>
      <c r="CU473">
        <v>0</v>
      </c>
      <c r="CV473">
        <v>2</v>
      </c>
      <c r="CW473">
        <v>0</v>
      </c>
      <c r="CX473">
        <v>7</v>
      </c>
      <c r="CY473">
        <v>7</v>
      </c>
      <c r="CZ473" t="s">
        <v>133</v>
      </c>
      <c r="DA473">
        <v>125</v>
      </c>
      <c r="DB473">
        <v>2</v>
      </c>
      <c r="DC473" t="s">
        <v>134</v>
      </c>
      <c r="DD473" t="s">
        <v>135</v>
      </c>
      <c r="DG473">
        <v>15538747</v>
      </c>
      <c r="DI473">
        <v>0</v>
      </c>
      <c r="DJ473">
        <v>0</v>
      </c>
      <c r="DK473">
        <v>1</v>
      </c>
      <c r="DL473">
        <v>0</v>
      </c>
      <c r="DM473">
        <v>0</v>
      </c>
      <c r="DN473">
        <v>0</v>
      </c>
      <c r="DO473">
        <v>0</v>
      </c>
      <c r="DP473">
        <v>0</v>
      </c>
      <c r="DQ473">
        <v>0</v>
      </c>
      <c r="DR473">
        <v>0</v>
      </c>
      <c r="DS473">
        <v>0</v>
      </c>
    </row>
    <row r="474" spans="1:123" x14ac:dyDescent="0.25">
      <c r="A474" t="str">
        <f>"04/17/2026 15:39:34.355"</f>
        <v>04/17/2026 15:39:34.355</v>
      </c>
      <c r="C474" t="str">
        <f t="shared" si="38"/>
        <v>FFDFD3C0</v>
      </c>
      <c r="D474" t="s">
        <v>136</v>
      </c>
      <c r="E474" t="str">
        <f>"0F"</f>
        <v>0F</v>
      </c>
      <c r="F474">
        <v>1015</v>
      </c>
      <c r="G474" t="s">
        <v>138</v>
      </c>
      <c r="J474" t="s">
        <v>137</v>
      </c>
      <c r="K474">
        <v>0</v>
      </c>
      <c r="L474">
        <v>3</v>
      </c>
      <c r="M474">
        <v>0</v>
      </c>
      <c r="N474">
        <v>2</v>
      </c>
      <c r="O474">
        <v>1</v>
      </c>
      <c r="P474">
        <v>0</v>
      </c>
      <c r="Q474">
        <v>0</v>
      </c>
      <c r="R474" t="s">
        <v>127</v>
      </c>
      <c r="S474" t="str">
        <f t="shared" ref="S474:T477" si="43">"15:39:34.094"</f>
        <v>15:39:34.094</v>
      </c>
      <c r="T474" t="str">
        <f t="shared" si="43"/>
        <v>15:39:34.094</v>
      </c>
      <c r="U474" t="str">
        <f t="shared" si="39"/>
        <v>A55E09</v>
      </c>
      <c r="V474">
        <v>0</v>
      </c>
      <c r="W474">
        <v>0</v>
      </c>
      <c r="X474">
        <v>2</v>
      </c>
      <c r="Y474">
        <v>0</v>
      </c>
      <c r="AA474">
        <v>0</v>
      </c>
      <c r="AB474">
        <v>9</v>
      </c>
      <c r="AC474">
        <v>3</v>
      </c>
      <c r="AD474">
        <v>0</v>
      </c>
      <c r="AE474">
        <v>9</v>
      </c>
      <c r="AF474" t="s">
        <v>128</v>
      </c>
      <c r="AG474">
        <v>0</v>
      </c>
      <c r="AH474">
        <v>0</v>
      </c>
      <c r="AI474">
        <v>1</v>
      </c>
      <c r="AJ474">
        <v>0</v>
      </c>
      <c r="AK474" t="s">
        <v>367</v>
      </c>
      <c r="AL474">
        <v>33.702191999999997</v>
      </c>
      <c r="AM474" t="s">
        <v>364</v>
      </c>
      <c r="AN474">
        <v>-101.21051799999999</v>
      </c>
      <c r="AO474">
        <v>100</v>
      </c>
      <c r="AP474">
        <v>3200</v>
      </c>
      <c r="AQ474" t="s">
        <v>131</v>
      </c>
      <c r="AR474">
        <v>-2</v>
      </c>
      <c r="AS474">
        <v>92</v>
      </c>
      <c r="AT474">
        <v>-128</v>
      </c>
      <c r="BB474" t="str">
        <f t="shared" si="40"/>
        <v>1200</v>
      </c>
      <c r="BC474">
        <v>1</v>
      </c>
      <c r="BD474" t="str">
        <f t="shared" si="41"/>
        <v xml:space="preserve">N445JS  </v>
      </c>
      <c r="BE474">
        <v>7</v>
      </c>
      <c r="BG474">
        <v>0</v>
      </c>
      <c r="BH474">
        <v>0</v>
      </c>
      <c r="BI474">
        <v>0</v>
      </c>
      <c r="BJ474">
        <v>3000</v>
      </c>
      <c r="BK474">
        <v>-200</v>
      </c>
      <c r="BL474" t="s">
        <v>132</v>
      </c>
      <c r="BM474">
        <v>1</v>
      </c>
      <c r="BN474">
        <v>1</v>
      </c>
      <c r="BO474">
        <v>1</v>
      </c>
      <c r="BP474">
        <v>0</v>
      </c>
      <c r="BT474">
        <v>0</v>
      </c>
      <c r="BU474">
        <v>0</v>
      </c>
      <c r="CE474" t="str">
        <f>"15:39:34.096"</f>
        <v>15:39:34.096</v>
      </c>
      <c r="CF474">
        <v>96134689</v>
      </c>
      <c r="CS474">
        <v>0</v>
      </c>
      <c r="CT474">
        <v>2</v>
      </c>
      <c r="CU474">
        <v>0</v>
      </c>
      <c r="CV474">
        <v>2</v>
      </c>
      <c r="CW474">
        <v>0</v>
      </c>
      <c r="CX474">
        <v>7</v>
      </c>
      <c r="CY474">
        <v>7</v>
      </c>
      <c r="CZ474" t="s">
        <v>133</v>
      </c>
      <c r="DA474">
        <v>125</v>
      </c>
      <c r="DB474">
        <v>0</v>
      </c>
      <c r="DC474" t="s">
        <v>134</v>
      </c>
      <c r="DD474" t="s">
        <v>135</v>
      </c>
      <c r="DG474">
        <v>3525487</v>
      </c>
      <c r="DI474">
        <v>0</v>
      </c>
      <c r="DJ474">
        <v>0</v>
      </c>
      <c r="DK474">
        <v>0</v>
      </c>
      <c r="DL474">
        <v>0</v>
      </c>
      <c r="DM474">
        <v>0</v>
      </c>
      <c r="DN474">
        <v>0</v>
      </c>
      <c r="DO474">
        <v>0</v>
      </c>
      <c r="DP474">
        <v>0</v>
      </c>
      <c r="DQ474">
        <v>0</v>
      </c>
      <c r="DR474">
        <v>0</v>
      </c>
      <c r="DS474">
        <v>0</v>
      </c>
    </row>
    <row r="475" spans="1:123" x14ac:dyDescent="0.25">
      <c r="A475" t="str">
        <f>"04/17/2026 15:39:34.367"</f>
        <v>04/17/2026 15:39:34.367</v>
      </c>
      <c r="C475" t="str">
        <f t="shared" si="38"/>
        <v>FFDFD3C0</v>
      </c>
      <c r="D475" t="s">
        <v>124</v>
      </c>
      <c r="E475" t="str">
        <f>"03"</f>
        <v>03</v>
      </c>
      <c r="H475">
        <v>160</v>
      </c>
      <c r="I475" t="s">
        <v>125</v>
      </c>
      <c r="J475" t="s">
        <v>126</v>
      </c>
      <c r="K475">
        <v>0</v>
      </c>
      <c r="L475">
        <v>3</v>
      </c>
      <c r="M475">
        <v>0</v>
      </c>
      <c r="N475">
        <v>2</v>
      </c>
      <c r="O475">
        <v>1</v>
      </c>
      <c r="P475">
        <v>0</v>
      </c>
      <c r="Q475">
        <v>0</v>
      </c>
      <c r="R475" t="s">
        <v>127</v>
      </c>
      <c r="S475" t="str">
        <f t="shared" si="43"/>
        <v>15:39:34.094</v>
      </c>
      <c r="T475" t="str">
        <f t="shared" si="43"/>
        <v>15:39:34.094</v>
      </c>
      <c r="U475" t="str">
        <f t="shared" si="39"/>
        <v>A55E09</v>
      </c>
      <c r="V475">
        <v>0</v>
      </c>
      <c r="W475">
        <v>0</v>
      </c>
      <c r="X475">
        <v>2</v>
      </c>
      <c r="Y475">
        <v>0</v>
      </c>
      <c r="AA475">
        <v>0</v>
      </c>
      <c r="AB475">
        <v>9</v>
      </c>
      <c r="AC475">
        <v>3</v>
      </c>
      <c r="AD475">
        <v>0</v>
      </c>
      <c r="AE475">
        <v>9</v>
      </c>
      <c r="AF475" t="s">
        <v>128</v>
      </c>
      <c r="AG475">
        <v>0</v>
      </c>
      <c r="AH475">
        <v>0</v>
      </c>
      <c r="AI475">
        <v>1</v>
      </c>
      <c r="AJ475">
        <v>0</v>
      </c>
      <c r="AK475" t="s">
        <v>367</v>
      </c>
      <c r="AL475">
        <v>33.702191999999997</v>
      </c>
      <c r="AM475" t="s">
        <v>364</v>
      </c>
      <c r="AN475">
        <v>-101.21051799999999</v>
      </c>
      <c r="AO475">
        <v>100</v>
      </c>
      <c r="AP475">
        <v>3200</v>
      </c>
      <c r="AQ475" t="s">
        <v>131</v>
      </c>
      <c r="AR475">
        <v>-2</v>
      </c>
      <c r="AS475">
        <v>92</v>
      </c>
      <c r="AT475">
        <v>-128</v>
      </c>
      <c r="BB475" t="str">
        <f t="shared" si="40"/>
        <v>1200</v>
      </c>
      <c r="BC475">
        <v>1</v>
      </c>
      <c r="BD475" t="str">
        <f t="shared" si="41"/>
        <v xml:space="preserve">N445JS  </v>
      </c>
      <c r="BE475">
        <v>7</v>
      </c>
      <c r="BG475">
        <v>0</v>
      </c>
      <c r="BH475">
        <v>0</v>
      </c>
      <c r="BI475">
        <v>0</v>
      </c>
      <c r="BJ475">
        <v>3000</v>
      </c>
      <c r="BK475">
        <v>-200</v>
      </c>
      <c r="BL475" t="s">
        <v>132</v>
      </c>
      <c r="BM475">
        <v>1</v>
      </c>
      <c r="BN475">
        <v>1</v>
      </c>
      <c r="BO475">
        <v>1</v>
      </c>
      <c r="BP475">
        <v>0</v>
      </c>
      <c r="BT475">
        <v>0</v>
      </c>
      <c r="BU475">
        <v>0</v>
      </c>
      <c r="CE475" t="str">
        <f>"15:39:34.096"</f>
        <v>15:39:34.096</v>
      </c>
      <c r="CF475">
        <v>96134689</v>
      </c>
      <c r="CS475">
        <v>0</v>
      </c>
      <c r="CT475">
        <v>2</v>
      </c>
      <c r="CU475">
        <v>0</v>
      </c>
      <c r="CV475">
        <v>2</v>
      </c>
      <c r="CW475">
        <v>0</v>
      </c>
      <c r="CX475">
        <v>7</v>
      </c>
      <c r="CY475">
        <v>7</v>
      </c>
      <c r="CZ475" t="s">
        <v>133</v>
      </c>
      <c r="DA475">
        <v>125</v>
      </c>
      <c r="DB475">
        <v>0</v>
      </c>
      <c r="DC475" t="s">
        <v>134</v>
      </c>
      <c r="DD475" t="s">
        <v>135</v>
      </c>
      <c r="DG475">
        <v>3525487</v>
      </c>
      <c r="DI475">
        <v>0</v>
      </c>
      <c r="DJ475">
        <v>0</v>
      </c>
      <c r="DK475">
        <v>1</v>
      </c>
      <c r="DL475">
        <v>0</v>
      </c>
      <c r="DM475">
        <v>0</v>
      </c>
      <c r="DN475">
        <v>0</v>
      </c>
      <c r="DO475">
        <v>0</v>
      </c>
      <c r="DP475">
        <v>0</v>
      </c>
      <c r="DQ475">
        <v>0</v>
      </c>
      <c r="DR475">
        <v>0</v>
      </c>
      <c r="DS475">
        <v>0</v>
      </c>
    </row>
    <row r="476" spans="1:123" x14ac:dyDescent="0.25">
      <c r="A476" t="str">
        <f>"04/17/2026 15:39:34.392"</f>
        <v>04/17/2026 15:39:34.392</v>
      </c>
      <c r="C476" t="str">
        <f t="shared" si="38"/>
        <v>FFDFD3C0</v>
      </c>
      <c r="D476" t="s">
        <v>136</v>
      </c>
      <c r="E476" t="str">
        <f>"0E"</f>
        <v>0E</v>
      </c>
      <c r="F476">
        <v>1014</v>
      </c>
      <c r="G476" t="s">
        <v>125</v>
      </c>
      <c r="J476" t="s">
        <v>137</v>
      </c>
      <c r="K476">
        <v>0</v>
      </c>
      <c r="L476">
        <v>3</v>
      </c>
      <c r="M476">
        <v>0</v>
      </c>
      <c r="N476">
        <v>2</v>
      </c>
      <c r="O476">
        <v>1</v>
      </c>
      <c r="P476">
        <v>0</v>
      </c>
      <c r="Q476">
        <v>0</v>
      </c>
      <c r="R476" t="s">
        <v>127</v>
      </c>
      <c r="S476" t="str">
        <f t="shared" si="43"/>
        <v>15:39:34.094</v>
      </c>
      <c r="T476" t="str">
        <f t="shared" si="43"/>
        <v>15:39:34.094</v>
      </c>
      <c r="U476" t="str">
        <f t="shared" si="39"/>
        <v>A55E09</v>
      </c>
      <c r="V476">
        <v>0</v>
      </c>
      <c r="W476">
        <v>0</v>
      </c>
      <c r="X476">
        <v>2</v>
      </c>
      <c r="Y476">
        <v>0</v>
      </c>
      <c r="AA476">
        <v>0</v>
      </c>
      <c r="AB476">
        <v>9</v>
      </c>
      <c r="AC476">
        <v>3</v>
      </c>
      <c r="AD476">
        <v>0</v>
      </c>
      <c r="AE476">
        <v>9</v>
      </c>
      <c r="AF476" t="s">
        <v>128</v>
      </c>
      <c r="AG476">
        <v>0</v>
      </c>
      <c r="AH476">
        <v>0</v>
      </c>
      <c r="AI476">
        <v>1</v>
      </c>
      <c r="AJ476">
        <v>0</v>
      </c>
      <c r="AK476" t="s">
        <v>367</v>
      </c>
      <c r="AL476">
        <v>33.702191999999997</v>
      </c>
      <c r="AM476" t="s">
        <v>364</v>
      </c>
      <c r="AN476">
        <v>-101.21051799999999</v>
      </c>
      <c r="AO476">
        <v>100</v>
      </c>
      <c r="AP476">
        <v>3200</v>
      </c>
      <c r="AQ476" t="s">
        <v>131</v>
      </c>
      <c r="AR476">
        <v>-2</v>
      </c>
      <c r="AS476">
        <v>92</v>
      </c>
      <c r="AT476">
        <v>-128</v>
      </c>
      <c r="BB476" t="str">
        <f t="shared" si="40"/>
        <v>1200</v>
      </c>
      <c r="BC476">
        <v>1</v>
      </c>
      <c r="BD476" t="str">
        <f t="shared" si="41"/>
        <v xml:space="preserve">N445JS  </v>
      </c>
      <c r="BE476">
        <v>7</v>
      </c>
      <c r="BG476">
        <v>0</v>
      </c>
      <c r="BH476">
        <v>0</v>
      </c>
      <c r="BI476">
        <v>0</v>
      </c>
      <c r="BJ476">
        <v>3000</v>
      </c>
      <c r="BK476">
        <v>-200</v>
      </c>
      <c r="BL476" t="s">
        <v>132</v>
      </c>
      <c r="BM476">
        <v>1</v>
      </c>
      <c r="BN476">
        <v>1</v>
      </c>
      <c r="BO476">
        <v>1</v>
      </c>
      <c r="BP476">
        <v>0</v>
      </c>
      <c r="BT476">
        <v>0</v>
      </c>
      <c r="BU476">
        <v>0</v>
      </c>
      <c r="CE476" t="str">
        <f>"15:39:34.096"</f>
        <v>15:39:34.096</v>
      </c>
      <c r="CF476">
        <v>96134689</v>
      </c>
      <c r="CS476">
        <v>0</v>
      </c>
      <c r="CT476">
        <v>2</v>
      </c>
      <c r="CU476">
        <v>0</v>
      </c>
      <c r="CV476">
        <v>2</v>
      </c>
      <c r="CW476">
        <v>0</v>
      </c>
      <c r="CX476">
        <v>7</v>
      </c>
      <c r="CY476">
        <v>7</v>
      </c>
      <c r="CZ476" t="s">
        <v>133</v>
      </c>
      <c r="DA476">
        <v>125</v>
      </c>
      <c r="DB476">
        <v>0</v>
      </c>
      <c r="DC476" t="s">
        <v>134</v>
      </c>
      <c r="DD476" t="s">
        <v>135</v>
      </c>
      <c r="DG476">
        <v>3525487</v>
      </c>
      <c r="DI476">
        <v>0</v>
      </c>
      <c r="DJ476">
        <v>0</v>
      </c>
      <c r="DK476">
        <v>1</v>
      </c>
      <c r="DL476">
        <v>0</v>
      </c>
      <c r="DM476">
        <v>0</v>
      </c>
      <c r="DN476">
        <v>0</v>
      </c>
      <c r="DO476">
        <v>0</v>
      </c>
      <c r="DP476">
        <v>0</v>
      </c>
      <c r="DQ476">
        <v>0</v>
      </c>
      <c r="DR476">
        <v>0</v>
      </c>
      <c r="DS476">
        <v>0</v>
      </c>
    </row>
    <row r="477" spans="1:123" x14ac:dyDescent="0.25">
      <c r="A477" t="str">
        <f>"04/17/2026 15:39:34.401"</f>
        <v>04/17/2026 15:39:34.401</v>
      </c>
      <c r="C477" t="str">
        <f t="shared" si="38"/>
        <v>FFDFD3C0</v>
      </c>
      <c r="D477" t="s">
        <v>139</v>
      </c>
      <c r="E477" t="str">
        <f>"28"</f>
        <v>28</v>
      </c>
      <c r="H477">
        <v>140</v>
      </c>
      <c r="I477" t="s">
        <v>140</v>
      </c>
      <c r="J477" t="s">
        <v>141</v>
      </c>
      <c r="K477">
        <v>0</v>
      </c>
      <c r="L477">
        <v>3</v>
      </c>
      <c r="M477">
        <v>0</v>
      </c>
      <c r="N477">
        <v>2</v>
      </c>
      <c r="O477">
        <v>1</v>
      </c>
      <c r="P477">
        <v>0</v>
      </c>
      <c r="Q477">
        <v>0</v>
      </c>
      <c r="R477" t="s">
        <v>127</v>
      </c>
      <c r="S477" t="str">
        <f t="shared" si="43"/>
        <v>15:39:34.094</v>
      </c>
      <c r="T477" t="str">
        <f t="shared" si="43"/>
        <v>15:39:34.094</v>
      </c>
      <c r="U477" t="str">
        <f t="shared" si="39"/>
        <v>A55E09</v>
      </c>
      <c r="V477">
        <v>0</v>
      </c>
      <c r="W477">
        <v>0</v>
      </c>
      <c r="X477">
        <v>2</v>
      </c>
      <c r="Y477">
        <v>0</v>
      </c>
      <c r="AA477">
        <v>0</v>
      </c>
      <c r="AB477">
        <v>9</v>
      </c>
      <c r="AC477">
        <v>3</v>
      </c>
      <c r="AD477">
        <v>0</v>
      </c>
      <c r="AE477">
        <v>9</v>
      </c>
      <c r="AF477" t="s">
        <v>128</v>
      </c>
      <c r="AG477">
        <v>0</v>
      </c>
      <c r="AH477">
        <v>0</v>
      </c>
      <c r="AI477">
        <v>1</v>
      </c>
      <c r="AJ477">
        <v>0</v>
      </c>
      <c r="AK477" t="s">
        <v>367</v>
      </c>
      <c r="AL477">
        <v>33.702191999999997</v>
      </c>
      <c r="AM477" t="s">
        <v>364</v>
      </c>
      <c r="AN477">
        <v>-101.21051799999999</v>
      </c>
      <c r="AO477">
        <v>100</v>
      </c>
      <c r="AP477">
        <v>3200</v>
      </c>
      <c r="AQ477" t="s">
        <v>131</v>
      </c>
      <c r="AR477">
        <v>-2</v>
      </c>
      <c r="AS477">
        <v>92</v>
      </c>
      <c r="AT477">
        <v>-128</v>
      </c>
      <c r="BB477" t="str">
        <f t="shared" si="40"/>
        <v>1200</v>
      </c>
      <c r="BC477">
        <v>1</v>
      </c>
      <c r="BD477" t="str">
        <f t="shared" si="41"/>
        <v xml:space="preserve">N445JS  </v>
      </c>
      <c r="BE477">
        <v>7</v>
      </c>
      <c r="BG477">
        <v>0</v>
      </c>
      <c r="BH477">
        <v>0</v>
      </c>
      <c r="BI477">
        <v>0</v>
      </c>
      <c r="BJ477">
        <v>3000</v>
      </c>
      <c r="BK477">
        <v>-200</v>
      </c>
      <c r="BL477" t="s">
        <v>132</v>
      </c>
      <c r="BM477">
        <v>1</v>
      </c>
      <c r="BN477">
        <v>1</v>
      </c>
      <c r="BO477">
        <v>1</v>
      </c>
      <c r="BP477">
        <v>0</v>
      </c>
      <c r="BT477">
        <v>0</v>
      </c>
      <c r="BU477">
        <v>0</v>
      </c>
      <c r="CE477" t="str">
        <f>"15:39:34.096"</f>
        <v>15:39:34.096</v>
      </c>
      <c r="CF477">
        <v>96134689</v>
      </c>
      <c r="CS477">
        <v>0</v>
      </c>
      <c r="CT477">
        <v>2</v>
      </c>
      <c r="CU477">
        <v>0</v>
      </c>
      <c r="CV477">
        <v>2</v>
      </c>
      <c r="CW477">
        <v>0</v>
      </c>
      <c r="CX477">
        <v>7</v>
      </c>
      <c r="CY477">
        <v>7</v>
      </c>
      <c r="CZ477" t="s">
        <v>133</v>
      </c>
      <c r="DA477">
        <v>125</v>
      </c>
      <c r="DB477">
        <v>0</v>
      </c>
      <c r="DC477" t="s">
        <v>134</v>
      </c>
      <c r="DD477" t="s">
        <v>135</v>
      </c>
      <c r="DG477">
        <v>3525487</v>
      </c>
      <c r="DI477">
        <v>0</v>
      </c>
      <c r="DJ477">
        <v>0</v>
      </c>
      <c r="DK477">
        <v>1</v>
      </c>
      <c r="DL477">
        <v>0</v>
      </c>
      <c r="DM477">
        <v>0</v>
      </c>
      <c r="DN477">
        <v>0</v>
      </c>
      <c r="DO477">
        <v>0</v>
      </c>
      <c r="DP477">
        <v>0</v>
      </c>
      <c r="DQ477">
        <v>0</v>
      </c>
      <c r="DR477">
        <v>0</v>
      </c>
      <c r="DS477">
        <v>0</v>
      </c>
    </row>
    <row r="478" spans="1:123" x14ac:dyDescent="0.25">
      <c r="A478" t="str">
        <f>"04/17/2026 15:39:35.319"</f>
        <v>04/17/2026 15:39:35.319</v>
      </c>
      <c r="C478" t="str">
        <f t="shared" si="38"/>
        <v>FFDFD3C0</v>
      </c>
      <c r="D478" t="s">
        <v>124</v>
      </c>
      <c r="E478" t="str">
        <f>"03"</f>
        <v>03</v>
      </c>
      <c r="H478">
        <v>160</v>
      </c>
      <c r="I478" t="s">
        <v>125</v>
      </c>
      <c r="J478" t="s">
        <v>126</v>
      </c>
      <c r="K478">
        <v>0</v>
      </c>
      <c r="L478">
        <v>3</v>
      </c>
      <c r="M478">
        <v>0</v>
      </c>
      <c r="N478">
        <v>2</v>
      </c>
      <c r="O478">
        <v>1</v>
      </c>
      <c r="P478">
        <v>0</v>
      </c>
      <c r="Q478">
        <v>0</v>
      </c>
      <c r="R478" t="s">
        <v>127</v>
      </c>
      <c r="S478" t="str">
        <f>"15:39:35.086"</f>
        <v>15:39:35.086</v>
      </c>
      <c r="T478" t="str">
        <f>"15:39:34.586"</f>
        <v>15:39:34.586</v>
      </c>
      <c r="U478" t="str">
        <f t="shared" si="39"/>
        <v>A55E09</v>
      </c>
      <c r="V478">
        <v>0</v>
      </c>
      <c r="W478">
        <v>0</v>
      </c>
      <c r="X478">
        <v>2</v>
      </c>
      <c r="Y478">
        <v>0</v>
      </c>
      <c r="AA478">
        <v>0</v>
      </c>
      <c r="AB478">
        <v>9</v>
      </c>
      <c r="AC478">
        <v>3</v>
      </c>
      <c r="AD478">
        <v>0</v>
      </c>
      <c r="AE478">
        <v>9</v>
      </c>
      <c r="AF478" t="s">
        <v>128</v>
      </c>
      <c r="AG478">
        <v>0</v>
      </c>
      <c r="AH478">
        <v>0</v>
      </c>
      <c r="AI478">
        <v>1</v>
      </c>
      <c r="AJ478">
        <v>0</v>
      </c>
      <c r="AK478" t="s">
        <v>368</v>
      </c>
      <c r="AL478">
        <v>33.702621000000001</v>
      </c>
      <c r="AM478" t="s">
        <v>369</v>
      </c>
      <c r="AN478">
        <v>-101.210539</v>
      </c>
      <c r="AO478">
        <v>100</v>
      </c>
      <c r="AP478">
        <v>3200</v>
      </c>
      <c r="AQ478" t="s">
        <v>131</v>
      </c>
      <c r="AR478">
        <v>-1</v>
      </c>
      <c r="AS478">
        <v>92</v>
      </c>
      <c r="AT478">
        <v>-192</v>
      </c>
      <c r="BB478" t="str">
        <f t="shared" si="40"/>
        <v>1200</v>
      </c>
      <c r="BC478">
        <v>1</v>
      </c>
      <c r="BD478" t="str">
        <f t="shared" si="41"/>
        <v xml:space="preserve">N445JS  </v>
      </c>
      <c r="BE478">
        <v>7</v>
      </c>
      <c r="BG478">
        <v>0</v>
      </c>
      <c r="BH478">
        <v>0</v>
      </c>
      <c r="BI478">
        <v>0</v>
      </c>
      <c r="BJ478">
        <v>3000</v>
      </c>
      <c r="BK478">
        <v>-200</v>
      </c>
      <c r="BL478" t="s">
        <v>132</v>
      </c>
      <c r="BM478">
        <v>1</v>
      </c>
      <c r="BN478">
        <v>1</v>
      </c>
      <c r="BO478">
        <v>1</v>
      </c>
      <c r="BP478">
        <v>0</v>
      </c>
      <c r="BT478">
        <v>0</v>
      </c>
      <c r="BU478">
        <v>0</v>
      </c>
      <c r="CE478" t="str">
        <f>"15:39:35.086"</f>
        <v>15:39:35.086</v>
      </c>
      <c r="CF478">
        <v>86037690</v>
      </c>
      <c r="CS478">
        <v>0</v>
      </c>
      <c r="CT478">
        <v>2</v>
      </c>
      <c r="CU478">
        <v>0</v>
      </c>
      <c r="CV478">
        <v>2</v>
      </c>
      <c r="CW478">
        <v>0</v>
      </c>
      <c r="CX478">
        <v>7</v>
      </c>
      <c r="CY478">
        <v>7</v>
      </c>
      <c r="CZ478" t="s">
        <v>133</v>
      </c>
      <c r="DA478">
        <v>125</v>
      </c>
      <c r="DB478">
        <v>0</v>
      </c>
      <c r="DC478" t="s">
        <v>134</v>
      </c>
      <c r="DD478" t="s">
        <v>135</v>
      </c>
      <c r="DG478">
        <v>3526598</v>
      </c>
      <c r="DI478">
        <v>0</v>
      </c>
      <c r="DJ478">
        <v>0</v>
      </c>
      <c r="DK478">
        <v>0</v>
      </c>
      <c r="DL478">
        <v>0</v>
      </c>
      <c r="DM478">
        <v>0</v>
      </c>
      <c r="DN478">
        <v>0</v>
      </c>
      <c r="DO478">
        <v>0</v>
      </c>
      <c r="DP478">
        <v>0</v>
      </c>
      <c r="DQ478">
        <v>0</v>
      </c>
      <c r="DR478">
        <v>0</v>
      </c>
      <c r="DS478">
        <v>0</v>
      </c>
    </row>
    <row r="479" spans="1:123" x14ac:dyDescent="0.25">
      <c r="A479" t="str">
        <f>"04/17/2026 15:39:35.343"</f>
        <v>04/17/2026 15:39:35.343</v>
      </c>
      <c r="C479" t="str">
        <f t="shared" si="38"/>
        <v>FFDFD3C0</v>
      </c>
      <c r="D479" t="s">
        <v>136</v>
      </c>
      <c r="E479" t="str">
        <f>"0E"</f>
        <v>0E</v>
      </c>
      <c r="F479">
        <v>1014</v>
      </c>
      <c r="G479" t="s">
        <v>125</v>
      </c>
      <c r="J479" t="s">
        <v>137</v>
      </c>
      <c r="K479">
        <v>0</v>
      </c>
      <c r="L479">
        <v>3</v>
      </c>
      <c r="M479">
        <v>0</v>
      </c>
      <c r="N479">
        <v>2</v>
      </c>
      <c r="O479">
        <v>1</v>
      </c>
      <c r="P479">
        <v>0</v>
      </c>
      <c r="Q479">
        <v>0</v>
      </c>
      <c r="R479" t="s">
        <v>127</v>
      </c>
      <c r="S479" t="str">
        <f>"15:39:35.086"</f>
        <v>15:39:35.086</v>
      </c>
      <c r="T479" t="str">
        <f>"15:39:34.586"</f>
        <v>15:39:34.586</v>
      </c>
      <c r="U479" t="str">
        <f t="shared" si="39"/>
        <v>A55E09</v>
      </c>
      <c r="V479">
        <v>0</v>
      </c>
      <c r="W479">
        <v>0</v>
      </c>
      <c r="X479">
        <v>2</v>
      </c>
      <c r="Y479">
        <v>0</v>
      </c>
      <c r="AA479">
        <v>0</v>
      </c>
      <c r="AB479">
        <v>9</v>
      </c>
      <c r="AC479">
        <v>3</v>
      </c>
      <c r="AD479">
        <v>0</v>
      </c>
      <c r="AE479">
        <v>9</v>
      </c>
      <c r="AF479" t="s">
        <v>128</v>
      </c>
      <c r="AG479">
        <v>0</v>
      </c>
      <c r="AH479">
        <v>0</v>
      </c>
      <c r="AI479">
        <v>1</v>
      </c>
      <c r="AJ479">
        <v>0</v>
      </c>
      <c r="AK479" t="s">
        <v>368</v>
      </c>
      <c r="AL479">
        <v>33.702621000000001</v>
      </c>
      <c r="AM479" t="s">
        <v>369</v>
      </c>
      <c r="AN479">
        <v>-101.210539</v>
      </c>
      <c r="AO479">
        <v>100</v>
      </c>
      <c r="AP479">
        <v>3200</v>
      </c>
      <c r="AQ479" t="s">
        <v>131</v>
      </c>
      <c r="AR479">
        <v>-1</v>
      </c>
      <c r="AS479">
        <v>92</v>
      </c>
      <c r="AT479">
        <v>-192</v>
      </c>
      <c r="BB479" t="str">
        <f t="shared" si="40"/>
        <v>1200</v>
      </c>
      <c r="BC479">
        <v>1</v>
      </c>
      <c r="BD479" t="str">
        <f t="shared" si="41"/>
        <v xml:space="preserve">N445JS  </v>
      </c>
      <c r="BE479">
        <v>7</v>
      </c>
      <c r="BG479">
        <v>0</v>
      </c>
      <c r="BH479">
        <v>0</v>
      </c>
      <c r="BI479">
        <v>0</v>
      </c>
      <c r="BJ479">
        <v>3000</v>
      </c>
      <c r="BK479">
        <v>-200</v>
      </c>
      <c r="BL479" t="s">
        <v>132</v>
      </c>
      <c r="BM479">
        <v>1</v>
      </c>
      <c r="BN479">
        <v>1</v>
      </c>
      <c r="BO479">
        <v>1</v>
      </c>
      <c r="BP479">
        <v>0</v>
      </c>
      <c r="BT479">
        <v>0</v>
      </c>
      <c r="BU479">
        <v>0</v>
      </c>
      <c r="CE479" t="str">
        <f>"15:39:35.086"</f>
        <v>15:39:35.086</v>
      </c>
      <c r="CF479">
        <v>86037690</v>
      </c>
      <c r="CS479">
        <v>0</v>
      </c>
      <c r="CT479">
        <v>2</v>
      </c>
      <c r="CU479">
        <v>0</v>
      </c>
      <c r="CV479">
        <v>2</v>
      </c>
      <c r="CW479">
        <v>0</v>
      </c>
      <c r="CX479">
        <v>7</v>
      </c>
      <c r="CY479">
        <v>7</v>
      </c>
      <c r="CZ479" t="s">
        <v>133</v>
      </c>
      <c r="DA479">
        <v>125</v>
      </c>
      <c r="DB479">
        <v>0</v>
      </c>
      <c r="DC479" t="s">
        <v>134</v>
      </c>
      <c r="DD479" t="s">
        <v>135</v>
      </c>
      <c r="DG479">
        <v>3526598</v>
      </c>
      <c r="DI479">
        <v>0</v>
      </c>
      <c r="DJ479">
        <v>0</v>
      </c>
      <c r="DK479">
        <v>1</v>
      </c>
      <c r="DL479">
        <v>0</v>
      </c>
      <c r="DM479">
        <v>0</v>
      </c>
      <c r="DN479">
        <v>0</v>
      </c>
      <c r="DO479">
        <v>0</v>
      </c>
      <c r="DP479">
        <v>0</v>
      </c>
      <c r="DQ479">
        <v>0</v>
      </c>
      <c r="DR479">
        <v>0</v>
      </c>
      <c r="DS479">
        <v>0</v>
      </c>
    </row>
    <row r="480" spans="1:123" x14ac:dyDescent="0.25">
      <c r="A480" t="str">
        <f>"04/17/2026 15:39:35.352"</f>
        <v>04/17/2026 15:39:35.352</v>
      </c>
      <c r="C480" t="str">
        <f t="shared" si="38"/>
        <v>FFDFD3C0</v>
      </c>
      <c r="D480" t="s">
        <v>139</v>
      </c>
      <c r="E480" t="str">
        <f>"28"</f>
        <v>28</v>
      </c>
      <c r="H480">
        <v>140</v>
      </c>
      <c r="I480" t="s">
        <v>140</v>
      </c>
      <c r="J480" t="s">
        <v>141</v>
      </c>
      <c r="K480">
        <v>0</v>
      </c>
      <c r="L480">
        <v>3</v>
      </c>
      <c r="M480">
        <v>0</v>
      </c>
      <c r="N480">
        <v>2</v>
      </c>
      <c r="O480">
        <v>1</v>
      </c>
      <c r="P480">
        <v>0</v>
      </c>
      <c r="Q480">
        <v>0</v>
      </c>
      <c r="R480" t="s">
        <v>127</v>
      </c>
      <c r="S480" t="str">
        <f>"15:39:35.086"</f>
        <v>15:39:35.086</v>
      </c>
      <c r="T480" t="str">
        <f>"15:39:34.586"</f>
        <v>15:39:34.586</v>
      </c>
      <c r="U480" t="str">
        <f t="shared" si="39"/>
        <v>A55E09</v>
      </c>
      <c r="V480">
        <v>0</v>
      </c>
      <c r="W480">
        <v>0</v>
      </c>
      <c r="X480">
        <v>2</v>
      </c>
      <c r="Y480">
        <v>0</v>
      </c>
      <c r="AA480">
        <v>0</v>
      </c>
      <c r="AB480">
        <v>9</v>
      </c>
      <c r="AC480">
        <v>3</v>
      </c>
      <c r="AD480">
        <v>0</v>
      </c>
      <c r="AE480">
        <v>9</v>
      </c>
      <c r="AF480" t="s">
        <v>128</v>
      </c>
      <c r="AG480">
        <v>0</v>
      </c>
      <c r="AH480">
        <v>0</v>
      </c>
      <c r="AI480">
        <v>1</v>
      </c>
      <c r="AJ480">
        <v>0</v>
      </c>
      <c r="AK480" t="s">
        <v>368</v>
      </c>
      <c r="AL480">
        <v>33.702621000000001</v>
      </c>
      <c r="AM480" t="s">
        <v>369</v>
      </c>
      <c r="AN480">
        <v>-101.210539</v>
      </c>
      <c r="AO480">
        <v>100</v>
      </c>
      <c r="AP480">
        <v>3200</v>
      </c>
      <c r="AQ480" t="s">
        <v>131</v>
      </c>
      <c r="AR480">
        <v>-1</v>
      </c>
      <c r="AS480">
        <v>92</v>
      </c>
      <c r="AT480">
        <v>-192</v>
      </c>
      <c r="BB480" t="str">
        <f t="shared" si="40"/>
        <v>1200</v>
      </c>
      <c r="BC480">
        <v>1</v>
      </c>
      <c r="BD480" t="str">
        <f t="shared" si="41"/>
        <v xml:space="preserve">N445JS  </v>
      </c>
      <c r="BE480">
        <v>7</v>
      </c>
      <c r="BG480">
        <v>0</v>
      </c>
      <c r="BH480">
        <v>0</v>
      </c>
      <c r="BI480">
        <v>0</v>
      </c>
      <c r="BJ480">
        <v>3000</v>
      </c>
      <c r="BK480">
        <v>-200</v>
      </c>
      <c r="BL480" t="s">
        <v>132</v>
      </c>
      <c r="BM480">
        <v>1</v>
      </c>
      <c r="BN480">
        <v>1</v>
      </c>
      <c r="BO480">
        <v>1</v>
      </c>
      <c r="BP480">
        <v>0</v>
      </c>
      <c r="BT480">
        <v>0</v>
      </c>
      <c r="BU480">
        <v>0</v>
      </c>
      <c r="CE480" t="str">
        <f>"15:39:35.086"</f>
        <v>15:39:35.086</v>
      </c>
      <c r="CF480">
        <v>86037690</v>
      </c>
      <c r="CS480">
        <v>0</v>
      </c>
      <c r="CT480">
        <v>2</v>
      </c>
      <c r="CU480">
        <v>0</v>
      </c>
      <c r="CV480">
        <v>2</v>
      </c>
      <c r="CW480">
        <v>0</v>
      </c>
      <c r="CX480">
        <v>7</v>
      </c>
      <c r="CY480">
        <v>7</v>
      </c>
      <c r="CZ480" t="s">
        <v>133</v>
      </c>
      <c r="DA480">
        <v>125</v>
      </c>
      <c r="DB480">
        <v>0</v>
      </c>
      <c r="DC480" t="s">
        <v>134</v>
      </c>
      <c r="DD480" t="s">
        <v>135</v>
      </c>
      <c r="DG480">
        <v>3526598</v>
      </c>
      <c r="DI480">
        <v>0</v>
      </c>
      <c r="DJ480">
        <v>0</v>
      </c>
      <c r="DK480">
        <v>1</v>
      </c>
      <c r="DL480">
        <v>0</v>
      </c>
      <c r="DM480">
        <v>0</v>
      </c>
      <c r="DN480">
        <v>0</v>
      </c>
      <c r="DO480">
        <v>0</v>
      </c>
      <c r="DP480">
        <v>0</v>
      </c>
      <c r="DQ480">
        <v>0</v>
      </c>
      <c r="DR480">
        <v>0</v>
      </c>
      <c r="DS480">
        <v>0</v>
      </c>
    </row>
    <row r="481" spans="1:123" x14ac:dyDescent="0.25">
      <c r="A481" t="str">
        <f>"04/17/2026 15:39:35.357"</f>
        <v>04/17/2026 15:39:35.357</v>
      </c>
      <c r="C481" t="str">
        <f t="shared" si="38"/>
        <v>FFDFD3C0</v>
      </c>
      <c r="D481" t="s">
        <v>136</v>
      </c>
      <c r="E481" t="str">
        <f>"0F"</f>
        <v>0F</v>
      </c>
      <c r="F481">
        <v>1015</v>
      </c>
      <c r="G481" t="s">
        <v>138</v>
      </c>
      <c r="J481" t="s">
        <v>137</v>
      </c>
      <c r="K481">
        <v>0</v>
      </c>
      <c r="L481">
        <v>3</v>
      </c>
      <c r="M481">
        <v>0</v>
      </c>
      <c r="N481">
        <v>2</v>
      </c>
      <c r="O481">
        <v>1</v>
      </c>
      <c r="P481">
        <v>0</v>
      </c>
      <c r="Q481">
        <v>0</v>
      </c>
      <c r="R481" t="s">
        <v>127</v>
      </c>
      <c r="S481" t="str">
        <f>"15:39:35.086"</f>
        <v>15:39:35.086</v>
      </c>
      <c r="T481" t="str">
        <f>"15:39:34.586"</f>
        <v>15:39:34.586</v>
      </c>
      <c r="U481" t="str">
        <f t="shared" si="39"/>
        <v>A55E09</v>
      </c>
      <c r="V481">
        <v>0</v>
      </c>
      <c r="W481">
        <v>0</v>
      </c>
      <c r="X481">
        <v>2</v>
      </c>
      <c r="Y481">
        <v>0</v>
      </c>
      <c r="AA481">
        <v>0</v>
      </c>
      <c r="AB481">
        <v>9</v>
      </c>
      <c r="AC481">
        <v>3</v>
      </c>
      <c r="AD481">
        <v>0</v>
      </c>
      <c r="AE481">
        <v>9</v>
      </c>
      <c r="AF481" t="s">
        <v>128</v>
      </c>
      <c r="AG481">
        <v>0</v>
      </c>
      <c r="AH481">
        <v>0</v>
      </c>
      <c r="AI481">
        <v>1</v>
      </c>
      <c r="AJ481">
        <v>0</v>
      </c>
      <c r="AK481" t="s">
        <v>368</v>
      </c>
      <c r="AL481">
        <v>33.702621000000001</v>
      </c>
      <c r="AM481" t="s">
        <v>369</v>
      </c>
      <c r="AN481">
        <v>-101.210539</v>
      </c>
      <c r="AO481">
        <v>100</v>
      </c>
      <c r="AP481">
        <v>3200</v>
      </c>
      <c r="AQ481" t="s">
        <v>131</v>
      </c>
      <c r="AR481">
        <v>-1</v>
      </c>
      <c r="AS481">
        <v>92</v>
      </c>
      <c r="AT481">
        <v>-192</v>
      </c>
      <c r="BB481" t="str">
        <f t="shared" si="40"/>
        <v>1200</v>
      </c>
      <c r="BC481">
        <v>1</v>
      </c>
      <c r="BD481" t="str">
        <f t="shared" si="41"/>
        <v xml:space="preserve">N445JS  </v>
      </c>
      <c r="BE481">
        <v>7</v>
      </c>
      <c r="BG481">
        <v>0</v>
      </c>
      <c r="BH481">
        <v>0</v>
      </c>
      <c r="BI481">
        <v>0</v>
      </c>
      <c r="BJ481">
        <v>3000</v>
      </c>
      <c r="BK481">
        <v>-200</v>
      </c>
      <c r="BL481" t="s">
        <v>132</v>
      </c>
      <c r="BM481">
        <v>1</v>
      </c>
      <c r="BN481">
        <v>1</v>
      </c>
      <c r="BO481">
        <v>1</v>
      </c>
      <c r="BP481">
        <v>0</v>
      </c>
      <c r="BT481">
        <v>0</v>
      </c>
      <c r="BU481">
        <v>0</v>
      </c>
      <c r="CE481" t="str">
        <f>"15:39:35.086"</f>
        <v>15:39:35.086</v>
      </c>
      <c r="CF481">
        <v>86037690</v>
      </c>
      <c r="CS481">
        <v>0</v>
      </c>
      <c r="CT481">
        <v>2</v>
      </c>
      <c r="CU481">
        <v>0</v>
      </c>
      <c r="CV481">
        <v>2</v>
      </c>
      <c r="CW481">
        <v>0</v>
      </c>
      <c r="CX481">
        <v>7</v>
      </c>
      <c r="CY481">
        <v>7</v>
      </c>
      <c r="CZ481" t="s">
        <v>133</v>
      </c>
      <c r="DA481">
        <v>125</v>
      </c>
      <c r="DB481">
        <v>0</v>
      </c>
      <c r="DC481" t="s">
        <v>134</v>
      </c>
      <c r="DD481" t="s">
        <v>135</v>
      </c>
      <c r="DG481">
        <v>3526598</v>
      </c>
      <c r="DI481">
        <v>0</v>
      </c>
      <c r="DJ481">
        <v>0</v>
      </c>
      <c r="DK481">
        <v>1</v>
      </c>
      <c r="DL481">
        <v>0</v>
      </c>
      <c r="DM481">
        <v>0</v>
      </c>
      <c r="DN481">
        <v>0</v>
      </c>
      <c r="DO481">
        <v>0</v>
      </c>
      <c r="DP481">
        <v>0</v>
      </c>
      <c r="DQ481">
        <v>0</v>
      </c>
      <c r="DR481">
        <v>0</v>
      </c>
      <c r="DS481">
        <v>0</v>
      </c>
    </row>
    <row r="482" spans="1:123" x14ac:dyDescent="0.25">
      <c r="A482" t="str">
        <f>"04/17/2026 15:39:36.254"</f>
        <v>04/17/2026 15:39:36.254</v>
      </c>
      <c r="C482" t="str">
        <f t="shared" si="38"/>
        <v>FFDFD3C0</v>
      </c>
      <c r="D482" t="s">
        <v>139</v>
      </c>
      <c r="E482" t="str">
        <f>"28"</f>
        <v>28</v>
      </c>
      <c r="H482">
        <v>140</v>
      </c>
      <c r="I482" t="s">
        <v>140</v>
      </c>
      <c r="J482" t="s">
        <v>141</v>
      </c>
      <c r="K482">
        <v>0</v>
      </c>
      <c r="L482">
        <v>3</v>
      </c>
      <c r="M482">
        <v>0</v>
      </c>
      <c r="N482">
        <v>2</v>
      </c>
      <c r="O482">
        <v>1</v>
      </c>
      <c r="P482">
        <v>0</v>
      </c>
      <c r="Q482">
        <v>0</v>
      </c>
      <c r="R482" t="s">
        <v>127</v>
      </c>
      <c r="S482" t="str">
        <f>"15:39:35.984"</f>
        <v>15:39:35.984</v>
      </c>
      <c r="T482" t="str">
        <f>"15:39:35.784"</f>
        <v>15:39:35.784</v>
      </c>
      <c r="U482" t="str">
        <f t="shared" si="39"/>
        <v>A55E09</v>
      </c>
      <c r="V482">
        <v>0</v>
      </c>
      <c r="W482">
        <v>0</v>
      </c>
      <c r="X482">
        <v>2</v>
      </c>
      <c r="Y482">
        <v>0</v>
      </c>
      <c r="AA482">
        <v>0</v>
      </c>
      <c r="AB482">
        <v>9</v>
      </c>
      <c r="AC482">
        <v>3</v>
      </c>
      <c r="AD482">
        <v>0</v>
      </c>
      <c r="AE482">
        <v>9</v>
      </c>
      <c r="AF482" t="s">
        <v>128</v>
      </c>
      <c r="AG482">
        <v>0</v>
      </c>
      <c r="AH482">
        <v>0</v>
      </c>
      <c r="AI482">
        <v>1</v>
      </c>
      <c r="AJ482">
        <v>0</v>
      </c>
      <c r="AK482" t="s">
        <v>370</v>
      </c>
      <c r="AL482">
        <v>33.702986000000003</v>
      </c>
      <c r="AM482" t="s">
        <v>364</v>
      </c>
      <c r="AN482">
        <v>-101.21051799999999</v>
      </c>
      <c r="AO482">
        <v>100</v>
      </c>
      <c r="AP482">
        <v>3200</v>
      </c>
      <c r="AQ482" t="s">
        <v>131</v>
      </c>
      <c r="AR482">
        <v>-2</v>
      </c>
      <c r="AS482">
        <v>91</v>
      </c>
      <c r="AT482">
        <v>-192</v>
      </c>
      <c r="BB482" t="str">
        <f t="shared" si="40"/>
        <v>1200</v>
      </c>
      <c r="BC482">
        <v>1</v>
      </c>
      <c r="BD482" t="str">
        <f t="shared" si="41"/>
        <v xml:space="preserve">N445JS  </v>
      </c>
      <c r="BE482">
        <v>7</v>
      </c>
      <c r="BG482">
        <v>0</v>
      </c>
      <c r="BH482">
        <v>0</v>
      </c>
      <c r="BI482">
        <v>0</v>
      </c>
      <c r="BJ482">
        <v>3000</v>
      </c>
      <c r="BK482">
        <v>-200</v>
      </c>
      <c r="BL482" t="s">
        <v>132</v>
      </c>
      <c r="BM482">
        <v>1</v>
      </c>
      <c r="BN482">
        <v>1</v>
      </c>
      <c r="BO482">
        <v>1</v>
      </c>
      <c r="BP482">
        <v>0</v>
      </c>
      <c r="BT482">
        <v>0</v>
      </c>
      <c r="BU482">
        <v>0</v>
      </c>
      <c r="CE482" t="str">
        <f>"15:39:35.986"</f>
        <v>15:39:35.986</v>
      </c>
      <c r="CF482">
        <v>985949516</v>
      </c>
      <c r="CS482">
        <v>0</v>
      </c>
      <c r="CT482">
        <v>2</v>
      </c>
      <c r="CU482">
        <v>0</v>
      </c>
      <c r="CV482">
        <v>2</v>
      </c>
      <c r="CW482">
        <v>0</v>
      </c>
      <c r="CX482">
        <v>7</v>
      </c>
      <c r="CY482">
        <v>7</v>
      </c>
      <c r="CZ482" t="s">
        <v>133</v>
      </c>
      <c r="DA482">
        <v>125</v>
      </c>
      <c r="DB482">
        <v>2</v>
      </c>
      <c r="DC482" t="s">
        <v>134</v>
      </c>
      <c r="DD482" t="s">
        <v>135</v>
      </c>
      <c r="DG482">
        <v>15541201</v>
      </c>
      <c r="DI482">
        <v>0</v>
      </c>
      <c r="DJ482">
        <v>0</v>
      </c>
      <c r="DK482">
        <v>0</v>
      </c>
      <c r="DL482">
        <v>0</v>
      </c>
      <c r="DM482">
        <v>0</v>
      </c>
      <c r="DN482">
        <v>0</v>
      </c>
      <c r="DO482">
        <v>0</v>
      </c>
      <c r="DP482">
        <v>0</v>
      </c>
      <c r="DQ482">
        <v>0</v>
      </c>
      <c r="DR482">
        <v>0</v>
      </c>
      <c r="DS482">
        <v>0</v>
      </c>
    </row>
    <row r="483" spans="1:123" x14ac:dyDescent="0.25">
      <c r="A483" t="str">
        <f>"04/17/2026 15:39:36.258"</f>
        <v>04/17/2026 15:39:36.258</v>
      </c>
      <c r="C483" t="str">
        <f t="shared" si="38"/>
        <v>FFDFD3C0</v>
      </c>
      <c r="D483" t="s">
        <v>136</v>
      </c>
      <c r="E483" t="str">
        <f>"0F"</f>
        <v>0F</v>
      </c>
      <c r="F483">
        <v>1015</v>
      </c>
      <c r="G483" t="s">
        <v>138</v>
      </c>
      <c r="J483" t="s">
        <v>137</v>
      </c>
      <c r="K483">
        <v>0</v>
      </c>
      <c r="L483">
        <v>3</v>
      </c>
      <c r="M483">
        <v>0</v>
      </c>
      <c r="N483">
        <v>2</v>
      </c>
      <c r="O483">
        <v>1</v>
      </c>
      <c r="P483">
        <v>0</v>
      </c>
      <c r="Q483">
        <v>0</v>
      </c>
      <c r="R483" t="s">
        <v>127</v>
      </c>
      <c r="S483" t="str">
        <f>"15:39:35.984"</f>
        <v>15:39:35.984</v>
      </c>
      <c r="T483" t="str">
        <f>"15:39:35.784"</f>
        <v>15:39:35.784</v>
      </c>
      <c r="U483" t="str">
        <f t="shared" si="39"/>
        <v>A55E09</v>
      </c>
      <c r="V483">
        <v>0</v>
      </c>
      <c r="W483">
        <v>0</v>
      </c>
      <c r="X483">
        <v>2</v>
      </c>
      <c r="Y483">
        <v>0</v>
      </c>
      <c r="AA483">
        <v>0</v>
      </c>
      <c r="AB483">
        <v>9</v>
      </c>
      <c r="AC483">
        <v>3</v>
      </c>
      <c r="AD483">
        <v>0</v>
      </c>
      <c r="AE483">
        <v>9</v>
      </c>
      <c r="AF483" t="s">
        <v>128</v>
      </c>
      <c r="AG483">
        <v>0</v>
      </c>
      <c r="AH483">
        <v>0</v>
      </c>
      <c r="AI483">
        <v>1</v>
      </c>
      <c r="AJ483">
        <v>0</v>
      </c>
      <c r="AK483" t="s">
        <v>370</v>
      </c>
      <c r="AL483">
        <v>33.702986000000003</v>
      </c>
      <c r="AM483" t="s">
        <v>364</v>
      </c>
      <c r="AN483">
        <v>-101.21051799999999</v>
      </c>
      <c r="AO483">
        <v>100</v>
      </c>
      <c r="AP483">
        <v>3200</v>
      </c>
      <c r="AQ483" t="s">
        <v>131</v>
      </c>
      <c r="AR483">
        <v>-2</v>
      </c>
      <c r="AS483">
        <v>91</v>
      </c>
      <c r="AT483">
        <v>-192</v>
      </c>
      <c r="BB483" t="str">
        <f t="shared" si="40"/>
        <v>1200</v>
      </c>
      <c r="BC483">
        <v>1</v>
      </c>
      <c r="BD483" t="str">
        <f t="shared" si="41"/>
        <v xml:space="preserve">N445JS  </v>
      </c>
      <c r="BE483">
        <v>7</v>
      </c>
      <c r="BG483">
        <v>0</v>
      </c>
      <c r="BH483">
        <v>0</v>
      </c>
      <c r="BI483">
        <v>0</v>
      </c>
      <c r="BJ483">
        <v>3000</v>
      </c>
      <c r="BK483">
        <v>-200</v>
      </c>
      <c r="BL483" t="s">
        <v>132</v>
      </c>
      <c r="BM483">
        <v>1</v>
      </c>
      <c r="BN483">
        <v>1</v>
      </c>
      <c r="BO483">
        <v>1</v>
      </c>
      <c r="BP483">
        <v>0</v>
      </c>
      <c r="BT483">
        <v>0</v>
      </c>
      <c r="BU483">
        <v>0</v>
      </c>
      <c r="CE483" t="str">
        <f>"15:39:35.986"</f>
        <v>15:39:35.986</v>
      </c>
      <c r="CF483">
        <v>985949516</v>
      </c>
      <c r="CS483">
        <v>0</v>
      </c>
      <c r="CT483">
        <v>2</v>
      </c>
      <c r="CU483">
        <v>0</v>
      </c>
      <c r="CV483">
        <v>2</v>
      </c>
      <c r="CW483">
        <v>0</v>
      </c>
      <c r="CX483">
        <v>7</v>
      </c>
      <c r="CY483">
        <v>7</v>
      </c>
      <c r="CZ483" t="s">
        <v>133</v>
      </c>
      <c r="DA483">
        <v>125</v>
      </c>
      <c r="DB483">
        <v>2</v>
      </c>
      <c r="DC483" t="s">
        <v>134</v>
      </c>
      <c r="DD483" t="s">
        <v>135</v>
      </c>
      <c r="DG483">
        <v>15541201</v>
      </c>
      <c r="DI483">
        <v>0</v>
      </c>
      <c r="DJ483">
        <v>0</v>
      </c>
      <c r="DK483">
        <v>1</v>
      </c>
      <c r="DL483">
        <v>0</v>
      </c>
      <c r="DM483">
        <v>0</v>
      </c>
      <c r="DN483">
        <v>0</v>
      </c>
      <c r="DO483">
        <v>0</v>
      </c>
      <c r="DP483">
        <v>0</v>
      </c>
      <c r="DQ483">
        <v>0</v>
      </c>
      <c r="DR483">
        <v>0</v>
      </c>
      <c r="DS483">
        <v>0</v>
      </c>
    </row>
    <row r="484" spans="1:123" x14ac:dyDescent="0.25">
      <c r="A484" t="str">
        <f>"04/17/2026 15:39:36.270"</f>
        <v>04/17/2026 15:39:36.270</v>
      </c>
      <c r="C484" t="str">
        <f t="shared" si="38"/>
        <v>FFDFD3C0</v>
      </c>
      <c r="D484" t="s">
        <v>124</v>
      </c>
      <c r="E484" t="str">
        <f>"03"</f>
        <v>03</v>
      </c>
      <c r="H484">
        <v>160</v>
      </c>
      <c r="I484" t="s">
        <v>125</v>
      </c>
      <c r="J484" t="s">
        <v>126</v>
      </c>
      <c r="K484">
        <v>0</v>
      </c>
      <c r="L484">
        <v>3</v>
      </c>
      <c r="M484">
        <v>0</v>
      </c>
      <c r="N484">
        <v>2</v>
      </c>
      <c r="O484">
        <v>1</v>
      </c>
      <c r="P484">
        <v>0</v>
      </c>
      <c r="Q484">
        <v>0</v>
      </c>
      <c r="R484" t="s">
        <v>127</v>
      </c>
      <c r="S484" t="str">
        <f>"15:39:35.984"</f>
        <v>15:39:35.984</v>
      </c>
      <c r="T484" t="str">
        <f>"15:39:35.784"</f>
        <v>15:39:35.784</v>
      </c>
      <c r="U484" t="str">
        <f t="shared" si="39"/>
        <v>A55E09</v>
      </c>
      <c r="V484">
        <v>0</v>
      </c>
      <c r="W484">
        <v>0</v>
      </c>
      <c r="X484">
        <v>2</v>
      </c>
      <c r="Y484">
        <v>0</v>
      </c>
      <c r="AA484">
        <v>0</v>
      </c>
      <c r="AB484">
        <v>9</v>
      </c>
      <c r="AC484">
        <v>3</v>
      </c>
      <c r="AD484">
        <v>0</v>
      </c>
      <c r="AE484">
        <v>9</v>
      </c>
      <c r="AF484" t="s">
        <v>128</v>
      </c>
      <c r="AG484">
        <v>0</v>
      </c>
      <c r="AH484">
        <v>0</v>
      </c>
      <c r="AI484">
        <v>1</v>
      </c>
      <c r="AJ484">
        <v>0</v>
      </c>
      <c r="AK484" t="s">
        <v>370</v>
      </c>
      <c r="AL484">
        <v>33.702986000000003</v>
      </c>
      <c r="AM484" t="s">
        <v>364</v>
      </c>
      <c r="AN484">
        <v>-101.21051799999999</v>
      </c>
      <c r="AO484">
        <v>100</v>
      </c>
      <c r="AP484">
        <v>3200</v>
      </c>
      <c r="AQ484" t="s">
        <v>131</v>
      </c>
      <c r="AR484">
        <v>-2</v>
      </c>
      <c r="AS484">
        <v>91</v>
      </c>
      <c r="AT484">
        <v>-192</v>
      </c>
      <c r="BB484" t="str">
        <f t="shared" si="40"/>
        <v>1200</v>
      </c>
      <c r="BC484">
        <v>1</v>
      </c>
      <c r="BD484" t="str">
        <f t="shared" si="41"/>
        <v xml:space="preserve">N445JS  </v>
      </c>
      <c r="BE484">
        <v>7</v>
      </c>
      <c r="BG484">
        <v>0</v>
      </c>
      <c r="BH484">
        <v>0</v>
      </c>
      <c r="BI484">
        <v>0</v>
      </c>
      <c r="BJ484">
        <v>3000</v>
      </c>
      <c r="BK484">
        <v>-200</v>
      </c>
      <c r="BL484" t="s">
        <v>132</v>
      </c>
      <c r="BM484">
        <v>1</v>
      </c>
      <c r="BN484">
        <v>1</v>
      </c>
      <c r="BO484">
        <v>1</v>
      </c>
      <c r="BP484">
        <v>0</v>
      </c>
      <c r="BT484">
        <v>0</v>
      </c>
      <c r="BU484">
        <v>0</v>
      </c>
      <c r="CE484" t="str">
        <f>"15:39:35.986"</f>
        <v>15:39:35.986</v>
      </c>
      <c r="CF484">
        <v>985949516</v>
      </c>
      <c r="CS484">
        <v>0</v>
      </c>
      <c r="CT484">
        <v>2</v>
      </c>
      <c r="CU484">
        <v>0</v>
      </c>
      <c r="CV484">
        <v>2</v>
      </c>
      <c r="CW484">
        <v>0</v>
      </c>
      <c r="CX484">
        <v>7</v>
      </c>
      <c r="CY484">
        <v>7</v>
      </c>
      <c r="CZ484" t="s">
        <v>133</v>
      </c>
      <c r="DA484">
        <v>125</v>
      </c>
      <c r="DB484">
        <v>2</v>
      </c>
      <c r="DC484" t="s">
        <v>134</v>
      </c>
      <c r="DD484" t="s">
        <v>135</v>
      </c>
      <c r="DG484">
        <v>15541201</v>
      </c>
      <c r="DI484">
        <v>0</v>
      </c>
      <c r="DJ484">
        <v>0</v>
      </c>
      <c r="DK484">
        <v>1</v>
      </c>
      <c r="DL484">
        <v>0</v>
      </c>
      <c r="DM484">
        <v>0</v>
      </c>
      <c r="DN484">
        <v>0</v>
      </c>
      <c r="DO484">
        <v>0</v>
      </c>
      <c r="DP484">
        <v>0</v>
      </c>
      <c r="DQ484">
        <v>0</v>
      </c>
      <c r="DR484">
        <v>0</v>
      </c>
      <c r="DS484">
        <v>0</v>
      </c>
    </row>
    <row r="485" spans="1:123" x14ac:dyDescent="0.25">
      <c r="A485" t="str">
        <f>"04/17/2026 15:39:36.295"</f>
        <v>04/17/2026 15:39:36.295</v>
      </c>
      <c r="C485" t="str">
        <f t="shared" si="38"/>
        <v>FFDFD3C0</v>
      </c>
      <c r="D485" t="s">
        <v>136</v>
      </c>
      <c r="E485" t="str">
        <f>"0E"</f>
        <v>0E</v>
      </c>
      <c r="F485">
        <v>1014</v>
      </c>
      <c r="G485" t="s">
        <v>125</v>
      </c>
      <c r="J485" t="s">
        <v>137</v>
      </c>
      <c r="K485">
        <v>0</v>
      </c>
      <c r="L485">
        <v>3</v>
      </c>
      <c r="M485">
        <v>0</v>
      </c>
      <c r="N485">
        <v>2</v>
      </c>
      <c r="O485">
        <v>1</v>
      </c>
      <c r="P485">
        <v>0</v>
      </c>
      <c r="Q485">
        <v>0</v>
      </c>
      <c r="R485" t="s">
        <v>127</v>
      </c>
      <c r="S485" t="str">
        <f>"15:39:35.984"</f>
        <v>15:39:35.984</v>
      </c>
      <c r="T485" t="str">
        <f>"15:39:35.784"</f>
        <v>15:39:35.784</v>
      </c>
      <c r="U485" t="str">
        <f t="shared" si="39"/>
        <v>A55E09</v>
      </c>
      <c r="V485">
        <v>0</v>
      </c>
      <c r="W485">
        <v>0</v>
      </c>
      <c r="X485">
        <v>2</v>
      </c>
      <c r="Y485">
        <v>0</v>
      </c>
      <c r="AA485">
        <v>0</v>
      </c>
      <c r="AB485">
        <v>9</v>
      </c>
      <c r="AC485">
        <v>3</v>
      </c>
      <c r="AD485">
        <v>0</v>
      </c>
      <c r="AE485">
        <v>9</v>
      </c>
      <c r="AF485" t="s">
        <v>128</v>
      </c>
      <c r="AG485">
        <v>0</v>
      </c>
      <c r="AH485">
        <v>0</v>
      </c>
      <c r="AI485">
        <v>1</v>
      </c>
      <c r="AJ485">
        <v>0</v>
      </c>
      <c r="AK485" t="s">
        <v>370</v>
      </c>
      <c r="AL485">
        <v>33.702986000000003</v>
      </c>
      <c r="AM485" t="s">
        <v>364</v>
      </c>
      <c r="AN485">
        <v>-101.21051799999999</v>
      </c>
      <c r="AO485">
        <v>100</v>
      </c>
      <c r="AP485">
        <v>3200</v>
      </c>
      <c r="AQ485" t="s">
        <v>131</v>
      </c>
      <c r="AR485">
        <v>-2</v>
      </c>
      <c r="AS485">
        <v>91</v>
      </c>
      <c r="AT485">
        <v>-192</v>
      </c>
      <c r="BB485" t="str">
        <f t="shared" si="40"/>
        <v>1200</v>
      </c>
      <c r="BC485">
        <v>1</v>
      </c>
      <c r="BD485" t="str">
        <f t="shared" si="41"/>
        <v xml:space="preserve">N445JS  </v>
      </c>
      <c r="BE485">
        <v>7</v>
      </c>
      <c r="BG485">
        <v>0</v>
      </c>
      <c r="BH485">
        <v>0</v>
      </c>
      <c r="BI485">
        <v>0</v>
      </c>
      <c r="BJ485">
        <v>3000</v>
      </c>
      <c r="BK485">
        <v>-200</v>
      </c>
      <c r="BL485" t="s">
        <v>132</v>
      </c>
      <c r="BM485">
        <v>1</v>
      </c>
      <c r="BN485">
        <v>1</v>
      </c>
      <c r="BO485">
        <v>1</v>
      </c>
      <c r="BP485">
        <v>0</v>
      </c>
      <c r="BT485">
        <v>0</v>
      </c>
      <c r="BU485">
        <v>0</v>
      </c>
      <c r="CE485" t="str">
        <f>"15:39:35.986"</f>
        <v>15:39:35.986</v>
      </c>
      <c r="CF485">
        <v>985949516</v>
      </c>
      <c r="CS485">
        <v>0</v>
      </c>
      <c r="CT485">
        <v>2</v>
      </c>
      <c r="CU485">
        <v>0</v>
      </c>
      <c r="CV485">
        <v>2</v>
      </c>
      <c r="CW485">
        <v>0</v>
      </c>
      <c r="CX485">
        <v>7</v>
      </c>
      <c r="CY485">
        <v>7</v>
      </c>
      <c r="CZ485" t="s">
        <v>133</v>
      </c>
      <c r="DA485">
        <v>125</v>
      </c>
      <c r="DB485">
        <v>2</v>
      </c>
      <c r="DC485" t="s">
        <v>134</v>
      </c>
      <c r="DD485" t="s">
        <v>135</v>
      </c>
      <c r="DG485">
        <v>15541201</v>
      </c>
      <c r="DI485">
        <v>0</v>
      </c>
      <c r="DJ485">
        <v>0</v>
      </c>
      <c r="DK485">
        <v>1</v>
      </c>
      <c r="DL485">
        <v>0</v>
      </c>
      <c r="DM485">
        <v>0</v>
      </c>
      <c r="DN485">
        <v>0</v>
      </c>
      <c r="DO485">
        <v>0</v>
      </c>
      <c r="DP485">
        <v>0</v>
      </c>
      <c r="DQ485">
        <v>0</v>
      </c>
      <c r="DR485">
        <v>0</v>
      </c>
      <c r="DS485">
        <v>0</v>
      </c>
    </row>
    <row r="486" spans="1:123" x14ac:dyDescent="0.25">
      <c r="A486" t="str">
        <f>"04/17/2026 15:39:37.196"</f>
        <v>04/17/2026 15:39:37.196</v>
      </c>
      <c r="C486" t="str">
        <f t="shared" si="38"/>
        <v>FFDFD3C0</v>
      </c>
      <c r="D486" t="s">
        <v>136</v>
      </c>
      <c r="E486" t="str">
        <f>"0E"</f>
        <v>0E</v>
      </c>
      <c r="F486">
        <v>1014</v>
      </c>
      <c r="G486" t="s">
        <v>125</v>
      </c>
      <c r="J486" t="s">
        <v>137</v>
      </c>
      <c r="K486">
        <v>0</v>
      </c>
      <c r="L486">
        <v>3</v>
      </c>
      <c r="M486">
        <v>0</v>
      </c>
      <c r="N486">
        <v>2</v>
      </c>
      <c r="O486">
        <v>1</v>
      </c>
      <c r="P486">
        <v>0</v>
      </c>
      <c r="Q486">
        <v>0</v>
      </c>
      <c r="R486" t="s">
        <v>127</v>
      </c>
      <c r="S486" t="str">
        <f>"15:39:36.945"</f>
        <v>15:39:36.945</v>
      </c>
      <c r="T486" t="str">
        <f>"15:39:36.745"</f>
        <v>15:39:36.745</v>
      </c>
      <c r="U486" t="str">
        <f t="shared" si="39"/>
        <v>A55E09</v>
      </c>
      <c r="V486">
        <v>0</v>
      </c>
      <c r="W486">
        <v>0</v>
      </c>
      <c r="X486">
        <v>2</v>
      </c>
      <c r="Y486">
        <v>0</v>
      </c>
      <c r="AA486">
        <v>0</v>
      </c>
      <c r="AB486">
        <v>9</v>
      </c>
      <c r="AC486">
        <v>3</v>
      </c>
      <c r="AD486">
        <v>0</v>
      </c>
      <c r="AE486">
        <v>9</v>
      </c>
      <c r="AF486" t="s">
        <v>128</v>
      </c>
      <c r="AG486">
        <v>0</v>
      </c>
      <c r="AH486">
        <v>0</v>
      </c>
      <c r="AI486">
        <v>1</v>
      </c>
      <c r="AJ486">
        <v>0</v>
      </c>
      <c r="AK486" t="s">
        <v>371</v>
      </c>
      <c r="AL486">
        <v>33.703394000000003</v>
      </c>
      <c r="AM486" t="s">
        <v>364</v>
      </c>
      <c r="AN486">
        <v>-101.21051799999999</v>
      </c>
      <c r="AO486">
        <v>100</v>
      </c>
      <c r="AP486">
        <v>3200</v>
      </c>
      <c r="AQ486" t="s">
        <v>131</v>
      </c>
      <c r="AR486">
        <v>-1</v>
      </c>
      <c r="AS486">
        <v>91</v>
      </c>
      <c r="AT486">
        <v>-320</v>
      </c>
      <c r="BB486" t="str">
        <f t="shared" si="40"/>
        <v>1200</v>
      </c>
      <c r="BC486">
        <v>1</v>
      </c>
      <c r="BD486" t="str">
        <f t="shared" si="41"/>
        <v xml:space="preserve">N445JS  </v>
      </c>
      <c r="BE486">
        <v>7</v>
      </c>
      <c r="BG486">
        <v>0</v>
      </c>
      <c r="BH486">
        <v>0</v>
      </c>
      <c r="BI486">
        <v>0</v>
      </c>
      <c r="BJ486">
        <v>3000</v>
      </c>
      <c r="BK486">
        <v>-200</v>
      </c>
      <c r="BL486" t="s">
        <v>132</v>
      </c>
      <c r="BM486">
        <v>1</v>
      </c>
      <c r="BN486">
        <v>1</v>
      </c>
      <c r="BO486">
        <v>1</v>
      </c>
      <c r="BP486">
        <v>0</v>
      </c>
      <c r="BT486">
        <v>0</v>
      </c>
      <c r="BU486">
        <v>0</v>
      </c>
      <c r="CE486" t="str">
        <f>"15:39:36.946"</f>
        <v>15:39:36.946</v>
      </c>
      <c r="CF486">
        <v>945855443</v>
      </c>
      <c r="CS486">
        <v>0</v>
      </c>
      <c r="CT486">
        <v>2</v>
      </c>
      <c r="CU486">
        <v>0</v>
      </c>
      <c r="CV486">
        <v>2</v>
      </c>
      <c r="CW486">
        <v>0</v>
      </c>
      <c r="CX486">
        <v>7</v>
      </c>
      <c r="CY486">
        <v>7</v>
      </c>
      <c r="CZ486" t="s">
        <v>133</v>
      </c>
      <c r="DA486">
        <v>125</v>
      </c>
      <c r="DB486">
        <v>0</v>
      </c>
      <c r="DC486" t="s">
        <v>134</v>
      </c>
      <c r="DD486" t="s">
        <v>135</v>
      </c>
      <c r="DG486">
        <v>3528612</v>
      </c>
      <c r="DI486">
        <v>0</v>
      </c>
      <c r="DJ486">
        <v>0</v>
      </c>
      <c r="DK486">
        <v>0</v>
      </c>
      <c r="DL486">
        <v>0</v>
      </c>
      <c r="DM486">
        <v>0</v>
      </c>
      <c r="DN486">
        <v>0</v>
      </c>
      <c r="DO486">
        <v>0</v>
      </c>
      <c r="DP486">
        <v>0</v>
      </c>
      <c r="DQ486">
        <v>0</v>
      </c>
      <c r="DR486">
        <v>0</v>
      </c>
      <c r="DS486">
        <v>0</v>
      </c>
    </row>
    <row r="487" spans="1:123" x14ac:dyDescent="0.25">
      <c r="A487" t="str">
        <f>"04/17/2026 15:39:37.206"</f>
        <v>04/17/2026 15:39:37.206</v>
      </c>
      <c r="C487" t="str">
        <f t="shared" si="38"/>
        <v>FFDFD3C0</v>
      </c>
      <c r="D487" t="s">
        <v>139</v>
      </c>
      <c r="E487" t="str">
        <f>"28"</f>
        <v>28</v>
      </c>
      <c r="H487">
        <v>140</v>
      </c>
      <c r="I487" t="s">
        <v>140</v>
      </c>
      <c r="J487" t="s">
        <v>141</v>
      </c>
      <c r="K487">
        <v>0</v>
      </c>
      <c r="L487">
        <v>3</v>
      </c>
      <c r="M487">
        <v>0</v>
      </c>
      <c r="N487">
        <v>2</v>
      </c>
      <c r="O487">
        <v>1</v>
      </c>
      <c r="P487">
        <v>0</v>
      </c>
      <c r="Q487">
        <v>0</v>
      </c>
      <c r="R487" t="s">
        <v>127</v>
      </c>
      <c r="S487" t="str">
        <f>"15:39:36.945"</f>
        <v>15:39:36.945</v>
      </c>
      <c r="T487" t="str">
        <f>"15:39:36.745"</f>
        <v>15:39:36.745</v>
      </c>
      <c r="U487" t="str">
        <f t="shared" si="39"/>
        <v>A55E09</v>
      </c>
      <c r="V487">
        <v>0</v>
      </c>
      <c r="W487">
        <v>0</v>
      </c>
      <c r="X487">
        <v>2</v>
      </c>
      <c r="Y487">
        <v>0</v>
      </c>
      <c r="AA487">
        <v>0</v>
      </c>
      <c r="AB487">
        <v>9</v>
      </c>
      <c r="AC487">
        <v>3</v>
      </c>
      <c r="AD487">
        <v>0</v>
      </c>
      <c r="AE487">
        <v>9</v>
      </c>
      <c r="AF487" t="s">
        <v>128</v>
      </c>
      <c r="AG487">
        <v>0</v>
      </c>
      <c r="AH487">
        <v>0</v>
      </c>
      <c r="AI487">
        <v>1</v>
      </c>
      <c r="AJ487">
        <v>0</v>
      </c>
      <c r="AK487" t="s">
        <v>371</v>
      </c>
      <c r="AL487">
        <v>33.703394000000003</v>
      </c>
      <c r="AM487" t="s">
        <v>364</v>
      </c>
      <c r="AN487">
        <v>-101.21051799999999</v>
      </c>
      <c r="AO487">
        <v>100</v>
      </c>
      <c r="AP487">
        <v>3200</v>
      </c>
      <c r="AQ487" t="s">
        <v>131</v>
      </c>
      <c r="AR487">
        <v>-1</v>
      </c>
      <c r="AS487">
        <v>91</v>
      </c>
      <c r="AT487">
        <v>-320</v>
      </c>
      <c r="BB487" t="str">
        <f t="shared" si="40"/>
        <v>1200</v>
      </c>
      <c r="BC487">
        <v>1</v>
      </c>
      <c r="BD487" t="str">
        <f t="shared" si="41"/>
        <v xml:space="preserve">N445JS  </v>
      </c>
      <c r="BE487">
        <v>7</v>
      </c>
      <c r="BG487">
        <v>0</v>
      </c>
      <c r="BH487">
        <v>0</v>
      </c>
      <c r="BI487">
        <v>0</v>
      </c>
      <c r="BJ487">
        <v>3000</v>
      </c>
      <c r="BK487">
        <v>-200</v>
      </c>
      <c r="BL487" t="s">
        <v>132</v>
      </c>
      <c r="BM487">
        <v>1</v>
      </c>
      <c r="BN487">
        <v>1</v>
      </c>
      <c r="BO487">
        <v>1</v>
      </c>
      <c r="BP487">
        <v>0</v>
      </c>
      <c r="BT487">
        <v>0</v>
      </c>
      <c r="BU487">
        <v>0</v>
      </c>
      <c r="CE487" t="str">
        <f>"15:39:36.946"</f>
        <v>15:39:36.946</v>
      </c>
      <c r="CF487">
        <v>945855443</v>
      </c>
      <c r="CS487">
        <v>0</v>
      </c>
      <c r="CT487">
        <v>2</v>
      </c>
      <c r="CU487">
        <v>0</v>
      </c>
      <c r="CV487">
        <v>2</v>
      </c>
      <c r="CW487">
        <v>0</v>
      </c>
      <c r="CX487">
        <v>7</v>
      </c>
      <c r="CY487">
        <v>7</v>
      </c>
      <c r="CZ487" t="s">
        <v>133</v>
      </c>
      <c r="DA487">
        <v>125</v>
      </c>
      <c r="DB487">
        <v>0</v>
      </c>
      <c r="DC487" t="s">
        <v>134</v>
      </c>
      <c r="DD487" t="s">
        <v>135</v>
      </c>
      <c r="DG487">
        <v>3528612</v>
      </c>
      <c r="DI487">
        <v>0</v>
      </c>
      <c r="DJ487">
        <v>0</v>
      </c>
      <c r="DK487">
        <v>1</v>
      </c>
      <c r="DL487">
        <v>0</v>
      </c>
      <c r="DM487">
        <v>0</v>
      </c>
      <c r="DN487">
        <v>0</v>
      </c>
      <c r="DO487">
        <v>0</v>
      </c>
      <c r="DP487">
        <v>0</v>
      </c>
      <c r="DQ487">
        <v>0</v>
      </c>
      <c r="DR487">
        <v>0</v>
      </c>
      <c r="DS487">
        <v>0</v>
      </c>
    </row>
    <row r="488" spans="1:123" x14ac:dyDescent="0.25">
      <c r="A488" t="str">
        <f>"04/17/2026 15:39:37.210"</f>
        <v>04/17/2026 15:39:37.210</v>
      </c>
      <c r="C488" t="str">
        <f t="shared" si="38"/>
        <v>FFDFD3C0</v>
      </c>
      <c r="D488" t="s">
        <v>136</v>
      </c>
      <c r="E488" t="str">
        <f>"0F"</f>
        <v>0F</v>
      </c>
      <c r="F488">
        <v>1015</v>
      </c>
      <c r="G488" t="s">
        <v>138</v>
      </c>
      <c r="J488" t="s">
        <v>137</v>
      </c>
      <c r="K488">
        <v>0</v>
      </c>
      <c r="L488">
        <v>3</v>
      </c>
      <c r="M488">
        <v>0</v>
      </c>
      <c r="N488">
        <v>2</v>
      </c>
      <c r="O488">
        <v>1</v>
      </c>
      <c r="P488">
        <v>0</v>
      </c>
      <c r="Q488">
        <v>0</v>
      </c>
      <c r="R488" t="s">
        <v>127</v>
      </c>
      <c r="S488" t="str">
        <f>"15:39:36.945"</f>
        <v>15:39:36.945</v>
      </c>
      <c r="T488" t="str">
        <f>"15:39:36.745"</f>
        <v>15:39:36.745</v>
      </c>
      <c r="U488" t="str">
        <f t="shared" si="39"/>
        <v>A55E09</v>
      </c>
      <c r="V488">
        <v>0</v>
      </c>
      <c r="W488">
        <v>0</v>
      </c>
      <c r="X488">
        <v>2</v>
      </c>
      <c r="Y488">
        <v>0</v>
      </c>
      <c r="AA488">
        <v>0</v>
      </c>
      <c r="AB488">
        <v>9</v>
      </c>
      <c r="AC488">
        <v>3</v>
      </c>
      <c r="AD488">
        <v>0</v>
      </c>
      <c r="AE488">
        <v>9</v>
      </c>
      <c r="AF488" t="s">
        <v>128</v>
      </c>
      <c r="AG488">
        <v>0</v>
      </c>
      <c r="AH488">
        <v>0</v>
      </c>
      <c r="AI488">
        <v>1</v>
      </c>
      <c r="AJ488">
        <v>0</v>
      </c>
      <c r="AK488" t="s">
        <v>371</v>
      </c>
      <c r="AL488">
        <v>33.703394000000003</v>
      </c>
      <c r="AM488" t="s">
        <v>364</v>
      </c>
      <c r="AN488">
        <v>-101.21051799999999</v>
      </c>
      <c r="AO488">
        <v>100</v>
      </c>
      <c r="AP488">
        <v>3200</v>
      </c>
      <c r="AQ488" t="s">
        <v>131</v>
      </c>
      <c r="AR488">
        <v>-1</v>
      </c>
      <c r="AS488">
        <v>91</v>
      </c>
      <c r="AT488">
        <v>-320</v>
      </c>
      <c r="BB488" t="str">
        <f t="shared" si="40"/>
        <v>1200</v>
      </c>
      <c r="BC488">
        <v>1</v>
      </c>
      <c r="BD488" t="str">
        <f t="shared" si="41"/>
        <v xml:space="preserve">N445JS  </v>
      </c>
      <c r="BE488">
        <v>7</v>
      </c>
      <c r="BG488">
        <v>0</v>
      </c>
      <c r="BH488">
        <v>0</v>
      </c>
      <c r="BI488">
        <v>0</v>
      </c>
      <c r="BJ488">
        <v>3000</v>
      </c>
      <c r="BK488">
        <v>-200</v>
      </c>
      <c r="BL488" t="s">
        <v>132</v>
      </c>
      <c r="BM488">
        <v>1</v>
      </c>
      <c r="BN488">
        <v>1</v>
      </c>
      <c r="BO488">
        <v>1</v>
      </c>
      <c r="BP488">
        <v>0</v>
      </c>
      <c r="BT488">
        <v>0</v>
      </c>
      <c r="BU488">
        <v>0</v>
      </c>
      <c r="CE488" t="str">
        <f>"15:39:36.946"</f>
        <v>15:39:36.946</v>
      </c>
      <c r="CF488">
        <v>945855443</v>
      </c>
      <c r="CS488">
        <v>0</v>
      </c>
      <c r="CT488">
        <v>2</v>
      </c>
      <c r="CU488">
        <v>0</v>
      </c>
      <c r="CV488">
        <v>2</v>
      </c>
      <c r="CW488">
        <v>0</v>
      </c>
      <c r="CX488">
        <v>7</v>
      </c>
      <c r="CY488">
        <v>7</v>
      </c>
      <c r="CZ488" t="s">
        <v>133</v>
      </c>
      <c r="DA488">
        <v>125</v>
      </c>
      <c r="DB488">
        <v>0</v>
      </c>
      <c r="DC488" t="s">
        <v>134</v>
      </c>
      <c r="DD488" t="s">
        <v>135</v>
      </c>
      <c r="DG488">
        <v>3528612</v>
      </c>
      <c r="DI488">
        <v>0</v>
      </c>
      <c r="DJ488">
        <v>0</v>
      </c>
      <c r="DK488">
        <v>1</v>
      </c>
      <c r="DL488">
        <v>0</v>
      </c>
      <c r="DM488">
        <v>0</v>
      </c>
      <c r="DN488">
        <v>0</v>
      </c>
      <c r="DO488">
        <v>0</v>
      </c>
      <c r="DP488">
        <v>0</v>
      </c>
      <c r="DQ488">
        <v>0</v>
      </c>
      <c r="DR488">
        <v>0</v>
      </c>
      <c r="DS488">
        <v>0</v>
      </c>
    </row>
    <row r="489" spans="1:123" x14ac:dyDescent="0.25">
      <c r="A489" t="str">
        <f>"04/17/2026 15:39:37.222"</f>
        <v>04/17/2026 15:39:37.222</v>
      </c>
      <c r="C489" t="str">
        <f t="shared" si="38"/>
        <v>FFDFD3C0</v>
      </c>
      <c r="D489" t="s">
        <v>124</v>
      </c>
      <c r="E489" t="str">
        <f>"03"</f>
        <v>03</v>
      </c>
      <c r="H489">
        <v>160</v>
      </c>
      <c r="I489" t="s">
        <v>125</v>
      </c>
      <c r="J489" t="s">
        <v>126</v>
      </c>
      <c r="K489">
        <v>0</v>
      </c>
      <c r="L489">
        <v>3</v>
      </c>
      <c r="M489">
        <v>0</v>
      </c>
      <c r="N489">
        <v>2</v>
      </c>
      <c r="O489">
        <v>1</v>
      </c>
      <c r="P489">
        <v>0</v>
      </c>
      <c r="Q489">
        <v>0</v>
      </c>
      <c r="R489" t="s">
        <v>127</v>
      </c>
      <c r="S489" t="str">
        <f>"15:39:36.945"</f>
        <v>15:39:36.945</v>
      </c>
      <c r="T489" t="str">
        <f>"15:39:36.745"</f>
        <v>15:39:36.745</v>
      </c>
      <c r="U489" t="str">
        <f t="shared" si="39"/>
        <v>A55E09</v>
      </c>
      <c r="V489">
        <v>0</v>
      </c>
      <c r="W489">
        <v>0</v>
      </c>
      <c r="X489">
        <v>2</v>
      </c>
      <c r="Y489">
        <v>0</v>
      </c>
      <c r="AA489">
        <v>0</v>
      </c>
      <c r="AB489">
        <v>9</v>
      </c>
      <c r="AC489">
        <v>3</v>
      </c>
      <c r="AD489">
        <v>0</v>
      </c>
      <c r="AE489">
        <v>9</v>
      </c>
      <c r="AF489" t="s">
        <v>128</v>
      </c>
      <c r="AG489">
        <v>0</v>
      </c>
      <c r="AH489">
        <v>0</v>
      </c>
      <c r="AI489">
        <v>1</v>
      </c>
      <c r="AJ489">
        <v>0</v>
      </c>
      <c r="AK489" t="s">
        <v>371</v>
      </c>
      <c r="AL489">
        <v>33.703394000000003</v>
      </c>
      <c r="AM489" t="s">
        <v>364</v>
      </c>
      <c r="AN489">
        <v>-101.21051799999999</v>
      </c>
      <c r="AO489">
        <v>100</v>
      </c>
      <c r="AP489">
        <v>3200</v>
      </c>
      <c r="AQ489" t="s">
        <v>131</v>
      </c>
      <c r="AR489">
        <v>-1</v>
      </c>
      <c r="AS489">
        <v>91</v>
      </c>
      <c r="AT489">
        <v>-320</v>
      </c>
      <c r="BB489" t="str">
        <f t="shared" si="40"/>
        <v>1200</v>
      </c>
      <c r="BC489">
        <v>1</v>
      </c>
      <c r="BD489" t="str">
        <f t="shared" si="41"/>
        <v xml:space="preserve">N445JS  </v>
      </c>
      <c r="BE489">
        <v>7</v>
      </c>
      <c r="BG489">
        <v>0</v>
      </c>
      <c r="BH489">
        <v>0</v>
      </c>
      <c r="BI489">
        <v>0</v>
      </c>
      <c r="BJ489">
        <v>3000</v>
      </c>
      <c r="BK489">
        <v>-200</v>
      </c>
      <c r="BL489" t="s">
        <v>132</v>
      </c>
      <c r="BM489">
        <v>1</v>
      </c>
      <c r="BN489">
        <v>1</v>
      </c>
      <c r="BO489">
        <v>1</v>
      </c>
      <c r="BP489">
        <v>0</v>
      </c>
      <c r="BT489">
        <v>0</v>
      </c>
      <c r="BU489">
        <v>0</v>
      </c>
      <c r="CE489" t="str">
        <f>"15:39:36.946"</f>
        <v>15:39:36.946</v>
      </c>
      <c r="CF489">
        <v>945855443</v>
      </c>
      <c r="CS489">
        <v>0</v>
      </c>
      <c r="CT489">
        <v>2</v>
      </c>
      <c r="CU489">
        <v>0</v>
      </c>
      <c r="CV489">
        <v>2</v>
      </c>
      <c r="CW489">
        <v>0</v>
      </c>
      <c r="CX489">
        <v>7</v>
      </c>
      <c r="CY489">
        <v>7</v>
      </c>
      <c r="CZ489" t="s">
        <v>133</v>
      </c>
      <c r="DA489">
        <v>125</v>
      </c>
      <c r="DB489">
        <v>0</v>
      </c>
      <c r="DC489" t="s">
        <v>134</v>
      </c>
      <c r="DD489" t="s">
        <v>135</v>
      </c>
      <c r="DG489">
        <v>3528612</v>
      </c>
      <c r="DI489">
        <v>0</v>
      </c>
      <c r="DJ489">
        <v>0</v>
      </c>
      <c r="DK489">
        <v>1</v>
      </c>
      <c r="DL489">
        <v>0</v>
      </c>
      <c r="DM489">
        <v>0</v>
      </c>
      <c r="DN489">
        <v>0</v>
      </c>
      <c r="DO489">
        <v>0</v>
      </c>
      <c r="DP489">
        <v>0</v>
      </c>
      <c r="DQ489">
        <v>0</v>
      </c>
      <c r="DR489">
        <v>0</v>
      </c>
      <c r="DS489">
        <v>0</v>
      </c>
    </row>
    <row r="490" spans="1:123" x14ac:dyDescent="0.25">
      <c r="A490" t="str">
        <f>"04/17/2026 15:39:38.198"</f>
        <v>04/17/2026 15:39:38.198</v>
      </c>
      <c r="C490" t="str">
        <f t="shared" si="38"/>
        <v>FFDFD3C0</v>
      </c>
      <c r="D490" t="s">
        <v>136</v>
      </c>
      <c r="E490" t="str">
        <f>"0E"</f>
        <v>0E</v>
      </c>
      <c r="F490">
        <v>1014</v>
      </c>
      <c r="G490" t="s">
        <v>125</v>
      </c>
      <c r="J490" t="s">
        <v>137</v>
      </c>
      <c r="K490">
        <v>0</v>
      </c>
      <c r="L490">
        <v>3</v>
      </c>
      <c r="M490">
        <v>0</v>
      </c>
      <c r="N490">
        <v>2</v>
      </c>
      <c r="O490">
        <v>1</v>
      </c>
      <c r="P490">
        <v>0</v>
      </c>
      <c r="Q490">
        <v>0</v>
      </c>
      <c r="R490" t="s">
        <v>127</v>
      </c>
      <c r="S490" t="str">
        <f>"15:39:37.930"</f>
        <v>15:39:37.930</v>
      </c>
      <c r="T490" t="str">
        <f>"15:39:37.830"</f>
        <v>15:39:37.830</v>
      </c>
      <c r="U490" t="str">
        <f t="shared" si="39"/>
        <v>A55E09</v>
      </c>
      <c r="V490">
        <v>0</v>
      </c>
      <c r="W490">
        <v>0</v>
      </c>
      <c r="X490">
        <v>2</v>
      </c>
      <c r="Y490">
        <v>0</v>
      </c>
      <c r="AA490">
        <v>0</v>
      </c>
      <c r="AB490">
        <v>9</v>
      </c>
      <c r="AC490">
        <v>3</v>
      </c>
      <c r="AD490">
        <v>0</v>
      </c>
      <c r="AE490">
        <v>9</v>
      </c>
      <c r="AF490" t="s">
        <v>128</v>
      </c>
      <c r="AG490">
        <v>0</v>
      </c>
      <c r="AH490">
        <v>0</v>
      </c>
      <c r="AI490">
        <v>1</v>
      </c>
      <c r="AJ490">
        <v>0</v>
      </c>
      <c r="AK490" t="s">
        <v>372</v>
      </c>
      <c r="AL490">
        <v>33.703802000000003</v>
      </c>
      <c r="AM490" t="s">
        <v>369</v>
      </c>
      <c r="AN490">
        <v>-101.210539</v>
      </c>
      <c r="AO490">
        <v>100</v>
      </c>
      <c r="AP490">
        <v>3200</v>
      </c>
      <c r="AQ490" t="s">
        <v>131</v>
      </c>
      <c r="AR490">
        <v>0</v>
      </c>
      <c r="AS490">
        <v>92</v>
      </c>
      <c r="AT490">
        <v>-320</v>
      </c>
      <c r="BB490" t="str">
        <f t="shared" si="40"/>
        <v>1200</v>
      </c>
      <c r="BC490">
        <v>1</v>
      </c>
      <c r="BD490" t="str">
        <f t="shared" si="41"/>
        <v xml:space="preserve">N445JS  </v>
      </c>
      <c r="BE490">
        <v>7</v>
      </c>
      <c r="BG490">
        <v>0</v>
      </c>
      <c r="BH490">
        <v>0</v>
      </c>
      <c r="BI490">
        <v>0</v>
      </c>
      <c r="BJ490">
        <v>2975</v>
      </c>
      <c r="BK490">
        <v>-225</v>
      </c>
      <c r="BL490" t="s">
        <v>132</v>
      </c>
      <c r="BM490">
        <v>1</v>
      </c>
      <c r="BN490">
        <v>1</v>
      </c>
      <c r="BO490">
        <v>1</v>
      </c>
      <c r="BP490">
        <v>0</v>
      </c>
      <c r="BT490">
        <v>0</v>
      </c>
      <c r="BU490">
        <v>0</v>
      </c>
      <c r="CE490" t="str">
        <f>"15:39:37.936"</f>
        <v>15:39:37.936</v>
      </c>
      <c r="CF490">
        <v>935758463</v>
      </c>
      <c r="CS490">
        <v>0</v>
      </c>
      <c r="CT490">
        <v>2</v>
      </c>
      <c r="CU490">
        <v>0</v>
      </c>
      <c r="CV490">
        <v>2</v>
      </c>
      <c r="CW490">
        <v>0</v>
      </c>
      <c r="CX490">
        <v>7</v>
      </c>
      <c r="CY490">
        <v>7</v>
      </c>
      <c r="CZ490" t="s">
        <v>133</v>
      </c>
      <c r="DA490">
        <v>125</v>
      </c>
      <c r="DB490">
        <v>1</v>
      </c>
      <c r="DC490" t="s">
        <v>134</v>
      </c>
      <c r="DD490" t="s">
        <v>135</v>
      </c>
      <c r="DG490">
        <v>2567858</v>
      </c>
      <c r="DI490">
        <v>0</v>
      </c>
      <c r="DJ490">
        <v>0</v>
      </c>
      <c r="DK490">
        <v>0</v>
      </c>
      <c r="DL490">
        <v>0</v>
      </c>
      <c r="DM490">
        <v>0</v>
      </c>
      <c r="DN490">
        <v>0</v>
      </c>
      <c r="DO490">
        <v>0</v>
      </c>
      <c r="DP490">
        <v>0</v>
      </c>
      <c r="DQ490">
        <v>0</v>
      </c>
      <c r="DR490">
        <v>0</v>
      </c>
      <c r="DS490">
        <v>0</v>
      </c>
    </row>
    <row r="491" spans="1:123" x14ac:dyDescent="0.25">
      <c r="A491" t="str">
        <f>"04/17/2026 15:39:38.208"</f>
        <v>04/17/2026 15:39:38.208</v>
      </c>
      <c r="C491" t="str">
        <f t="shared" si="38"/>
        <v>FFDFD3C0</v>
      </c>
      <c r="D491" t="s">
        <v>139</v>
      </c>
      <c r="E491" t="str">
        <f>"28"</f>
        <v>28</v>
      </c>
      <c r="H491">
        <v>140</v>
      </c>
      <c r="I491" t="s">
        <v>140</v>
      </c>
      <c r="J491" t="s">
        <v>141</v>
      </c>
      <c r="K491">
        <v>0</v>
      </c>
      <c r="L491">
        <v>3</v>
      </c>
      <c r="M491">
        <v>0</v>
      </c>
      <c r="N491">
        <v>2</v>
      </c>
      <c r="O491">
        <v>1</v>
      </c>
      <c r="P491">
        <v>0</v>
      </c>
      <c r="Q491">
        <v>0</v>
      </c>
      <c r="R491" t="s">
        <v>127</v>
      </c>
      <c r="S491" t="str">
        <f>"15:39:37.930"</f>
        <v>15:39:37.930</v>
      </c>
      <c r="T491" t="str">
        <f>"15:39:37.830"</f>
        <v>15:39:37.830</v>
      </c>
      <c r="U491" t="str">
        <f t="shared" si="39"/>
        <v>A55E09</v>
      </c>
      <c r="V491">
        <v>0</v>
      </c>
      <c r="W491">
        <v>0</v>
      </c>
      <c r="X491">
        <v>2</v>
      </c>
      <c r="Y491">
        <v>0</v>
      </c>
      <c r="AA491">
        <v>0</v>
      </c>
      <c r="AB491">
        <v>9</v>
      </c>
      <c r="AC491">
        <v>3</v>
      </c>
      <c r="AD491">
        <v>0</v>
      </c>
      <c r="AE491">
        <v>9</v>
      </c>
      <c r="AF491" t="s">
        <v>128</v>
      </c>
      <c r="AG491">
        <v>0</v>
      </c>
      <c r="AH491">
        <v>0</v>
      </c>
      <c r="AI491">
        <v>1</v>
      </c>
      <c r="AJ491">
        <v>0</v>
      </c>
      <c r="AK491" t="s">
        <v>372</v>
      </c>
      <c r="AL491">
        <v>33.703802000000003</v>
      </c>
      <c r="AM491" t="s">
        <v>369</v>
      </c>
      <c r="AN491">
        <v>-101.210539</v>
      </c>
      <c r="AO491">
        <v>100</v>
      </c>
      <c r="AP491">
        <v>3200</v>
      </c>
      <c r="AQ491" t="s">
        <v>131</v>
      </c>
      <c r="AR491">
        <v>0</v>
      </c>
      <c r="AS491">
        <v>92</v>
      </c>
      <c r="AT491">
        <v>-320</v>
      </c>
      <c r="BB491" t="str">
        <f t="shared" si="40"/>
        <v>1200</v>
      </c>
      <c r="BC491">
        <v>1</v>
      </c>
      <c r="BD491" t="str">
        <f t="shared" si="41"/>
        <v xml:space="preserve">N445JS  </v>
      </c>
      <c r="BE491">
        <v>7</v>
      </c>
      <c r="BG491">
        <v>0</v>
      </c>
      <c r="BH491">
        <v>0</v>
      </c>
      <c r="BI491">
        <v>0</v>
      </c>
      <c r="BJ491">
        <v>2975</v>
      </c>
      <c r="BK491">
        <v>-225</v>
      </c>
      <c r="BL491" t="s">
        <v>132</v>
      </c>
      <c r="BM491">
        <v>1</v>
      </c>
      <c r="BN491">
        <v>1</v>
      </c>
      <c r="BO491">
        <v>1</v>
      </c>
      <c r="BP491">
        <v>0</v>
      </c>
      <c r="BT491">
        <v>0</v>
      </c>
      <c r="BU491">
        <v>0</v>
      </c>
      <c r="CE491" t="str">
        <f>"15:39:37.936"</f>
        <v>15:39:37.936</v>
      </c>
      <c r="CF491">
        <v>935758463</v>
      </c>
      <c r="CS491">
        <v>0</v>
      </c>
      <c r="CT491">
        <v>2</v>
      </c>
      <c r="CU491">
        <v>0</v>
      </c>
      <c r="CV491">
        <v>2</v>
      </c>
      <c r="CW491">
        <v>0</v>
      </c>
      <c r="CX491">
        <v>7</v>
      </c>
      <c r="CY491">
        <v>7</v>
      </c>
      <c r="CZ491" t="s">
        <v>133</v>
      </c>
      <c r="DA491">
        <v>125</v>
      </c>
      <c r="DB491">
        <v>1</v>
      </c>
      <c r="DC491" t="s">
        <v>134</v>
      </c>
      <c r="DD491" t="s">
        <v>135</v>
      </c>
      <c r="DG491">
        <v>2567858</v>
      </c>
      <c r="DI491">
        <v>0</v>
      </c>
      <c r="DJ491">
        <v>0</v>
      </c>
      <c r="DK491">
        <v>1</v>
      </c>
      <c r="DL491">
        <v>0</v>
      </c>
      <c r="DM491">
        <v>0</v>
      </c>
      <c r="DN491">
        <v>0</v>
      </c>
      <c r="DO491">
        <v>0</v>
      </c>
      <c r="DP491">
        <v>0</v>
      </c>
      <c r="DQ491">
        <v>0</v>
      </c>
      <c r="DR491">
        <v>0</v>
      </c>
      <c r="DS491">
        <v>0</v>
      </c>
    </row>
    <row r="492" spans="1:123" x14ac:dyDescent="0.25">
      <c r="A492" t="str">
        <f>"04/17/2026 15:39:38.212"</f>
        <v>04/17/2026 15:39:38.212</v>
      </c>
      <c r="C492" t="str">
        <f t="shared" si="38"/>
        <v>FFDFD3C0</v>
      </c>
      <c r="D492" t="s">
        <v>136</v>
      </c>
      <c r="E492" t="str">
        <f>"0F"</f>
        <v>0F</v>
      </c>
      <c r="F492">
        <v>1015</v>
      </c>
      <c r="G492" t="s">
        <v>138</v>
      </c>
      <c r="J492" t="s">
        <v>137</v>
      </c>
      <c r="K492">
        <v>0</v>
      </c>
      <c r="L492">
        <v>3</v>
      </c>
      <c r="M492">
        <v>0</v>
      </c>
      <c r="N492">
        <v>2</v>
      </c>
      <c r="O492">
        <v>1</v>
      </c>
      <c r="P492">
        <v>0</v>
      </c>
      <c r="Q492">
        <v>0</v>
      </c>
      <c r="R492" t="s">
        <v>127</v>
      </c>
      <c r="S492" t="str">
        <f>"15:39:37.930"</f>
        <v>15:39:37.930</v>
      </c>
      <c r="T492" t="str">
        <f>"15:39:37.830"</f>
        <v>15:39:37.830</v>
      </c>
      <c r="U492" t="str">
        <f t="shared" si="39"/>
        <v>A55E09</v>
      </c>
      <c r="V492">
        <v>0</v>
      </c>
      <c r="W492">
        <v>0</v>
      </c>
      <c r="X492">
        <v>2</v>
      </c>
      <c r="Y492">
        <v>0</v>
      </c>
      <c r="AA492">
        <v>0</v>
      </c>
      <c r="AB492">
        <v>9</v>
      </c>
      <c r="AC492">
        <v>3</v>
      </c>
      <c r="AD492">
        <v>0</v>
      </c>
      <c r="AE492">
        <v>9</v>
      </c>
      <c r="AF492" t="s">
        <v>128</v>
      </c>
      <c r="AG492">
        <v>0</v>
      </c>
      <c r="AH492">
        <v>0</v>
      </c>
      <c r="AI492">
        <v>1</v>
      </c>
      <c r="AJ492">
        <v>0</v>
      </c>
      <c r="AK492" t="s">
        <v>372</v>
      </c>
      <c r="AL492">
        <v>33.703802000000003</v>
      </c>
      <c r="AM492" t="s">
        <v>369</v>
      </c>
      <c r="AN492">
        <v>-101.210539</v>
      </c>
      <c r="AO492">
        <v>100</v>
      </c>
      <c r="AP492">
        <v>3200</v>
      </c>
      <c r="AQ492" t="s">
        <v>131</v>
      </c>
      <c r="AR492">
        <v>0</v>
      </c>
      <c r="AS492">
        <v>92</v>
      </c>
      <c r="AT492">
        <v>-320</v>
      </c>
      <c r="BB492" t="str">
        <f t="shared" si="40"/>
        <v>1200</v>
      </c>
      <c r="BC492">
        <v>1</v>
      </c>
      <c r="BD492" t="str">
        <f t="shared" si="41"/>
        <v xml:space="preserve">N445JS  </v>
      </c>
      <c r="BE492">
        <v>7</v>
      </c>
      <c r="BG492">
        <v>0</v>
      </c>
      <c r="BH492">
        <v>0</v>
      </c>
      <c r="BI492">
        <v>0</v>
      </c>
      <c r="BJ492">
        <v>2975</v>
      </c>
      <c r="BK492">
        <v>-225</v>
      </c>
      <c r="BL492" t="s">
        <v>132</v>
      </c>
      <c r="BM492">
        <v>1</v>
      </c>
      <c r="BN492">
        <v>1</v>
      </c>
      <c r="BO492">
        <v>1</v>
      </c>
      <c r="BP492">
        <v>0</v>
      </c>
      <c r="BT492">
        <v>0</v>
      </c>
      <c r="BU492">
        <v>0</v>
      </c>
      <c r="CE492" t="str">
        <f>"15:39:37.936"</f>
        <v>15:39:37.936</v>
      </c>
      <c r="CF492">
        <v>935758463</v>
      </c>
      <c r="CS492">
        <v>0</v>
      </c>
      <c r="CT492">
        <v>2</v>
      </c>
      <c r="CU492">
        <v>0</v>
      </c>
      <c r="CV492">
        <v>2</v>
      </c>
      <c r="CW492">
        <v>0</v>
      </c>
      <c r="CX492">
        <v>7</v>
      </c>
      <c r="CY492">
        <v>7</v>
      </c>
      <c r="CZ492" t="s">
        <v>133</v>
      </c>
      <c r="DA492">
        <v>125</v>
      </c>
      <c r="DB492">
        <v>1</v>
      </c>
      <c r="DC492" t="s">
        <v>134</v>
      </c>
      <c r="DD492" t="s">
        <v>135</v>
      </c>
      <c r="DG492">
        <v>2567858</v>
      </c>
      <c r="DI492">
        <v>0</v>
      </c>
      <c r="DJ492">
        <v>0</v>
      </c>
      <c r="DK492">
        <v>1</v>
      </c>
      <c r="DL492">
        <v>0</v>
      </c>
      <c r="DM492">
        <v>0</v>
      </c>
      <c r="DN492">
        <v>0</v>
      </c>
      <c r="DO492">
        <v>0</v>
      </c>
      <c r="DP492">
        <v>0</v>
      </c>
      <c r="DQ492">
        <v>0</v>
      </c>
      <c r="DR492">
        <v>0</v>
      </c>
      <c r="DS492">
        <v>0</v>
      </c>
    </row>
    <row r="493" spans="1:123" x14ac:dyDescent="0.25">
      <c r="A493" t="str">
        <f>"04/17/2026 15:39:38.224"</f>
        <v>04/17/2026 15:39:38.224</v>
      </c>
      <c r="C493" t="str">
        <f t="shared" si="38"/>
        <v>FFDFD3C0</v>
      </c>
      <c r="D493" t="s">
        <v>124</v>
      </c>
      <c r="E493" t="str">
        <f>"03"</f>
        <v>03</v>
      </c>
      <c r="H493">
        <v>160</v>
      </c>
      <c r="I493" t="s">
        <v>125</v>
      </c>
      <c r="J493" t="s">
        <v>126</v>
      </c>
      <c r="K493">
        <v>0</v>
      </c>
      <c r="L493">
        <v>3</v>
      </c>
      <c r="M493">
        <v>0</v>
      </c>
      <c r="N493">
        <v>2</v>
      </c>
      <c r="O493">
        <v>1</v>
      </c>
      <c r="P493">
        <v>0</v>
      </c>
      <c r="Q493">
        <v>0</v>
      </c>
      <c r="R493" t="s">
        <v>127</v>
      </c>
      <c r="S493" t="str">
        <f>"15:39:37.930"</f>
        <v>15:39:37.930</v>
      </c>
      <c r="T493" t="str">
        <f>"15:39:37.830"</f>
        <v>15:39:37.830</v>
      </c>
      <c r="U493" t="str">
        <f t="shared" si="39"/>
        <v>A55E09</v>
      </c>
      <c r="V493">
        <v>0</v>
      </c>
      <c r="W493">
        <v>0</v>
      </c>
      <c r="X493">
        <v>2</v>
      </c>
      <c r="Y493">
        <v>0</v>
      </c>
      <c r="AA493">
        <v>0</v>
      </c>
      <c r="AB493">
        <v>9</v>
      </c>
      <c r="AC493">
        <v>3</v>
      </c>
      <c r="AD493">
        <v>0</v>
      </c>
      <c r="AE493">
        <v>9</v>
      </c>
      <c r="AF493" t="s">
        <v>128</v>
      </c>
      <c r="AG493">
        <v>0</v>
      </c>
      <c r="AH493">
        <v>0</v>
      </c>
      <c r="AI493">
        <v>1</v>
      </c>
      <c r="AJ493">
        <v>0</v>
      </c>
      <c r="AK493" t="s">
        <v>372</v>
      </c>
      <c r="AL493">
        <v>33.703802000000003</v>
      </c>
      <c r="AM493" t="s">
        <v>369</v>
      </c>
      <c r="AN493">
        <v>-101.210539</v>
      </c>
      <c r="AO493">
        <v>100</v>
      </c>
      <c r="AP493">
        <v>3200</v>
      </c>
      <c r="AQ493" t="s">
        <v>131</v>
      </c>
      <c r="AR493">
        <v>0</v>
      </c>
      <c r="AS493">
        <v>92</v>
      </c>
      <c r="AT493">
        <v>-320</v>
      </c>
      <c r="BB493" t="str">
        <f t="shared" si="40"/>
        <v>1200</v>
      </c>
      <c r="BC493">
        <v>1</v>
      </c>
      <c r="BD493" t="str">
        <f t="shared" si="41"/>
        <v xml:space="preserve">N445JS  </v>
      </c>
      <c r="BE493">
        <v>7</v>
      </c>
      <c r="BG493">
        <v>0</v>
      </c>
      <c r="BH493">
        <v>0</v>
      </c>
      <c r="BI493">
        <v>0</v>
      </c>
      <c r="BJ493">
        <v>2975</v>
      </c>
      <c r="BK493">
        <v>-225</v>
      </c>
      <c r="BL493" t="s">
        <v>132</v>
      </c>
      <c r="BM493">
        <v>1</v>
      </c>
      <c r="BN493">
        <v>1</v>
      </c>
      <c r="BO493">
        <v>1</v>
      </c>
      <c r="BP493">
        <v>0</v>
      </c>
      <c r="BT493">
        <v>0</v>
      </c>
      <c r="BU493">
        <v>0</v>
      </c>
      <c r="CE493" t="str">
        <f>"15:39:37.936"</f>
        <v>15:39:37.936</v>
      </c>
      <c r="CF493">
        <v>935758463</v>
      </c>
      <c r="CS493">
        <v>0</v>
      </c>
      <c r="CT493">
        <v>2</v>
      </c>
      <c r="CU493">
        <v>0</v>
      </c>
      <c r="CV493">
        <v>2</v>
      </c>
      <c r="CW493">
        <v>0</v>
      </c>
      <c r="CX493">
        <v>7</v>
      </c>
      <c r="CY493">
        <v>7</v>
      </c>
      <c r="CZ493" t="s">
        <v>133</v>
      </c>
      <c r="DA493">
        <v>125</v>
      </c>
      <c r="DB493">
        <v>1</v>
      </c>
      <c r="DC493" t="s">
        <v>134</v>
      </c>
      <c r="DD493" t="s">
        <v>135</v>
      </c>
      <c r="DG493">
        <v>2567858</v>
      </c>
      <c r="DI493">
        <v>0</v>
      </c>
      <c r="DJ493">
        <v>0</v>
      </c>
      <c r="DK493">
        <v>1</v>
      </c>
      <c r="DL493">
        <v>0</v>
      </c>
      <c r="DM493">
        <v>0</v>
      </c>
      <c r="DN493">
        <v>0</v>
      </c>
      <c r="DO493">
        <v>0</v>
      </c>
      <c r="DP493">
        <v>0</v>
      </c>
      <c r="DQ493">
        <v>0</v>
      </c>
      <c r="DR493">
        <v>0</v>
      </c>
      <c r="DS493">
        <v>0</v>
      </c>
    </row>
    <row r="494" spans="1:123" x14ac:dyDescent="0.25">
      <c r="A494" t="str">
        <f>"04/17/2026 15:39:39.299"</f>
        <v>04/17/2026 15:39:39.299</v>
      </c>
      <c r="C494" t="str">
        <f t="shared" si="38"/>
        <v>FFDFD3C0</v>
      </c>
      <c r="D494" t="s">
        <v>136</v>
      </c>
      <c r="E494" t="str">
        <f>"0E"</f>
        <v>0E</v>
      </c>
      <c r="F494">
        <v>1014</v>
      </c>
      <c r="G494" t="s">
        <v>125</v>
      </c>
      <c r="J494" t="s">
        <v>137</v>
      </c>
      <c r="K494">
        <v>0</v>
      </c>
      <c r="L494">
        <v>3</v>
      </c>
      <c r="M494">
        <v>0</v>
      </c>
      <c r="N494">
        <v>2</v>
      </c>
      <c r="O494">
        <v>1</v>
      </c>
      <c r="P494">
        <v>0</v>
      </c>
      <c r="Q494">
        <v>0</v>
      </c>
      <c r="R494" t="s">
        <v>127</v>
      </c>
      <c r="S494" t="str">
        <f>"15:39:39.016"</f>
        <v>15:39:39.016</v>
      </c>
      <c r="T494" t="str">
        <f>"15:39:38.816"</f>
        <v>15:39:38.816</v>
      </c>
      <c r="U494" t="str">
        <f t="shared" si="39"/>
        <v>A55E09</v>
      </c>
      <c r="V494">
        <v>0</v>
      </c>
      <c r="W494">
        <v>0</v>
      </c>
      <c r="X494">
        <v>2</v>
      </c>
      <c r="Y494">
        <v>0</v>
      </c>
      <c r="AA494">
        <v>0</v>
      </c>
      <c r="AB494">
        <v>9</v>
      </c>
      <c r="AC494">
        <v>3</v>
      </c>
      <c r="AD494">
        <v>0</v>
      </c>
      <c r="AE494">
        <v>9</v>
      </c>
      <c r="AF494" t="s">
        <v>128</v>
      </c>
      <c r="AG494">
        <v>0</v>
      </c>
      <c r="AH494">
        <v>0</v>
      </c>
      <c r="AI494">
        <v>1</v>
      </c>
      <c r="AJ494">
        <v>0</v>
      </c>
      <c r="AK494" t="s">
        <v>373</v>
      </c>
      <c r="AL494">
        <v>33.704273999999998</v>
      </c>
      <c r="AM494" t="s">
        <v>369</v>
      </c>
      <c r="AN494">
        <v>-101.210539</v>
      </c>
      <c r="AO494">
        <v>100</v>
      </c>
      <c r="AP494">
        <v>3200</v>
      </c>
      <c r="AQ494" t="s">
        <v>131</v>
      </c>
      <c r="AR494">
        <v>1</v>
      </c>
      <c r="AS494">
        <v>92</v>
      </c>
      <c r="AT494">
        <v>-320</v>
      </c>
      <c r="BB494" t="str">
        <f t="shared" si="40"/>
        <v>1200</v>
      </c>
      <c r="BC494">
        <v>1</v>
      </c>
      <c r="BD494" t="str">
        <f t="shared" si="41"/>
        <v xml:space="preserve">N445JS  </v>
      </c>
      <c r="BE494">
        <v>7</v>
      </c>
      <c r="BG494">
        <v>0</v>
      </c>
      <c r="BH494">
        <v>0</v>
      </c>
      <c r="BI494">
        <v>0</v>
      </c>
      <c r="BJ494">
        <v>2975</v>
      </c>
      <c r="BK494">
        <v>-225</v>
      </c>
      <c r="BL494" t="s">
        <v>132</v>
      </c>
      <c r="BM494">
        <v>1</v>
      </c>
      <c r="BN494">
        <v>1</v>
      </c>
      <c r="BO494">
        <v>1</v>
      </c>
      <c r="BP494">
        <v>0</v>
      </c>
      <c r="BT494">
        <v>0</v>
      </c>
      <c r="BU494">
        <v>0</v>
      </c>
      <c r="CE494" t="str">
        <f>"15:39:39.016"</f>
        <v>15:39:39.016</v>
      </c>
      <c r="CF494">
        <v>15652657</v>
      </c>
      <c r="CS494">
        <v>0</v>
      </c>
      <c r="CT494">
        <v>2</v>
      </c>
      <c r="CU494">
        <v>0</v>
      </c>
      <c r="CV494">
        <v>2</v>
      </c>
      <c r="CW494">
        <v>0</v>
      </c>
      <c r="CX494">
        <v>7</v>
      </c>
      <c r="CY494">
        <v>7</v>
      </c>
      <c r="CZ494" t="s">
        <v>133</v>
      </c>
      <c r="DA494">
        <v>125</v>
      </c>
      <c r="DB494">
        <v>1</v>
      </c>
      <c r="DC494" t="s">
        <v>134</v>
      </c>
      <c r="DD494" t="s">
        <v>135</v>
      </c>
      <c r="DG494">
        <v>2568946</v>
      </c>
      <c r="DI494">
        <v>0</v>
      </c>
      <c r="DJ494">
        <v>0</v>
      </c>
      <c r="DK494">
        <v>0</v>
      </c>
      <c r="DL494">
        <v>0</v>
      </c>
      <c r="DM494">
        <v>0</v>
      </c>
      <c r="DN494">
        <v>0</v>
      </c>
      <c r="DO494">
        <v>0</v>
      </c>
      <c r="DP494">
        <v>0</v>
      </c>
      <c r="DQ494">
        <v>0</v>
      </c>
      <c r="DR494">
        <v>0</v>
      </c>
      <c r="DS494">
        <v>0</v>
      </c>
    </row>
    <row r="495" spans="1:123" x14ac:dyDescent="0.25">
      <c r="A495" t="str">
        <f>"04/17/2026 15:39:39.310"</f>
        <v>04/17/2026 15:39:39.310</v>
      </c>
      <c r="C495" t="str">
        <f t="shared" si="38"/>
        <v>FFDFD3C0</v>
      </c>
      <c r="D495" t="s">
        <v>139</v>
      </c>
      <c r="E495" t="str">
        <f>"28"</f>
        <v>28</v>
      </c>
      <c r="H495">
        <v>140</v>
      </c>
      <c r="I495" t="s">
        <v>140</v>
      </c>
      <c r="J495" t="s">
        <v>141</v>
      </c>
      <c r="K495">
        <v>0</v>
      </c>
      <c r="L495">
        <v>3</v>
      </c>
      <c r="M495">
        <v>0</v>
      </c>
      <c r="N495">
        <v>2</v>
      </c>
      <c r="O495">
        <v>1</v>
      </c>
      <c r="P495">
        <v>0</v>
      </c>
      <c r="Q495">
        <v>0</v>
      </c>
      <c r="R495" t="s">
        <v>127</v>
      </c>
      <c r="S495" t="str">
        <f>"15:39:39.016"</f>
        <v>15:39:39.016</v>
      </c>
      <c r="T495" t="str">
        <f>"15:39:38.816"</f>
        <v>15:39:38.816</v>
      </c>
      <c r="U495" t="str">
        <f t="shared" si="39"/>
        <v>A55E09</v>
      </c>
      <c r="V495">
        <v>0</v>
      </c>
      <c r="W495">
        <v>0</v>
      </c>
      <c r="X495">
        <v>2</v>
      </c>
      <c r="Y495">
        <v>0</v>
      </c>
      <c r="AA495">
        <v>0</v>
      </c>
      <c r="AB495">
        <v>9</v>
      </c>
      <c r="AC495">
        <v>3</v>
      </c>
      <c r="AD495">
        <v>0</v>
      </c>
      <c r="AE495">
        <v>9</v>
      </c>
      <c r="AF495" t="s">
        <v>128</v>
      </c>
      <c r="AG495">
        <v>0</v>
      </c>
      <c r="AH495">
        <v>0</v>
      </c>
      <c r="AI495">
        <v>1</v>
      </c>
      <c r="AJ495">
        <v>0</v>
      </c>
      <c r="AK495" t="s">
        <v>373</v>
      </c>
      <c r="AL495">
        <v>33.704273999999998</v>
      </c>
      <c r="AM495" t="s">
        <v>369</v>
      </c>
      <c r="AN495">
        <v>-101.210539</v>
      </c>
      <c r="AO495">
        <v>100</v>
      </c>
      <c r="AP495">
        <v>3200</v>
      </c>
      <c r="AQ495" t="s">
        <v>131</v>
      </c>
      <c r="AR495">
        <v>1</v>
      </c>
      <c r="AS495">
        <v>92</v>
      </c>
      <c r="AT495">
        <v>-320</v>
      </c>
      <c r="BB495" t="str">
        <f t="shared" si="40"/>
        <v>1200</v>
      </c>
      <c r="BC495">
        <v>1</v>
      </c>
      <c r="BD495" t="str">
        <f t="shared" si="41"/>
        <v xml:space="preserve">N445JS  </v>
      </c>
      <c r="BE495">
        <v>7</v>
      </c>
      <c r="BG495">
        <v>0</v>
      </c>
      <c r="BH495">
        <v>0</v>
      </c>
      <c r="BI495">
        <v>0</v>
      </c>
      <c r="BJ495">
        <v>2975</v>
      </c>
      <c r="BK495">
        <v>-225</v>
      </c>
      <c r="BL495" t="s">
        <v>132</v>
      </c>
      <c r="BM495">
        <v>1</v>
      </c>
      <c r="BN495">
        <v>1</v>
      </c>
      <c r="BO495">
        <v>1</v>
      </c>
      <c r="BP495">
        <v>0</v>
      </c>
      <c r="BT495">
        <v>0</v>
      </c>
      <c r="BU495">
        <v>0</v>
      </c>
      <c r="CE495" t="str">
        <f>"15:39:39.016"</f>
        <v>15:39:39.016</v>
      </c>
      <c r="CF495">
        <v>15652657</v>
      </c>
      <c r="CS495">
        <v>0</v>
      </c>
      <c r="CT495">
        <v>2</v>
      </c>
      <c r="CU495">
        <v>0</v>
      </c>
      <c r="CV495">
        <v>2</v>
      </c>
      <c r="CW495">
        <v>0</v>
      </c>
      <c r="CX495">
        <v>7</v>
      </c>
      <c r="CY495">
        <v>7</v>
      </c>
      <c r="CZ495" t="s">
        <v>133</v>
      </c>
      <c r="DA495">
        <v>125</v>
      </c>
      <c r="DB495">
        <v>1</v>
      </c>
      <c r="DC495" t="s">
        <v>134</v>
      </c>
      <c r="DD495" t="s">
        <v>135</v>
      </c>
      <c r="DG495">
        <v>2568946</v>
      </c>
      <c r="DI495">
        <v>0</v>
      </c>
      <c r="DJ495">
        <v>0</v>
      </c>
      <c r="DK495">
        <v>1</v>
      </c>
      <c r="DL495">
        <v>0</v>
      </c>
      <c r="DM495">
        <v>0</v>
      </c>
      <c r="DN495">
        <v>0</v>
      </c>
      <c r="DO495">
        <v>0</v>
      </c>
      <c r="DP495">
        <v>0</v>
      </c>
      <c r="DQ495">
        <v>0</v>
      </c>
      <c r="DR495">
        <v>0</v>
      </c>
      <c r="DS495">
        <v>0</v>
      </c>
    </row>
    <row r="496" spans="1:123" x14ac:dyDescent="0.25">
      <c r="A496" t="str">
        <f>"04/17/2026 15:39:39.314"</f>
        <v>04/17/2026 15:39:39.314</v>
      </c>
      <c r="C496" t="str">
        <f t="shared" si="38"/>
        <v>FFDFD3C0</v>
      </c>
      <c r="D496" t="s">
        <v>136</v>
      </c>
      <c r="E496" t="str">
        <f>"0F"</f>
        <v>0F</v>
      </c>
      <c r="F496">
        <v>1015</v>
      </c>
      <c r="G496" t="s">
        <v>138</v>
      </c>
      <c r="J496" t="s">
        <v>137</v>
      </c>
      <c r="K496">
        <v>0</v>
      </c>
      <c r="L496">
        <v>3</v>
      </c>
      <c r="M496">
        <v>0</v>
      </c>
      <c r="N496">
        <v>2</v>
      </c>
      <c r="O496">
        <v>1</v>
      </c>
      <c r="P496">
        <v>0</v>
      </c>
      <c r="Q496">
        <v>0</v>
      </c>
      <c r="R496" t="s">
        <v>127</v>
      </c>
      <c r="S496" t="str">
        <f>"15:39:39.016"</f>
        <v>15:39:39.016</v>
      </c>
      <c r="T496" t="str">
        <f>"15:39:38.816"</f>
        <v>15:39:38.816</v>
      </c>
      <c r="U496" t="str">
        <f t="shared" si="39"/>
        <v>A55E09</v>
      </c>
      <c r="V496">
        <v>0</v>
      </c>
      <c r="W496">
        <v>0</v>
      </c>
      <c r="X496">
        <v>2</v>
      </c>
      <c r="Y496">
        <v>0</v>
      </c>
      <c r="AA496">
        <v>0</v>
      </c>
      <c r="AB496">
        <v>9</v>
      </c>
      <c r="AC496">
        <v>3</v>
      </c>
      <c r="AD496">
        <v>0</v>
      </c>
      <c r="AE496">
        <v>9</v>
      </c>
      <c r="AF496" t="s">
        <v>128</v>
      </c>
      <c r="AG496">
        <v>0</v>
      </c>
      <c r="AH496">
        <v>0</v>
      </c>
      <c r="AI496">
        <v>1</v>
      </c>
      <c r="AJ496">
        <v>0</v>
      </c>
      <c r="AK496" t="s">
        <v>373</v>
      </c>
      <c r="AL496">
        <v>33.704273999999998</v>
      </c>
      <c r="AM496" t="s">
        <v>369</v>
      </c>
      <c r="AN496">
        <v>-101.210539</v>
      </c>
      <c r="AO496">
        <v>100</v>
      </c>
      <c r="AP496">
        <v>3200</v>
      </c>
      <c r="AQ496" t="s">
        <v>131</v>
      </c>
      <c r="AR496">
        <v>1</v>
      </c>
      <c r="AS496">
        <v>92</v>
      </c>
      <c r="AT496">
        <v>-320</v>
      </c>
      <c r="BB496" t="str">
        <f t="shared" si="40"/>
        <v>1200</v>
      </c>
      <c r="BC496">
        <v>1</v>
      </c>
      <c r="BD496" t="str">
        <f t="shared" si="41"/>
        <v xml:space="preserve">N445JS  </v>
      </c>
      <c r="BE496">
        <v>7</v>
      </c>
      <c r="BG496">
        <v>0</v>
      </c>
      <c r="BH496">
        <v>0</v>
      </c>
      <c r="BI496">
        <v>0</v>
      </c>
      <c r="BJ496">
        <v>2975</v>
      </c>
      <c r="BK496">
        <v>-225</v>
      </c>
      <c r="BL496" t="s">
        <v>132</v>
      </c>
      <c r="BM496">
        <v>1</v>
      </c>
      <c r="BN496">
        <v>1</v>
      </c>
      <c r="BO496">
        <v>1</v>
      </c>
      <c r="BP496">
        <v>0</v>
      </c>
      <c r="BT496">
        <v>0</v>
      </c>
      <c r="BU496">
        <v>0</v>
      </c>
      <c r="CE496" t="str">
        <f>"15:39:39.016"</f>
        <v>15:39:39.016</v>
      </c>
      <c r="CF496">
        <v>15652657</v>
      </c>
      <c r="CS496">
        <v>0</v>
      </c>
      <c r="CT496">
        <v>2</v>
      </c>
      <c r="CU496">
        <v>0</v>
      </c>
      <c r="CV496">
        <v>2</v>
      </c>
      <c r="CW496">
        <v>0</v>
      </c>
      <c r="CX496">
        <v>7</v>
      </c>
      <c r="CY496">
        <v>7</v>
      </c>
      <c r="CZ496" t="s">
        <v>133</v>
      </c>
      <c r="DA496">
        <v>125</v>
      </c>
      <c r="DB496">
        <v>1</v>
      </c>
      <c r="DC496" t="s">
        <v>134</v>
      </c>
      <c r="DD496" t="s">
        <v>135</v>
      </c>
      <c r="DG496">
        <v>2568946</v>
      </c>
      <c r="DI496">
        <v>0</v>
      </c>
      <c r="DJ496">
        <v>0</v>
      </c>
      <c r="DK496">
        <v>1</v>
      </c>
      <c r="DL496">
        <v>0</v>
      </c>
      <c r="DM496">
        <v>0</v>
      </c>
      <c r="DN496">
        <v>0</v>
      </c>
      <c r="DO496">
        <v>0</v>
      </c>
      <c r="DP496">
        <v>0</v>
      </c>
      <c r="DQ496">
        <v>0</v>
      </c>
      <c r="DR496">
        <v>0</v>
      </c>
      <c r="DS496">
        <v>0</v>
      </c>
    </row>
    <row r="497" spans="1:123" x14ac:dyDescent="0.25">
      <c r="A497" t="str">
        <f>"04/17/2026 15:39:39.326"</f>
        <v>04/17/2026 15:39:39.326</v>
      </c>
      <c r="C497" t="str">
        <f t="shared" si="38"/>
        <v>FFDFD3C0</v>
      </c>
      <c r="D497" t="s">
        <v>124</v>
      </c>
      <c r="E497" t="str">
        <f>"03"</f>
        <v>03</v>
      </c>
      <c r="H497">
        <v>160</v>
      </c>
      <c r="I497" t="s">
        <v>125</v>
      </c>
      <c r="J497" t="s">
        <v>126</v>
      </c>
      <c r="K497">
        <v>0</v>
      </c>
      <c r="L497">
        <v>3</v>
      </c>
      <c r="M497">
        <v>0</v>
      </c>
      <c r="N497">
        <v>2</v>
      </c>
      <c r="O497">
        <v>1</v>
      </c>
      <c r="P497">
        <v>0</v>
      </c>
      <c r="Q497">
        <v>0</v>
      </c>
      <c r="R497" t="s">
        <v>127</v>
      </c>
      <c r="S497" t="str">
        <f>"15:39:39.016"</f>
        <v>15:39:39.016</v>
      </c>
      <c r="T497" t="str">
        <f>"15:39:38.816"</f>
        <v>15:39:38.816</v>
      </c>
      <c r="U497" t="str">
        <f t="shared" si="39"/>
        <v>A55E09</v>
      </c>
      <c r="V497">
        <v>0</v>
      </c>
      <c r="W497">
        <v>0</v>
      </c>
      <c r="X497">
        <v>2</v>
      </c>
      <c r="Y497">
        <v>0</v>
      </c>
      <c r="AA497">
        <v>0</v>
      </c>
      <c r="AB497">
        <v>9</v>
      </c>
      <c r="AC497">
        <v>3</v>
      </c>
      <c r="AD497">
        <v>0</v>
      </c>
      <c r="AE497">
        <v>9</v>
      </c>
      <c r="AF497" t="s">
        <v>128</v>
      </c>
      <c r="AG497">
        <v>0</v>
      </c>
      <c r="AH497">
        <v>0</v>
      </c>
      <c r="AI497">
        <v>1</v>
      </c>
      <c r="AJ497">
        <v>0</v>
      </c>
      <c r="AK497" t="s">
        <v>373</v>
      </c>
      <c r="AL497">
        <v>33.704273999999998</v>
      </c>
      <c r="AM497" t="s">
        <v>369</v>
      </c>
      <c r="AN497">
        <v>-101.210539</v>
      </c>
      <c r="AO497">
        <v>100</v>
      </c>
      <c r="AP497">
        <v>3200</v>
      </c>
      <c r="AQ497" t="s">
        <v>131</v>
      </c>
      <c r="AR497">
        <v>1</v>
      </c>
      <c r="AS497">
        <v>92</v>
      </c>
      <c r="AT497">
        <v>-320</v>
      </c>
      <c r="BB497" t="str">
        <f t="shared" si="40"/>
        <v>1200</v>
      </c>
      <c r="BC497">
        <v>1</v>
      </c>
      <c r="BD497" t="str">
        <f t="shared" si="41"/>
        <v xml:space="preserve">N445JS  </v>
      </c>
      <c r="BE497">
        <v>7</v>
      </c>
      <c r="BG497">
        <v>0</v>
      </c>
      <c r="BH497">
        <v>0</v>
      </c>
      <c r="BI497">
        <v>0</v>
      </c>
      <c r="BJ497">
        <v>2975</v>
      </c>
      <c r="BK497">
        <v>-225</v>
      </c>
      <c r="BL497" t="s">
        <v>132</v>
      </c>
      <c r="BM497">
        <v>1</v>
      </c>
      <c r="BN497">
        <v>1</v>
      </c>
      <c r="BO497">
        <v>1</v>
      </c>
      <c r="BP497">
        <v>0</v>
      </c>
      <c r="BT497">
        <v>0</v>
      </c>
      <c r="BU497">
        <v>0</v>
      </c>
      <c r="CE497" t="str">
        <f>"15:39:39.016"</f>
        <v>15:39:39.016</v>
      </c>
      <c r="CF497">
        <v>15652657</v>
      </c>
      <c r="CS497">
        <v>0</v>
      </c>
      <c r="CT497">
        <v>2</v>
      </c>
      <c r="CU497">
        <v>0</v>
      </c>
      <c r="CV497">
        <v>2</v>
      </c>
      <c r="CW497">
        <v>0</v>
      </c>
      <c r="CX497">
        <v>7</v>
      </c>
      <c r="CY497">
        <v>7</v>
      </c>
      <c r="CZ497" t="s">
        <v>133</v>
      </c>
      <c r="DA497">
        <v>125</v>
      </c>
      <c r="DB497">
        <v>1</v>
      </c>
      <c r="DC497" t="s">
        <v>134</v>
      </c>
      <c r="DD497" t="s">
        <v>135</v>
      </c>
      <c r="DG497">
        <v>2568946</v>
      </c>
      <c r="DI497">
        <v>0</v>
      </c>
      <c r="DJ497">
        <v>0</v>
      </c>
      <c r="DK497">
        <v>1</v>
      </c>
      <c r="DL497">
        <v>0</v>
      </c>
      <c r="DM497">
        <v>0</v>
      </c>
      <c r="DN497">
        <v>0</v>
      </c>
      <c r="DO497">
        <v>0</v>
      </c>
      <c r="DP497">
        <v>0</v>
      </c>
      <c r="DQ497">
        <v>0</v>
      </c>
      <c r="DR497">
        <v>0</v>
      </c>
      <c r="DS497">
        <v>0</v>
      </c>
    </row>
    <row r="498" spans="1:123" x14ac:dyDescent="0.25">
      <c r="A498" t="str">
        <f>"04/17/2026 15:39:40.262"</f>
        <v>04/17/2026 15:39:40.262</v>
      </c>
      <c r="C498" t="str">
        <f t="shared" si="38"/>
        <v>FFDFD3C0</v>
      </c>
      <c r="D498" t="s">
        <v>139</v>
      </c>
      <c r="E498" t="str">
        <f>"28"</f>
        <v>28</v>
      </c>
      <c r="H498">
        <v>140</v>
      </c>
      <c r="I498" t="s">
        <v>140</v>
      </c>
      <c r="J498" t="s">
        <v>141</v>
      </c>
      <c r="K498">
        <v>0</v>
      </c>
      <c r="L498">
        <v>3</v>
      </c>
      <c r="M498">
        <v>0</v>
      </c>
      <c r="N498">
        <v>2</v>
      </c>
      <c r="O498">
        <v>1</v>
      </c>
      <c r="P498">
        <v>0</v>
      </c>
      <c r="Q498">
        <v>0</v>
      </c>
      <c r="R498" t="s">
        <v>127</v>
      </c>
      <c r="S498" t="str">
        <f>"15:39:40.000"</f>
        <v>15:39:40.000</v>
      </c>
      <c r="T498" t="str">
        <f>"15:39:39.800"</f>
        <v>15:39:39.800</v>
      </c>
      <c r="U498" t="str">
        <f t="shared" si="39"/>
        <v>A55E09</v>
      </c>
      <c r="V498">
        <v>0</v>
      </c>
      <c r="W498">
        <v>0</v>
      </c>
      <c r="X498">
        <v>2</v>
      </c>
      <c r="Y498">
        <v>0</v>
      </c>
      <c r="AA498">
        <v>0</v>
      </c>
      <c r="AB498">
        <v>9</v>
      </c>
      <c r="AC498">
        <v>3</v>
      </c>
      <c r="AD498">
        <v>0</v>
      </c>
      <c r="AE498">
        <v>9</v>
      </c>
      <c r="AF498" t="s">
        <v>128</v>
      </c>
      <c r="AG498">
        <v>0</v>
      </c>
      <c r="AH498">
        <v>0</v>
      </c>
      <c r="AI498">
        <v>1</v>
      </c>
      <c r="AJ498">
        <v>0</v>
      </c>
      <c r="AK498" t="s">
        <v>374</v>
      </c>
      <c r="AL498">
        <v>33.704703000000002</v>
      </c>
      <c r="AM498" t="s">
        <v>364</v>
      </c>
      <c r="AN498">
        <v>-101.21051799999999</v>
      </c>
      <c r="AO498">
        <v>100</v>
      </c>
      <c r="AP498">
        <v>3200</v>
      </c>
      <c r="AQ498" t="s">
        <v>131</v>
      </c>
      <c r="AR498">
        <v>2</v>
      </c>
      <c r="AS498">
        <v>92</v>
      </c>
      <c r="AT498">
        <v>-128</v>
      </c>
      <c r="BB498" t="str">
        <f t="shared" si="40"/>
        <v>1200</v>
      </c>
      <c r="BC498">
        <v>1</v>
      </c>
      <c r="BD498" t="str">
        <f t="shared" si="41"/>
        <v xml:space="preserve">N445JS  </v>
      </c>
      <c r="BE498">
        <v>7</v>
      </c>
      <c r="BG498">
        <v>0</v>
      </c>
      <c r="BH498">
        <v>0</v>
      </c>
      <c r="BI498">
        <v>0</v>
      </c>
      <c r="BJ498">
        <v>2975</v>
      </c>
      <c r="BK498">
        <v>-225</v>
      </c>
      <c r="BL498" t="s">
        <v>132</v>
      </c>
      <c r="BM498">
        <v>1</v>
      </c>
      <c r="BN498">
        <v>1</v>
      </c>
      <c r="BO498">
        <v>1</v>
      </c>
      <c r="BP498">
        <v>0</v>
      </c>
      <c r="BT498">
        <v>0</v>
      </c>
      <c r="BU498">
        <v>0</v>
      </c>
      <c r="CE498" t="str">
        <f>"15:39:40.006"</f>
        <v>15:39:40.006</v>
      </c>
      <c r="CF498">
        <v>5555657</v>
      </c>
      <c r="CS498">
        <v>0</v>
      </c>
      <c r="CT498">
        <v>2</v>
      </c>
      <c r="CU498">
        <v>0</v>
      </c>
      <c r="CV498">
        <v>2</v>
      </c>
      <c r="CW498">
        <v>0</v>
      </c>
      <c r="CX498">
        <v>7</v>
      </c>
      <c r="CY498">
        <v>7</v>
      </c>
      <c r="CZ498" t="s">
        <v>133</v>
      </c>
      <c r="DA498">
        <v>125</v>
      </c>
      <c r="DB498">
        <v>1</v>
      </c>
      <c r="DC498" t="s">
        <v>134</v>
      </c>
      <c r="DD498" t="s">
        <v>135</v>
      </c>
      <c r="DG498">
        <v>2569887</v>
      </c>
      <c r="DI498">
        <v>0</v>
      </c>
      <c r="DJ498">
        <v>0</v>
      </c>
      <c r="DK498">
        <v>0</v>
      </c>
      <c r="DL498">
        <v>0</v>
      </c>
      <c r="DM498">
        <v>0</v>
      </c>
      <c r="DN498">
        <v>0</v>
      </c>
      <c r="DO498">
        <v>0</v>
      </c>
      <c r="DP498">
        <v>0</v>
      </c>
      <c r="DQ498">
        <v>0</v>
      </c>
      <c r="DR498">
        <v>0</v>
      </c>
      <c r="DS498">
        <v>0</v>
      </c>
    </row>
    <row r="499" spans="1:123" x14ac:dyDescent="0.25">
      <c r="A499" t="str">
        <f>"04/17/2026 15:39:40.266"</f>
        <v>04/17/2026 15:39:40.266</v>
      </c>
      <c r="C499" t="str">
        <f t="shared" si="38"/>
        <v>FFDFD3C0</v>
      </c>
      <c r="D499" t="s">
        <v>136</v>
      </c>
      <c r="E499" t="str">
        <f>"0F"</f>
        <v>0F</v>
      </c>
      <c r="F499">
        <v>1015</v>
      </c>
      <c r="G499" t="s">
        <v>138</v>
      </c>
      <c r="J499" t="s">
        <v>137</v>
      </c>
      <c r="K499">
        <v>0</v>
      </c>
      <c r="L499">
        <v>3</v>
      </c>
      <c r="M499">
        <v>0</v>
      </c>
      <c r="N499">
        <v>2</v>
      </c>
      <c r="O499">
        <v>1</v>
      </c>
      <c r="P499">
        <v>0</v>
      </c>
      <c r="Q499">
        <v>0</v>
      </c>
      <c r="R499" t="s">
        <v>127</v>
      </c>
      <c r="S499" t="str">
        <f>"15:39:40.000"</f>
        <v>15:39:40.000</v>
      </c>
      <c r="T499" t="str">
        <f>"15:39:39.800"</f>
        <v>15:39:39.800</v>
      </c>
      <c r="U499" t="str">
        <f t="shared" si="39"/>
        <v>A55E09</v>
      </c>
      <c r="V499">
        <v>0</v>
      </c>
      <c r="W499">
        <v>0</v>
      </c>
      <c r="X499">
        <v>2</v>
      </c>
      <c r="Y499">
        <v>0</v>
      </c>
      <c r="AA499">
        <v>0</v>
      </c>
      <c r="AB499">
        <v>9</v>
      </c>
      <c r="AC499">
        <v>3</v>
      </c>
      <c r="AD499">
        <v>0</v>
      </c>
      <c r="AE499">
        <v>9</v>
      </c>
      <c r="AF499" t="s">
        <v>128</v>
      </c>
      <c r="AG499">
        <v>0</v>
      </c>
      <c r="AH499">
        <v>0</v>
      </c>
      <c r="AI499">
        <v>1</v>
      </c>
      <c r="AJ499">
        <v>0</v>
      </c>
      <c r="AK499" t="s">
        <v>374</v>
      </c>
      <c r="AL499">
        <v>33.704703000000002</v>
      </c>
      <c r="AM499" t="s">
        <v>364</v>
      </c>
      <c r="AN499">
        <v>-101.21051799999999</v>
      </c>
      <c r="AO499">
        <v>100</v>
      </c>
      <c r="AP499">
        <v>3200</v>
      </c>
      <c r="AQ499" t="s">
        <v>131</v>
      </c>
      <c r="AR499">
        <v>2</v>
      </c>
      <c r="AS499">
        <v>92</v>
      </c>
      <c r="AT499">
        <v>-128</v>
      </c>
      <c r="BB499" t="str">
        <f t="shared" si="40"/>
        <v>1200</v>
      </c>
      <c r="BC499">
        <v>1</v>
      </c>
      <c r="BD499" t="str">
        <f t="shared" si="41"/>
        <v xml:space="preserve">N445JS  </v>
      </c>
      <c r="BE499">
        <v>7</v>
      </c>
      <c r="BG499">
        <v>0</v>
      </c>
      <c r="BH499">
        <v>0</v>
      </c>
      <c r="BI499">
        <v>0</v>
      </c>
      <c r="BJ499">
        <v>2975</v>
      </c>
      <c r="BK499">
        <v>-225</v>
      </c>
      <c r="BL499" t="s">
        <v>132</v>
      </c>
      <c r="BM499">
        <v>1</v>
      </c>
      <c r="BN499">
        <v>1</v>
      </c>
      <c r="BO499">
        <v>1</v>
      </c>
      <c r="BP499">
        <v>0</v>
      </c>
      <c r="BT499">
        <v>0</v>
      </c>
      <c r="BU499">
        <v>0</v>
      </c>
      <c r="CE499" t="str">
        <f>"15:39:40.006"</f>
        <v>15:39:40.006</v>
      </c>
      <c r="CF499">
        <v>5555657</v>
      </c>
      <c r="CS499">
        <v>0</v>
      </c>
      <c r="CT499">
        <v>2</v>
      </c>
      <c r="CU499">
        <v>0</v>
      </c>
      <c r="CV499">
        <v>2</v>
      </c>
      <c r="CW499">
        <v>0</v>
      </c>
      <c r="CX499">
        <v>7</v>
      </c>
      <c r="CY499">
        <v>7</v>
      </c>
      <c r="CZ499" t="s">
        <v>133</v>
      </c>
      <c r="DA499">
        <v>125</v>
      </c>
      <c r="DB499">
        <v>1</v>
      </c>
      <c r="DC499" t="s">
        <v>134</v>
      </c>
      <c r="DD499" t="s">
        <v>135</v>
      </c>
      <c r="DG499">
        <v>2569887</v>
      </c>
      <c r="DI499">
        <v>0</v>
      </c>
      <c r="DJ499">
        <v>0</v>
      </c>
      <c r="DK499">
        <v>1</v>
      </c>
      <c r="DL499">
        <v>0</v>
      </c>
      <c r="DM499">
        <v>0</v>
      </c>
      <c r="DN499">
        <v>0</v>
      </c>
      <c r="DO499">
        <v>0</v>
      </c>
      <c r="DP499">
        <v>0</v>
      </c>
      <c r="DQ499">
        <v>0</v>
      </c>
      <c r="DR499">
        <v>0</v>
      </c>
      <c r="DS499">
        <v>0</v>
      </c>
    </row>
    <row r="500" spans="1:123" x14ac:dyDescent="0.25">
      <c r="A500" t="str">
        <f>"04/17/2026 15:39:40.277"</f>
        <v>04/17/2026 15:39:40.277</v>
      </c>
      <c r="C500" t="str">
        <f t="shared" si="38"/>
        <v>FFDFD3C0</v>
      </c>
      <c r="D500" t="s">
        <v>124</v>
      </c>
      <c r="E500" t="str">
        <f>"03"</f>
        <v>03</v>
      </c>
      <c r="H500">
        <v>160</v>
      </c>
      <c r="I500" t="s">
        <v>125</v>
      </c>
      <c r="J500" t="s">
        <v>126</v>
      </c>
      <c r="K500">
        <v>0</v>
      </c>
      <c r="L500">
        <v>3</v>
      </c>
      <c r="M500">
        <v>0</v>
      </c>
      <c r="N500">
        <v>2</v>
      </c>
      <c r="O500">
        <v>1</v>
      </c>
      <c r="P500">
        <v>0</v>
      </c>
      <c r="Q500">
        <v>0</v>
      </c>
      <c r="R500" t="s">
        <v>127</v>
      </c>
      <c r="S500" t="str">
        <f>"15:39:40.000"</f>
        <v>15:39:40.000</v>
      </c>
      <c r="T500" t="str">
        <f>"15:39:39.800"</f>
        <v>15:39:39.800</v>
      </c>
      <c r="U500" t="str">
        <f t="shared" si="39"/>
        <v>A55E09</v>
      </c>
      <c r="V500">
        <v>0</v>
      </c>
      <c r="W500">
        <v>0</v>
      </c>
      <c r="X500">
        <v>2</v>
      </c>
      <c r="Y500">
        <v>0</v>
      </c>
      <c r="AA500">
        <v>0</v>
      </c>
      <c r="AB500">
        <v>9</v>
      </c>
      <c r="AC500">
        <v>3</v>
      </c>
      <c r="AD500">
        <v>0</v>
      </c>
      <c r="AE500">
        <v>9</v>
      </c>
      <c r="AF500" t="s">
        <v>128</v>
      </c>
      <c r="AG500">
        <v>0</v>
      </c>
      <c r="AH500">
        <v>0</v>
      </c>
      <c r="AI500">
        <v>1</v>
      </c>
      <c r="AJ500">
        <v>0</v>
      </c>
      <c r="AK500" t="s">
        <v>374</v>
      </c>
      <c r="AL500">
        <v>33.704703000000002</v>
      </c>
      <c r="AM500" t="s">
        <v>364</v>
      </c>
      <c r="AN500">
        <v>-101.21051799999999</v>
      </c>
      <c r="AO500">
        <v>100</v>
      </c>
      <c r="AP500">
        <v>3200</v>
      </c>
      <c r="AQ500" t="s">
        <v>131</v>
      </c>
      <c r="AR500">
        <v>2</v>
      </c>
      <c r="AS500">
        <v>92</v>
      </c>
      <c r="AT500">
        <v>-128</v>
      </c>
      <c r="BB500" t="str">
        <f t="shared" si="40"/>
        <v>1200</v>
      </c>
      <c r="BC500">
        <v>1</v>
      </c>
      <c r="BD500" t="str">
        <f t="shared" si="41"/>
        <v xml:space="preserve">N445JS  </v>
      </c>
      <c r="BE500">
        <v>7</v>
      </c>
      <c r="BG500">
        <v>0</v>
      </c>
      <c r="BH500">
        <v>0</v>
      </c>
      <c r="BI500">
        <v>0</v>
      </c>
      <c r="BJ500">
        <v>2975</v>
      </c>
      <c r="BK500">
        <v>-225</v>
      </c>
      <c r="BL500" t="s">
        <v>132</v>
      </c>
      <c r="BM500">
        <v>1</v>
      </c>
      <c r="BN500">
        <v>1</v>
      </c>
      <c r="BO500">
        <v>1</v>
      </c>
      <c r="BP500">
        <v>0</v>
      </c>
      <c r="BT500">
        <v>0</v>
      </c>
      <c r="BU500">
        <v>0</v>
      </c>
      <c r="CE500" t="str">
        <f>"15:39:40.006"</f>
        <v>15:39:40.006</v>
      </c>
      <c r="CF500">
        <v>5555657</v>
      </c>
      <c r="CS500">
        <v>0</v>
      </c>
      <c r="CT500">
        <v>2</v>
      </c>
      <c r="CU500">
        <v>0</v>
      </c>
      <c r="CV500">
        <v>2</v>
      </c>
      <c r="CW500">
        <v>0</v>
      </c>
      <c r="CX500">
        <v>7</v>
      </c>
      <c r="CY500">
        <v>7</v>
      </c>
      <c r="CZ500" t="s">
        <v>133</v>
      </c>
      <c r="DA500">
        <v>125</v>
      </c>
      <c r="DB500">
        <v>1</v>
      </c>
      <c r="DC500" t="s">
        <v>134</v>
      </c>
      <c r="DD500" t="s">
        <v>135</v>
      </c>
      <c r="DG500">
        <v>2569887</v>
      </c>
      <c r="DI500">
        <v>0</v>
      </c>
      <c r="DJ500">
        <v>0</v>
      </c>
      <c r="DK500">
        <v>1</v>
      </c>
      <c r="DL500">
        <v>0</v>
      </c>
      <c r="DM500">
        <v>0</v>
      </c>
      <c r="DN500">
        <v>0</v>
      </c>
      <c r="DO500">
        <v>0</v>
      </c>
      <c r="DP500">
        <v>0</v>
      </c>
      <c r="DQ500">
        <v>0</v>
      </c>
      <c r="DR500">
        <v>0</v>
      </c>
      <c r="DS500">
        <v>0</v>
      </c>
    </row>
    <row r="501" spans="1:123" x14ac:dyDescent="0.25">
      <c r="A501" t="str">
        <f>"04/17/2026 15:39:40.300"</f>
        <v>04/17/2026 15:39:40.300</v>
      </c>
      <c r="C501" t="str">
        <f t="shared" si="38"/>
        <v>FFDFD3C0</v>
      </c>
      <c r="D501" t="s">
        <v>136</v>
      </c>
      <c r="E501" t="str">
        <f>"0E"</f>
        <v>0E</v>
      </c>
      <c r="F501">
        <v>1014</v>
      </c>
      <c r="G501" t="s">
        <v>125</v>
      </c>
      <c r="J501" t="s">
        <v>137</v>
      </c>
      <c r="K501">
        <v>0</v>
      </c>
      <c r="L501">
        <v>3</v>
      </c>
      <c r="M501">
        <v>0</v>
      </c>
      <c r="N501">
        <v>2</v>
      </c>
      <c r="O501">
        <v>1</v>
      </c>
      <c r="P501">
        <v>0</v>
      </c>
      <c r="Q501">
        <v>0</v>
      </c>
      <c r="R501" t="s">
        <v>127</v>
      </c>
      <c r="S501" t="str">
        <f>"15:39:40.000"</f>
        <v>15:39:40.000</v>
      </c>
      <c r="T501" t="str">
        <f>"15:39:39.800"</f>
        <v>15:39:39.800</v>
      </c>
      <c r="U501" t="str">
        <f t="shared" si="39"/>
        <v>A55E09</v>
      </c>
      <c r="V501">
        <v>0</v>
      </c>
      <c r="W501">
        <v>0</v>
      </c>
      <c r="X501">
        <v>2</v>
      </c>
      <c r="Y501">
        <v>0</v>
      </c>
      <c r="AA501">
        <v>0</v>
      </c>
      <c r="AB501">
        <v>9</v>
      </c>
      <c r="AC501">
        <v>3</v>
      </c>
      <c r="AD501">
        <v>0</v>
      </c>
      <c r="AE501">
        <v>9</v>
      </c>
      <c r="AF501" t="s">
        <v>128</v>
      </c>
      <c r="AG501">
        <v>0</v>
      </c>
      <c r="AH501">
        <v>0</v>
      </c>
      <c r="AI501">
        <v>1</v>
      </c>
      <c r="AJ501">
        <v>0</v>
      </c>
      <c r="AK501" t="s">
        <v>374</v>
      </c>
      <c r="AL501">
        <v>33.704703000000002</v>
      </c>
      <c r="AM501" t="s">
        <v>364</v>
      </c>
      <c r="AN501">
        <v>-101.21051799999999</v>
      </c>
      <c r="AO501">
        <v>100</v>
      </c>
      <c r="AP501">
        <v>3200</v>
      </c>
      <c r="AQ501" t="s">
        <v>131</v>
      </c>
      <c r="AR501">
        <v>2</v>
      </c>
      <c r="AS501">
        <v>92</v>
      </c>
      <c r="AT501">
        <v>-128</v>
      </c>
      <c r="BB501" t="str">
        <f t="shared" si="40"/>
        <v>1200</v>
      </c>
      <c r="BC501">
        <v>1</v>
      </c>
      <c r="BD501" t="str">
        <f t="shared" si="41"/>
        <v xml:space="preserve">N445JS  </v>
      </c>
      <c r="BE501">
        <v>7</v>
      </c>
      <c r="BG501">
        <v>0</v>
      </c>
      <c r="BH501">
        <v>0</v>
      </c>
      <c r="BI501">
        <v>0</v>
      </c>
      <c r="BJ501">
        <v>2975</v>
      </c>
      <c r="BK501">
        <v>-225</v>
      </c>
      <c r="BL501" t="s">
        <v>132</v>
      </c>
      <c r="BM501">
        <v>1</v>
      </c>
      <c r="BN501">
        <v>1</v>
      </c>
      <c r="BO501">
        <v>1</v>
      </c>
      <c r="BP501">
        <v>0</v>
      </c>
      <c r="BT501">
        <v>0</v>
      </c>
      <c r="BU501">
        <v>0</v>
      </c>
      <c r="CE501" t="str">
        <f>"15:39:40.006"</f>
        <v>15:39:40.006</v>
      </c>
      <c r="CF501">
        <v>5555657</v>
      </c>
      <c r="CS501">
        <v>0</v>
      </c>
      <c r="CT501">
        <v>2</v>
      </c>
      <c r="CU501">
        <v>0</v>
      </c>
      <c r="CV501">
        <v>2</v>
      </c>
      <c r="CW501">
        <v>0</v>
      </c>
      <c r="CX501">
        <v>7</v>
      </c>
      <c r="CY501">
        <v>7</v>
      </c>
      <c r="CZ501" t="s">
        <v>133</v>
      </c>
      <c r="DA501">
        <v>125</v>
      </c>
      <c r="DB501">
        <v>1</v>
      </c>
      <c r="DC501" t="s">
        <v>134</v>
      </c>
      <c r="DD501" t="s">
        <v>135</v>
      </c>
      <c r="DG501">
        <v>2569887</v>
      </c>
      <c r="DI501">
        <v>0</v>
      </c>
      <c r="DJ501">
        <v>0</v>
      </c>
      <c r="DK501">
        <v>1</v>
      </c>
      <c r="DL501">
        <v>0</v>
      </c>
      <c r="DM501">
        <v>0</v>
      </c>
      <c r="DN501">
        <v>0</v>
      </c>
      <c r="DO501">
        <v>0</v>
      </c>
      <c r="DP501">
        <v>0</v>
      </c>
      <c r="DQ501">
        <v>0</v>
      </c>
      <c r="DR501">
        <v>0</v>
      </c>
      <c r="DS501">
        <v>0</v>
      </c>
    </row>
    <row r="502" spans="1:123" x14ac:dyDescent="0.25">
      <c r="A502" t="str">
        <f>"04/17/2026 15:39:41.202"</f>
        <v>04/17/2026 15:39:41.202</v>
      </c>
      <c r="C502" t="str">
        <f t="shared" si="38"/>
        <v>FFDFD3C0</v>
      </c>
      <c r="D502" t="s">
        <v>136</v>
      </c>
      <c r="E502" t="str">
        <f>"0E"</f>
        <v>0E</v>
      </c>
      <c r="F502">
        <v>1014</v>
      </c>
      <c r="G502" t="s">
        <v>125</v>
      </c>
      <c r="J502" t="s">
        <v>137</v>
      </c>
      <c r="K502">
        <v>0</v>
      </c>
      <c r="L502">
        <v>3</v>
      </c>
      <c r="M502">
        <v>0</v>
      </c>
      <c r="N502">
        <v>2</v>
      </c>
      <c r="O502">
        <v>1</v>
      </c>
      <c r="P502">
        <v>0</v>
      </c>
      <c r="Q502">
        <v>0</v>
      </c>
      <c r="R502" t="s">
        <v>127</v>
      </c>
      <c r="S502" t="str">
        <f>"15:39:40.961"</f>
        <v>15:39:40.961</v>
      </c>
      <c r="T502" t="str">
        <f>"15:39:40.761"</f>
        <v>15:39:40.761</v>
      </c>
      <c r="U502" t="str">
        <f t="shared" si="39"/>
        <v>A55E09</v>
      </c>
      <c r="V502">
        <v>0</v>
      </c>
      <c r="W502">
        <v>0</v>
      </c>
      <c r="X502">
        <v>2</v>
      </c>
      <c r="Y502">
        <v>0</v>
      </c>
      <c r="AA502">
        <v>0</v>
      </c>
      <c r="AB502">
        <v>9</v>
      </c>
      <c r="AC502">
        <v>3</v>
      </c>
      <c r="AD502">
        <v>0</v>
      </c>
      <c r="AE502">
        <v>9</v>
      </c>
      <c r="AF502" t="s">
        <v>128</v>
      </c>
      <c r="AG502">
        <v>0</v>
      </c>
      <c r="AH502">
        <v>0</v>
      </c>
      <c r="AI502">
        <v>1</v>
      </c>
      <c r="AJ502">
        <v>0</v>
      </c>
      <c r="AK502" t="s">
        <v>375</v>
      </c>
      <c r="AL502">
        <v>33.705089000000001</v>
      </c>
      <c r="AM502" t="s">
        <v>369</v>
      </c>
      <c r="AN502">
        <v>-101.210539</v>
      </c>
      <c r="AO502">
        <v>100</v>
      </c>
      <c r="AP502">
        <v>3200</v>
      </c>
      <c r="AQ502" t="s">
        <v>131</v>
      </c>
      <c r="AR502">
        <v>2</v>
      </c>
      <c r="AS502">
        <v>91</v>
      </c>
      <c r="AT502">
        <v>-64</v>
      </c>
      <c r="BB502" t="str">
        <f t="shared" si="40"/>
        <v>1200</v>
      </c>
      <c r="BC502">
        <v>1</v>
      </c>
      <c r="BD502" t="str">
        <f t="shared" si="41"/>
        <v xml:space="preserve">N445JS  </v>
      </c>
      <c r="BE502">
        <v>7</v>
      </c>
      <c r="BG502">
        <v>0</v>
      </c>
      <c r="BH502">
        <v>0</v>
      </c>
      <c r="BI502">
        <v>0</v>
      </c>
      <c r="BJ502">
        <v>2975</v>
      </c>
      <c r="BK502">
        <v>-225</v>
      </c>
      <c r="BL502" t="s">
        <v>132</v>
      </c>
      <c r="BM502">
        <v>1</v>
      </c>
      <c r="BN502">
        <v>1</v>
      </c>
      <c r="BO502">
        <v>1</v>
      </c>
      <c r="BP502">
        <v>0</v>
      </c>
      <c r="BT502">
        <v>0</v>
      </c>
      <c r="BU502">
        <v>0</v>
      </c>
      <c r="CE502" t="str">
        <f>"15:39:40.965"</f>
        <v>15:39:40.965</v>
      </c>
      <c r="CF502">
        <v>965461597</v>
      </c>
      <c r="CS502">
        <v>0</v>
      </c>
      <c r="CT502">
        <v>2</v>
      </c>
      <c r="CU502">
        <v>0</v>
      </c>
      <c r="CV502">
        <v>2</v>
      </c>
      <c r="CW502">
        <v>0</v>
      </c>
      <c r="CX502">
        <v>7</v>
      </c>
      <c r="CY502">
        <v>7</v>
      </c>
      <c r="CZ502" t="s">
        <v>133</v>
      </c>
      <c r="DA502">
        <v>125</v>
      </c>
      <c r="DB502">
        <v>0</v>
      </c>
      <c r="DC502" t="s">
        <v>134</v>
      </c>
      <c r="DD502" t="s">
        <v>135</v>
      </c>
      <c r="DG502">
        <v>3532874</v>
      </c>
      <c r="DI502">
        <v>0</v>
      </c>
      <c r="DJ502">
        <v>0</v>
      </c>
      <c r="DK502">
        <v>0</v>
      </c>
      <c r="DL502">
        <v>0</v>
      </c>
      <c r="DM502">
        <v>0</v>
      </c>
      <c r="DN502">
        <v>0</v>
      </c>
      <c r="DO502">
        <v>0</v>
      </c>
      <c r="DP502">
        <v>0</v>
      </c>
      <c r="DQ502">
        <v>0</v>
      </c>
      <c r="DR502">
        <v>0</v>
      </c>
      <c r="DS502">
        <v>0</v>
      </c>
    </row>
    <row r="503" spans="1:123" x14ac:dyDescent="0.25">
      <c r="A503" t="str">
        <f>"04/17/2026 15:39:41.213"</f>
        <v>04/17/2026 15:39:41.213</v>
      </c>
      <c r="C503" t="str">
        <f t="shared" si="38"/>
        <v>FFDFD3C0</v>
      </c>
      <c r="D503" t="s">
        <v>139</v>
      </c>
      <c r="E503" t="str">
        <f>"28"</f>
        <v>28</v>
      </c>
      <c r="H503">
        <v>140</v>
      </c>
      <c r="I503" t="s">
        <v>140</v>
      </c>
      <c r="J503" t="s">
        <v>141</v>
      </c>
      <c r="K503">
        <v>0</v>
      </c>
      <c r="L503">
        <v>3</v>
      </c>
      <c r="M503">
        <v>0</v>
      </c>
      <c r="N503">
        <v>2</v>
      </c>
      <c r="O503">
        <v>1</v>
      </c>
      <c r="P503">
        <v>0</v>
      </c>
      <c r="Q503">
        <v>0</v>
      </c>
      <c r="R503" t="s">
        <v>127</v>
      </c>
      <c r="S503" t="str">
        <f>"15:39:40.961"</f>
        <v>15:39:40.961</v>
      </c>
      <c r="T503" t="str">
        <f>"15:39:40.761"</f>
        <v>15:39:40.761</v>
      </c>
      <c r="U503" t="str">
        <f t="shared" si="39"/>
        <v>A55E09</v>
      </c>
      <c r="V503">
        <v>0</v>
      </c>
      <c r="W503">
        <v>0</v>
      </c>
      <c r="X503">
        <v>2</v>
      </c>
      <c r="Y503">
        <v>0</v>
      </c>
      <c r="AA503">
        <v>0</v>
      </c>
      <c r="AB503">
        <v>9</v>
      </c>
      <c r="AC503">
        <v>3</v>
      </c>
      <c r="AD503">
        <v>0</v>
      </c>
      <c r="AE503">
        <v>9</v>
      </c>
      <c r="AF503" t="s">
        <v>128</v>
      </c>
      <c r="AG503">
        <v>0</v>
      </c>
      <c r="AH503">
        <v>0</v>
      </c>
      <c r="AI503">
        <v>1</v>
      </c>
      <c r="AJ503">
        <v>0</v>
      </c>
      <c r="AK503" t="s">
        <v>375</v>
      </c>
      <c r="AL503">
        <v>33.705089000000001</v>
      </c>
      <c r="AM503" t="s">
        <v>369</v>
      </c>
      <c r="AN503">
        <v>-101.210539</v>
      </c>
      <c r="AO503">
        <v>100</v>
      </c>
      <c r="AP503">
        <v>3200</v>
      </c>
      <c r="AQ503" t="s">
        <v>131</v>
      </c>
      <c r="AR503">
        <v>2</v>
      </c>
      <c r="AS503">
        <v>91</v>
      </c>
      <c r="AT503">
        <v>-64</v>
      </c>
      <c r="BB503" t="str">
        <f t="shared" si="40"/>
        <v>1200</v>
      </c>
      <c r="BC503">
        <v>1</v>
      </c>
      <c r="BD503" t="str">
        <f t="shared" si="41"/>
        <v xml:space="preserve">N445JS  </v>
      </c>
      <c r="BE503">
        <v>7</v>
      </c>
      <c r="BG503">
        <v>0</v>
      </c>
      <c r="BH503">
        <v>0</v>
      </c>
      <c r="BI503">
        <v>0</v>
      </c>
      <c r="BJ503">
        <v>2975</v>
      </c>
      <c r="BK503">
        <v>-225</v>
      </c>
      <c r="BL503" t="s">
        <v>132</v>
      </c>
      <c r="BM503">
        <v>1</v>
      </c>
      <c r="BN503">
        <v>1</v>
      </c>
      <c r="BO503">
        <v>1</v>
      </c>
      <c r="BP503">
        <v>0</v>
      </c>
      <c r="BT503">
        <v>0</v>
      </c>
      <c r="BU503">
        <v>0</v>
      </c>
      <c r="CE503" t="str">
        <f>"15:39:40.965"</f>
        <v>15:39:40.965</v>
      </c>
      <c r="CF503">
        <v>965461597</v>
      </c>
      <c r="CS503">
        <v>0</v>
      </c>
      <c r="CT503">
        <v>2</v>
      </c>
      <c r="CU503">
        <v>0</v>
      </c>
      <c r="CV503">
        <v>2</v>
      </c>
      <c r="CW503">
        <v>0</v>
      </c>
      <c r="CX503">
        <v>7</v>
      </c>
      <c r="CY503">
        <v>7</v>
      </c>
      <c r="CZ503" t="s">
        <v>133</v>
      </c>
      <c r="DA503">
        <v>125</v>
      </c>
      <c r="DB503">
        <v>0</v>
      </c>
      <c r="DC503" t="s">
        <v>134</v>
      </c>
      <c r="DD503" t="s">
        <v>135</v>
      </c>
      <c r="DG503">
        <v>3532874</v>
      </c>
      <c r="DI503">
        <v>0</v>
      </c>
      <c r="DJ503">
        <v>0</v>
      </c>
      <c r="DK503">
        <v>1</v>
      </c>
      <c r="DL503">
        <v>0</v>
      </c>
      <c r="DM503">
        <v>0</v>
      </c>
      <c r="DN503">
        <v>0</v>
      </c>
      <c r="DO503">
        <v>0</v>
      </c>
      <c r="DP503">
        <v>0</v>
      </c>
      <c r="DQ503">
        <v>0</v>
      </c>
      <c r="DR503">
        <v>0</v>
      </c>
      <c r="DS503">
        <v>0</v>
      </c>
    </row>
    <row r="504" spans="1:123" x14ac:dyDescent="0.25">
      <c r="A504" t="str">
        <f>"04/17/2026 15:39:41.218"</f>
        <v>04/17/2026 15:39:41.218</v>
      </c>
      <c r="C504" t="str">
        <f t="shared" si="38"/>
        <v>FFDFD3C0</v>
      </c>
      <c r="D504" t="s">
        <v>136</v>
      </c>
      <c r="E504" t="str">
        <f>"0F"</f>
        <v>0F</v>
      </c>
      <c r="F504">
        <v>1015</v>
      </c>
      <c r="G504" t="s">
        <v>138</v>
      </c>
      <c r="J504" t="s">
        <v>137</v>
      </c>
      <c r="K504">
        <v>0</v>
      </c>
      <c r="L504">
        <v>3</v>
      </c>
      <c r="M504">
        <v>0</v>
      </c>
      <c r="N504">
        <v>2</v>
      </c>
      <c r="O504">
        <v>1</v>
      </c>
      <c r="P504">
        <v>0</v>
      </c>
      <c r="Q504">
        <v>0</v>
      </c>
      <c r="R504" t="s">
        <v>127</v>
      </c>
      <c r="S504" t="str">
        <f>"15:39:40.961"</f>
        <v>15:39:40.961</v>
      </c>
      <c r="T504" t="str">
        <f>"15:39:40.761"</f>
        <v>15:39:40.761</v>
      </c>
      <c r="U504" t="str">
        <f t="shared" si="39"/>
        <v>A55E09</v>
      </c>
      <c r="V504">
        <v>0</v>
      </c>
      <c r="W504">
        <v>0</v>
      </c>
      <c r="X504">
        <v>2</v>
      </c>
      <c r="Y504">
        <v>0</v>
      </c>
      <c r="AA504">
        <v>0</v>
      </c>
      <c r="AB504">
        <v>9</v>
      </c>
      <c r="AC504">
        <v>3</v>
      </c>
      <c r="AD504">
        <v>0</v>
      </c>
      <c r="AE504">
        <v>9</v>
      </c>
      <c r="AF504" t="s">
        <v>128</v>
      </c>
      <c r="AG504">
        <v>0</v>
      </c>
      <c r="AH504">
        <v>0</v>
      </c>
      <c r="AI504">
        <v>1</v>
      </c>
      <c r="AJ504">
        <v>0</v>
      </c>
      <c r="AK504" t="s">
        <v>375</v>
      </c>
      <c r="AL504">
        <v>33.705089000000001</v>
      </c>
      <c r="AM504" t="s">
        <v>369</v>
      </c>
      <c r="AN504">
        <v>-101.210539</v>
      </c>
      <c r="AO504">
        <v>100</v>
      </c>
      <c r="AP504">
        <v>3200</v>
      </c>
      <c r="AQ504" t="s">
        <v>131</v>
      </c>
      <c r="AR504">
        <v>2</v>
      </c>
      <c r="AS504">
        <v>91</v>
      </c>
      <c r="AT504">
        <v>-64</v>
      </c>
      <c r="BB504" t="str">
        <f t="shared" si="40"/>
        <v>1200</v>
      </c>
      <c r="BC504">
        <v>1</v>
      </c>
      <c r="BD504" t="str">
        <f t="shared" si="41"/>
        <v xml:space="preserve">N445JS  </v>
      </c>
      <c r="BE504">
        <v>7</v>
      </c>
      <c r="BG504">
        <v>0</v>
      </c>
      <c r="BH504">
        <v>0</v>
      </c>
      <c r="BI504">
        <v>0</v>
      </c>
      <c r="BJ504">
        <v>2975</v>
      </c>
      <c r="BK504">
        <v>-225</v>
      </c>
      <c r="BL504" t="s">
        <v>132</v>
      </c>
      <c r="BM504">
        <v>1</v>
      </c>
      <c r="BN504">
        <v>1</v>
      </c>
      <c r="BO504">
        <v>1</v>
      </c>
      <c r="BP504">
        <v>0</v>
      </c>
      <c r="BT504">
        <v>0</v>
      </c>
      <c r="BU504">
        <v>0</v>
      </c>
      <c r="CE504" t="str">
        <f>"15:39:40.965"</f>
        <v>15:39:40.965</v>
      </c>
      <c r="CF504">
        <v>965461597</v>
      </c>
      <c r="CS504">
        <v>0</v>
      </c>
      <c r="CT504">
        <v>2</v>
      </c>
      <c r="CU504">
        <v>0</v>
      </c>
      <c r="CV504">
        <v>2</v>
      </c>
      <c r="CW504">
        <v>0</v>
      </c>
      <c r="CX504">
        <v>7</v>
      </c>
      <c r="CY504">
        <v>7</v>
      </c>
      <c r="CZ504" t="s">
        <v>133</v>
      </c>
      <c r="DA504">
        <v>125</v>
      </c>
      <c r="DB504">
        <v>0</v>
      </c>
      <c r="DC504" t="s">
        <v>134</v>
      </c>
      <c r="DD504" t="s">
        <v>135</v>
      </c>
      <c r="DG504">
        <v>3532874</v>
      </c>
      <c r="DI504">
        <v>0</v>
      </c>
      <c r="DJ504">
        <v>0</v>
      </c>
      <c r="DK504">
        <v>1</v>
      </c>
      <c r="DL504">
        <v>0</v>
      </c>
      <c r="DM504">
        <v>0</v>
      </c>
      <c r="DN504">
        <v>0</v>
      </c>
      <c r="DO504">
        <v>0</v>
      </c>
      <c r="DP504">
        <v>0</v>
      </c>
      <c r="DQ504">
        <v>0</v>
      </c>
      <c r="DR504">
        <v>0</v>
      </c>
      <c r="DS504">
        <v>0</v>
      </c>
    </row>
    <row r="505" spans="1:123" x14ac:dyDescent="0.25">
      <c r="A505" t="str">
        <f>"04/17/2026 15:39:41.229"</f>
        <v>04/17/2026 15:39:41.229</v>
      </c>
      <c r="C505" t="str">
        <f t="shared" si="38"/>
        <v>FFDFD3C0</v>
      </c>
      <c r="D505" t="s">
        <v>124</v>
      </c>
      <c r="E505" t="str">
        <f>"03"</f>
        <v>03</v>
      </c>
      <c r="H505">
        <v>160</v>
      </c>
      <c r="I505" t="s">
        <v>125</v>
      </c>
      <c r="J505" t="s">
        <v>126</v>
      </c>
      <c r="K505">
        <v>0</v>
      </c>
      <c r="L505">
        <v>3</v>
      </c>
      <c r="M505">
        <v>0</v>
      </c>
      <c r="N505">
        <v>2</v>
      </c>
      <c r="O505">
        <v>1</v>
      </c>
      <c r="P505">
        <v>0</v>
      </c>
      <c r="Q505">
        <v>0</v>
      </c>
      <c r="R505" t="s">
        <v>127</v>
      </c>
      <c r="S505" t="str">
        <f>"15:39:40.961"</f>
        <v>15:39:40.961</v>
      </c>
      <c r="T505" t="str">
        <f>"15:39:40.761"</f>
        <v>15:39:40.761</v>
      </c>
      <c r="U505" t="str">
        <f t="shared" si="39"/>
        <v>A55E09</v>
      </c>
      <c r="V505">
        <v>0</v>
      </c>
      <c r="W505">
        <v>0</v>
      </c>
      <c r="X505">
        <v>2</v>
      </c>
      <c r="Y505">
        <v>0</v>
      </c>
      <c r="AA505">
        <v>0</v>
      </c>
      <c r="AB505">
        <v>9</v>
      </c>
      <c r="AC505">
        <v>3</v>
      </c>
      <c r="AD505">
        <v>0</v>
      </c>
      <c r="AE505">
        <v>9</v>
      </c>
      <c r="AF505" t="s">
        <v>128</v>
      </c>
      <c r="AG505">
        <v>0</v>
      </c>
      <c r="AH505">
        <v>0</v>
      </c>
      <c r="AI505">
        <v>1</v>
      </c>
      <c r="AJ505">
        <v>0</v>
      </c>
      <c r="AK505" t="s">
        <v>375</v>
      </c>
      <c r="AL505">
        <v>33.705089000000001</v>
      </c>
      <c r="AM505" t="s">
        <v>369</v>
      </c>
      <c r="AN505">
        <v>-101.210539</v>
      </c>
      <c r="AO505">
        <v>100</v>
      </c>
      <c r="AP505">
        <v>3200</v>
      </c>
      <c r="AQ505" t="s">
        <v>131</v>
      </c>
      <c r="AR505">
        <v>2</v>
      </c>
      <c r="AS505">
        <v>91</v>
      </c>
      <c r="AT505">
        <v>-64</v>
      </c>
      <c r="BB505" t="str">
        <f t="shared" si="40"/>
        <v>1200</v>
      </c>
      <c r="BC505">
        <v>1</v>
      </c>
      <c r="BD505" t="str">
        <f t="shared" si="41"/>
        <v xml:space="preserve">N445JS  </v>
      </c>
      <c r="BE505">
        <v>7</v>
      </c>
      <c r="BG505">
        <v>0</v>
      </c>
      <c r="BH505">
        <v>0</v>
      </c>
      <c r="BI505">
        <v>0</v>
      </c>
      <c r="BJ505">
        <v>2975</v>
      </c>
      <c r="BK505">
        <v>-225</v>
      </c>
      <c r="BL505" t="s">
        <v>132</v>
      </c>
      <c r="BM505">
        <v>1</v>
      </c>
      <c r="BN505">
        <v>1</v>
      </c>
      <c r="BO505">
        <v>1</v>
      </c>
      <c r="BP505">
        <v>0</v>
      </c>
      <c r="BT505">
        <v>0</v>
      </c>
      <c r="BU505">
        <v>0</v>
      </c>
      <c r="CE505" t="str">
        <f>"15:39:40.965"</f>
        <v>15:39:40.965</v>
      </c>
      <c r="CF505">
        <v>965461597</v>
      </c>
      <c r="CS505">
        <v>0</v>
      </c>
      <c r="CT505">
        <v>2</v>
      </c>
      <c r="CU505">
        <v>0</v>
      </c>
      <c r="CV505">
        <v>2</v>
      </c>
      <c r="CW505">
        <v>0</v>
      </c>
      <c r="CX505">
        <v>7</v>
      </c>
      <c r="CY505">
        <v>7</v>
      </c>
      <c r="CZ505" t="s">
        <v>133</v>
      </c>
      <c r="DA505">
        <v>125</v>
      </c>
      <c r="DB505">
        <v>0</v>
      </c>
      <c r="DC505" t="s">
        <v>134</v>
      </c>
      <c r="DD505" t="s">
        <v>135</v>
      </c>
      <c r="DG505">
        <v>3532874</v>
      </c>
      <c r="DI505">
        <v>0</v>
      </c>
      <c r="DJ505">
        <v>0</v>
      </c>
      <c r="DK505">
        <v>1</v>
      </c>
      <c r="DL505">
        <v>0</v>
      </c>
      <c r="DM505">
        <v>0</v>
      </c>
      <c r="DN505">
        <v>0</v>
      </c>
      <c r="DO505">
        <v>0</v>
      </c>
      <c r="DP505">
        <v>0</v>
      </c>
      <c r="DQ505">
        <v>0</v>
      </c>
      <c r="DR505">
        <v>0</v>
      </c>
      <c r="DS505">
        <v>0</v>
      </c>
    </row>
    <row r="506" spans="1:123" x14ac:dyDescent="0.25">
      <c r="A506" t="str">
        <f>"04/17/2026 15:39:42.203"</f>
        <v>04/17/2026 15:39:42.203</v>
      </c>
      <c r="C506" t="str">
        <f t="shared" si="38"/>
        <v>FFDFD3C0</v>
      </c>
      <c r="D506" t="s">
        <v>136</v>
      </c>
      <c r="E506" t="str">
        <f>"0E"</f>
        <v>0E</v>
      </c>
      <c r="F506">
        <v>1014</v>
      </c>
      <c r="G506" t="s">
        <v>125</v>
      </c>
      <c r="J506" t="s">
        <v>137</v>
      </c>
      <c r="K506">
        <v>0</v>
      </c>
      <c r="L506">
        <v>3</v>
      </c>
      <c r="M506">
        <v>0</v>
      </c>
      <c r="N506">
        <v>2</v>
      </c>
      <c r="O506">
        <v>1</v>
      </c>
      <c r="P506">
        <v>0</v>
      </c>
      <c r="Q506">
        <v>0</v>
      </c>
      <c r="R506" t="s">
        <v>127</v>
      </c>
      <c r="S506" t="str">
        <f>"15:39:41.953"</f>
        <v>15:39:41.953</v>
      </c>
      <c r="T506" t="str">
        <f>"15:39:41.753"</f>
        <v>15:39:41.753</v>
      </c>
      <c r="U506" t="str">
        <f t="shared" si="39"/>
        <v>A55E09</v>
      </c>
      <c r="V506">
        <v>0</v>
      </c>
      <c r="W506">
        <v>0</v>
      </c>
      <c r="X506">
        <v>2</v>
      </c>
      <c r="Y506">
        <v>0</v>
      </c>
      <c r="AA506">
        <v>0</v>
      </c>
      <c r="AB506">
        <v>9</v>
      </c>
      <c r="AC506">
        <v>3</v>
      </c>
      <c r="AD506">
        <v>0</v>
      </c>
      <c r="AE506">
        <v>9</v>
      </c>
      <c r="AF506" t="s">
        <v>128</v>
      </c>
      <c r="AG506">
        <v>0</v>
      </c>
      <c r="AH506">
        <v>0</v>
      </c>
      <c r="AI506">
        <v>1</v>
      </c>
      <c r="AJ506">
        <v>0</v>
      </c>
      <c r="AK506" t="s">
        <v>376</v>
      </c>
      <c r="AL506">
        <v>33.705539999999999</v>
      </c>
      <c r="AM506" t="s">
        <v>364</v>
      </c>
      <c r="AN506">
        <v>-101.21051799999999</v>
      </c>
      <c r="AO506">
        <v>100</v>
      </c>
      <c r="AP506">
        <v>3200</v>
      </c>
      <c r="AQ506" t="s">
        <v>131</v>
      </c>
      <c r="AR506">
        <v>3</v>
      </c>
      <c r="AS506">
        <v>91</v>
      </c>
      <c r="AT506">
        <v>0</v>
      </c>
      <c r="BB506" t="str">
        <f t="shared" si="40"/>
        <v>1200</v>
      </c>
      <c r="BC506">
        <v>1</v>
      </c>
      <c r="BD506" t="str">
        <f t="shared" si="41"/>
        <v xml:space="preserve">N445JS  </v>
      </c>
      <c r="BE506">
        <v>7</v>
      </c>
      <c r="BG506">
        <v>0</v>
      </c>
      <c r="BH506">
        <v>0</v>
      </c>
      <c r="BI506">
        <v>0</v>
      </c>
      <c r="BJ506">
        <v>2975</v>
      </c>
      <c r="BK506">
        <v>-225</v>
      </c>
      <c r="BL506" t="s">
        <v>132</v>
      </c>
      <c r="BM506">
        <v>1</v>
      </c>
      <c r="BN506">
        <v>1</v>
      </c>
      <c r="BO506">
        <v>1</v>
      </c>
      <c r="BP506">
        <v>0</v>
      </c>
      <c r="BT506">
        <v>0</v>
      </c>
      <c r="BU506">
        <v>0</v>
      </c>
      <c r="CE506" t="str">
        <f>"15:39:41.955"</f>
        <v>15:39:41.955</v>
      </c>
      <c r="CF506">
        <v>955364604</v>
      </c>
      <c r="CS506">
        <v>0</v>
      </c>
      <c r="CT506">
        <v>2</v>
      </c>
      <c r="CU506">
        <v>0</v>
      </c>
      <c r="CV506">
        <v>2</v>
      </c>
      <c r="CW506">
        <v>0</v>
      </c>
      <c r="CX506">
        <v>7</v>
      </c>
      <c r="CY506">
        <v>7</v>
      </c>
      <c r="CZ506" t="s">
        <v>133</v>
      </c>
      <c r="DA506">
        <v>125</v>
      </c>
      <c r="DB506">
        <v>0</v>
      </c>
      <c r="DC506" t="s">
        <v>134</v>
      </c>
      <c r="DD506" t="s">
        <v>135</v>
      </c>
      <c r="DG506">
        <v>3533903</v>
      </c>
      <c r="DI506">
        <v>0</v>
      </c>
      <c r="DJ506">
        <v>0</v>
      </c>
      <c r="DK506">
        <v>0</v>
      </c>
      <c r="DL506">
        <v>0</v>
      </c>
      <c r="DM506">
        <v>0</v>
      </c>
      <c r="DN506">
        <v>0</v>
      </c>
      <c r="DO506">
        <v>0</v>
      </c>
      <c r="DP506">
        <v>0</v>
      </c>
      <c r="DQ506">
        <v>0</v>
      </c>
      <c r="DR506">
        <v>0</v>
      </c>
      <c r="DS506">
        <v>0</v>
      </c>
    </row>
    <row r="507" spans="1:123" x14ac:dyDescent="0.25">
      <c r="A507" t="str">
        <f>"04/17/2026 15:39:42.231"</f>
        <v>04/17/2026 15:39:42.231</v>
      </c>
      <c r="C507" t="str">
        <f t="shared" si="38"/>
        <v>FFDFD3C0</v>
      </c>
      <c r="D507" t="s">
        <v>124</v>
      </c>
      <c r="E507" t="str">
        <f>"03"</f>
        <v>03</v>
      </c>
      <c r="H507">
        <v>160</v>
      </c>
      <c r="I507" t="s">
        <v>125</v>
      </c>
      <c r="J507" t="s">
        <v>126</v>
      </c>
      <c r="K507">
        <v>0</v>
      </c>
      <c r="L507">
        <v>3</v>
      </c>
      <c r="M507">
        <v>0</v>
      </c>
      <c r="N507">
        <v>2</v>
      </c>
      <c r="O507">
        <v>1</v>
      </c>
      <c r="P507">
        <v>0</v>
      </c>
      <c r="Q507">
        <v>0</v>
      </c>
      <c r="R507" t="s">
        <v>127</v>
      </c>
      <c r="S507" t="str">
        <f>"15:39:41.953"</f>
        <v>15:39:41.953</v>
      </c>
      <c r="T507" t="str">
        <f>"15:39:41.753"</f>
        <v>15:39:41.753</v>
      </c>
      <c r="U507" t="str">
        <f t="shared" si="39"/>
        <v>A55E09</v>
      </c>
      <c r="V507">
        <v>0</v>
      </c>
      <c r="W507">
        <v>0</v>
      </c>
      <c r="X507">
        <v>2</v>
      </c>
      <c r="Y507">
        <v>0</v>
      </c>
      <c r="AA507">
        <v>0</v>
      </c>
      <c r="AB507">
        <v>9</v>
      </c>
      <c r="AC507">
        <v>3</v>
      </c>
      <c r="AD507">
        <v>0</v>
      </c>
      <c r="AE507">
        <v>9</v>
      </c>
      <c r="AF507" t="s">
        <v>128</v>
      </c>
      <c r="AG507">
        <v>0</v>
      </c>
      <c r="AH507">
        <v>0</v>
      </c>
      <c r="AI507">
        <v>1</v>
      </c>
      <c r="AJ507">
        <v>0</v>
      </c>
      <c r="AK507" t="s">
        <v>376</v>
      </c>
      <c r="AL507">
        <v>33.705539999999999</v>
      </c>
      <c r="AM507" t="s">
        <v>364</v>
      </c>
      <c r="AN507">
        <v>-101.21051799999999</v>
      </c>
      <c r="AO507">
        <v>100</v>
      </c>
      <c r="AP507">
        <v>3200</v>
      </c>
      <c r="AQ507" t="s">
        <v>131</v>
      </c>
      <c r="AR507">
        <v>3</v>
      </c>
      <c r="AS507">
        <v>91</v>
      </c>
      <c r="AT507">
        <v>0</v>
      </c>
      <c r="BB507" t="str">
        <f t="shared" si="40"/>
        <v>1200</v>
      </c>
      <c r="BC507">
        <v>1</v>
      </c>
      <c r="BD507" t="str">
        <f t="shared" si="41"/>
        <v xml:space="preserve">N445JS  </v>
      </c>
      <c r="BE507">
        <v>7</v>
      </c>
      <c r="BG507">
        <v>0</v>
      </c>
      <c r="BH507">
        <v>0</v>
      </c>
      <c r="BI507">
        <v>0</v>
      </c>
      <c r="BJ507">
        <v>2975</v>
      </c>
      <c r="BK507">
        <v>-225</v>
      </c>
      <c r="BL507" t="s">
        <v>132</v>
      </c>
      <c r="BM507">
        <v>1</v>
      </c>
      <c r="BN507">
        <v>1</v>
      </c>
      <c r="BO507">
        <v>1</v>
      </c>
      <c r="BP507">
        <v>0</v>
      </c>
      <c r="BT507">
        <v>0</v>
      </c>
      <c r="BU507">
        <v>0</v>
      </c>
      <c r="CE507" t="str">
        <f>"15:39:41.955"</f>
        <v>15:39:41.955</v>
      </c>
      <c r="CF507">
        <v>955364604</v>
      </c>
      <c r="CS507">
        <v>0</v>
      </c>
      <c r="CT507">
        <v>2</v>
      </c>
      <c r="CU507">
        <v>0</v>
      </c>
      <c r="CV507">
        <v>2</v>
      </c>
      <c r="CW507">
        <v>0</v>
      </c>
      <c r="CX507">
        <v>7</v>
      </c>
      <c r="CY507">
        <v>7</v>
      </c>
      <c r="CZ507" t="s">
        <v>133</v>
      </c>
      <c r="DA507">
        <v>125</v>
      </c>
      <c r="DB507">
        <v>0</v>
      </c>
      <c r="DC507" t="s">
        <v>134</v>
      </c>
      <c r="DD507" t="s">
        <v>135</v>
      </c>
      <c r="DG507">
        <v>3533903</v>
      </c>
      <c r="DI507">
        <v>0</v>
      </c>
      <c r="DJ507">
        <v>0</v>
      </c>
      <c r="DK507">
        <v>1</v>
      </c>
      <c r="DL507">
        <v>0</v>
      </c>
      <c r="DM507">
        <v>0</v>
      </c>
      <c r="DN507">
        <v>0</v>
      </c>
      <c r="DO507">
        <v>0</v>
      </c>
      <c r="DP507">
        <v>0</v>
      </c>
      <c r="DQ507">
        <v>0</v>
      </c>
      <c r="DR507">
        <v>0</v>
      </c>
      <c r="DS507">
        <v>0</v>
      </c>
    </row>
    <row r="508" spans="1:123" x14ac:dyDescent="0.25">
      <c r="A508" t="str">
        <f>"04/17/2026 15:39:42.220"</f>
        <v>04/17/2026 15:39:42.220</v>
      </c>
      <c r="C508" t="str">
        <f t="shared" si="38"/>
        <v>FFDFD3C0</v>
      </c>
      <c r="D508" t="s">
        <v>136</v>
      </c>
      <c r="E508" t="str">
        <f>"0F"</f>
        <v>0F</v>
      </c>
      <c r="F508">
        <v>1015</v>
      </c>
      <c r="G508" t="s">
        <v>138</v>
      </c>
      <c r="J508" t="s">
        <v>137</v>
      </c>
      <c r="K508">
        <v>0</v>
      </c>
      <c r="L508">
        <v>3</v>
      </c>
      <c r="M508">
        <v>0</v>
      </c>
      <c r="N508">
        <v>2</v>
      </c>
      <c r="O508">
        <v>1</v>
      </c>
      <c r="P508">
        <v>0</v>
      </c>
      <c r="Q508">
        <v>0</v>
      </c>
      <c r="R508" t="s">
        <v>127</v>
      </c>
      <c r="S508" t="str">
        <f>"15:39:41.953"</f>
        <v>15:39:41.953</v>
      </c>
      <c r="T508" t="str">
        <f>"15:39:41.753"</f>
        <v>15:39:41.753</v>
      </c>
      <c r="U508" t="str">
        <f t="shared" si="39"/>
        <v>A55E09</v>
      </c>
      <c r="V508">
        <v>0</v>
      </c>
      <c r="W508">
        <v>0</v>
      </c>
      <c r="X508">
        <v>2</v>
      </c>
      <c r="Y508">
        <v>0</v>
      </c>
      <c r="AA508">
        <v>0</v>
      </c>
      <c r="AB508">
        <v>9</v>
      </c>
      <c r="AC508">
        <v>3</v>
      </c>
      <c r="AD508">
        <v>0</v>
      </c>
      <c r="AE508">
        <v>9</v>
      </c>
      <c r="AF508" t="s">
        <v>128</v>
      </c>
      <c r="AG508">
        <v>0</v>
      </c>
      <c r="AH508">
        <v>0</v>
      </c>
      <c r="AI508">
        <v>1</v>
      </c>
      <c r="AJ508">
        <v>0</v>
      </c>
      <c r="AK508" t="s">
        <v>376</v>
      </c>
      <c r="AL508">
        <v>33.705539999999999</v>
      </c>
      <c r="AM508" t="s">
        <v>364</v>
      </c>
      <c r="AN508">
        <v>-101.21051799999999</v>
      </c>
      <c r="AO508">
        <v>100</v>
      </c>
      <c r="AP508">
        <v>3200</v>
      </c>
      <c r="AQ508" t="s">
        <v>131</v>
      </c>
      <c r="AR508">
        <v>3</v>
      </c>
      <c r="AS508">
        <v>91</v>
      </c>
      <c r="AT508">
        <v>0</v>
      </c>
      <c r="BB508" t="str">
        <f t="shared" si="40"/>
        <v>1200</v>
      </c>
      <c r="BC508">
        <v>1</v>
      </c>
      <c r="BD508" t="str">
        <f t="shared" si="41"/>
        <v xml:space="preserve">N445JS  </v>
      </c>
      <c r="BE508">
        <v>7</v>
      </c>
      <c r="BG508">
        <v>0</v>
      </c>
      <c r="BH508">
        <v>0</v>
      </c>
      <c r="BI508">
        <v>0</v>
      </c>
      <c r="BJ508">
        <v>2975</v>
      </c>
      <c r="BK508">
        <v>-225</v>
      </c>
      <c r="BL508" t="s">
        <v>132</v>
      </c>
      <c r="BM508">
        <v>1</v>
      </c>
      <c r="BN508">
        <v>1</v>
      </c>
      <c r="BO508">
        <v>1</v>
      </c>
      <c r="BP508">
        <v>0</v>
      </c>
      <c r="BT508">
        <v>0</v>
      </c>
      <c r="BU508">
        <v>0</v>
      </c>
      <c r="CE508" t="str">
        <f>"15:39:41.955"</f>
        <v>15:39:41.955</v>
      </c>
      <c r="CF508">
        <v>955364604</v>
      </c>
      <c r="CS508">
        <v>0</v>
      </c>
      <c r="CT508">
        <v>2</v>
      </c>
      <c r="CU508">
        <v>0</v>
      </c>
      <c r="CV508">
        <v>2</v>
      </c>
      <c r="CW508">
        <v>0</v>
      </c>
      <c r="CX508">
        <v>7</v>
      </c>
      <c r="CY508">
        <v>7</v>
      </c>
      <c r="CZ508" t="s">
        <v>133</v>
      </c>
      <c r="DA508">
        <v>125</v>
      </c>
      <c r="DB508">
        <v>0</v>
      </c>
      <c r="DC508" t="s">
        <v>134</v>
      </c>
      <c r="DD508" t="s">
        <v>135</v>
      </c>
      <c r="DG508">
        <v>3533903</v>
      </c>
      <c r="DI508">
        <v>0</v>
      </c>
      <c r="DJ508">
        <v>0</v>
      </c>
      <c r="DK508">
        <v>1</v>
      </c>
      <c r="DL508">
        <v>0</v>
      </c>
      <c r="DM508">
        <v>0</v>
      </c>
      <c r="DN508">
        <v>0</v>
      </c>
      <c r="DO508">
        <v>0</v>
      </c>
      <c r="DP508">
        <v>0</v>
      </c>
      <c r="DQ508">
        <v>0</v>
      </c>
      <c r="DR508">
        <v>0</v>
      </c>
      <c r="DS508">
        <v>0</v>
      </c>
    </row>
    <row r="509" spans="1:123" x14ac:dyDescent="0.25">
      <c r="A509" t="str">
        <f>"04/17/2026 15:39:42.216"</f>
        <v>04/17/2026 15:39:42.216</v>
      </c>
      <c r="C509" t="str">
        <f t="shared" si="38"/>
        <v>FFDFD3C0</v>
      </c>
      <c r="D509" t="s">
        <v>139</v>
      </c>
      <c r="E509" t="str">
        <f>"28"</f>
        <v>28</v>
      </c>
      <c r="H509">
        <v>140</v>
      </c>
      <c r="I509" t="s">
        <v>140</v>
      </c>
      <c r="J509" t="s">
        <v>141</v>
      </c>
      <c r="K509">
        <v>0</v>
      </c>
      <c r="L509">
        <v>3</v>
      </c>
      <c r="M509">
        <v>0</v>
      </c>
      <c r="N509">
        <v>2</v>
      </c>
      <c r="O509">
        <v>1</v>
      </c>
      <c r="P509">
        <v>0</v>
      </c>
      <c r="Q509">
        <v>0</v>
      </c>
      <c r="R509" t="s">
        <v>127</v>
      </c>
      <c r="S509" t="str">
        <f>"15:39:41.953"</f>
        <v>15:39:41.953</v>
      </c>
      <c r="T509" t="str">
        <f>"15:39:41.753"</f>
        <v>15:39:41.753</v>
      </c>
      <c r="U509" t="str">
        <f t="shared" si="39"/>
        <v>A55E09</v>
      </c>
      <c r="V509">
        <v>0</v>
      </c>
      <c r="W509">
        <v>0</v>
      </c>
      <c r="X509">
        <v>2</v>
      </c>
      <c r="Y509">
        <v>0</v>
      </c>
      <c r="AA509">
        <v>0</v>
      </c>
      <c r="AB509">
        <v>9</v>
      </c>
      <c r="AC509">
        <v>3</v>
      </c>
      <c r="AD509">
        <v>0</v>
      </c>
      <c r="AE509">
        <v>9</v>
      </c>
      <c r="AF509" t="s">
        <v>128</v>
      </c>
      <c r="AG509">
        <v>0</v>
      </c>
      <c r="AH509">
        <v>0</v>
      </c>
      <c r="AI509">
        <v>1</v>
      </c>
      <c r="AJ509">
        <v>0</v>
      </c>
      <c r="AK509" t="s">
        <v>376</v>
      </c>
      <c r="AL509">
        <v>33.705539999999999</v>
      </c>
      <c r="AM509" t="s">
        <v>364</v>
      </c>
      <c r="AN509">
        <v>-101.21051799999999</v>
      </c>
      <c r="AO509">
        <v>100</v>
      </c>
      <c r="AP509">
        <v>3200</v>
      </c>
      <c r="AQ509" t="s">
        <v>131</v>
      </c>
      <c r="AR509">
        <v>3</v>
      </c>
      <c r="AS509">
        <v>91</v>
      </c>
      <c r="AT509">
        <v>0</v>
      </c>
      <c r="BB509" t="str">
        <f t="shared" si="40"/>
        <v>1200</v>
      </c>
      <c r="BC509">
        <v>1</v>
      </c>
      <c r="BD509" t="str">
        <f t="shared" si="41"/>
        <v xml:space="preserve">N445JS  </v>
      </c>
      <c r="BE509">
        <v>7</v>
      </c>
      <c r="BG509">
        <v>0</v>
      </c>
      <c r="BH509">
        <v>0</v>
      </c>
      <c r="BI509">
        <v>0</v>
      </c>
      <c r="BJ509">
        <v>2975</v>
      </c>
      <c r="BK509">
        <v>-225</v>
      </c>
      <c r="BL509" t="s">
        <v>132</v>
      </c>
      <c r="BM509">
        <v>1</v>
      </c>
      <c r="BN509">
        <v>1</v>
      </c>
      <c r="BO509">
        <v>1</v>
      </c>
      <c r="BP509">
        <v>0</v>
      </c>
      <c r="BT509">
        <v>0</v>
      </c>
      <c r="BU509">
        <v>0</v>
      </c>
      <c r="CE509" t="str">
        <f>"15:39:41.955"</f>
        <v>15:39:41.955</v>
      </c>
      <c r="CF509">
        <v>955364604</v>
      </c>
      <c r="CS509">
        <v>0</v>
      </c>
      <c r="CT509">
        <v>2</v>
      </c>
      <c r="CU509">
        <v>0</v>
      </c>
      <c r="CV509">
        <v>2</v>
      </c>
      <c r="CW509">
        <v>0</v>
      </c>
      <c r="CX509">
        <v>7</v>
      </c>
      <c r="CY509">
        <v>7</v>
      </c>
      <c r="CZ509" t="s">
        <v>133</v>
      </c>
      <c r="DA509">
        <v>125</v>
      </c>
      <c r="DB509">
        <v>0</v>
      </c>
      <c r="DC509" t="s">
        <v>134</v>
      </c>
      <c r="DD509" t="s">
        <v>135</v>
      </c>
      <c r="DG509">
        <v>3533903</v>
      </c>
      <c r="DI509">
        <v>0</v>
      </c>
      <c r="DJ509">
        <v>0</v>
      </c>
      <c r="DK509">
        <v>1</v>
      </c>
      <c r="DL509">
        <v>0</v>
      </c>
      <c r="DM509">
        <v>0</v>
      </c>
      <c r="DN509">
        <v>0</v>
      </c>
      <c r="DO509">
        <v>0</v>
      </c>
      <c r="DP509">
        <v>0</v>
      </c>
      <c r="DQ509">
        <v>0</v>
      </c>
      <c r="DR509">
        <v>0</v>
      </c>
      <c r="DS509">
        <v>0</v>
      </c>
    </row>
    <row r="510" spans="1:123" x14ac:dyDescent="0.25">
      <c r="A510" t="str">
        <f>"04/17/2026 15:39:43.233"</f>
        <v>04/17/2026 15:39:43.233</v>
      </c>
      <c r="C510" t="str">
        <f t="shared" si="38"/>
        <v>FFDFD3C0</v>
      </c>
      <c r="D510" t="s">
        <v>124</v>
      </c>
      <c r="E510" t="str">
        <f>"03"</f>
        <v>03</v>
      </c>
      <c r="H510">
        <v>160</v>
      </c>
      <c r="I510" t="s">
        <v>125</v>
      </c>
      <c r="J510" t="s">
        <v>126</v>
      </c>
      <c r="K510">
        <v>0</v>
      </c>
      <c r="L510">
        <v>3</v>
      </c>
      <c r="M510">
        <v>0</v>
      </c>
      <c r="N510">
        <v>2</v>
      </c>
      <c r="O510">
        <v>1</v>
      </c>
      <c r="P510">
        <v>0</v>
      </c>
      <c r="Q510">
        <v>0</v>
      </c>
      <c r="R510" t="s">
        <v>127</v>
      </c>
      <c r="S510" t="str">
        <f>"15:39:42.984"</f>
        <v>15:39:42.984</v>
      </c>
      <c r="T510" t="str">
        <f>"15:39:42.784"</f>
        <v>15:39:42.784</v>
      </c>
      <c r="U510" t="str">
        <f t="shared" si="39"/>
        <v>A55E09</v>
      </c>
      <c r="V510">
        <v>0</v>
      </c>
      <c r="W510">
        <v>0</v>
      </c>
      <c r="X510">
        <v>2</v>
      </c>
      <c r="Y510">
        <v>0</v>
      </c>
      <c r="AA510">
        <v>0</v>
      </c>
      <c r="AB510">
        <v>9</v>
      </c>
      <c r="AC510">
        <v>3</v>
      </c>
      <c r="AD510">
        <v>0</v>
      </c>
      <c r="AE510">
        <v>9</v>
      </c>
      <c r="AF510" t="s">
        <v>128</v>
      </c>
      <c r="AG510">
        <v>0</v>
      </c>
      <c r="AH510">
        <v>0</v>
      </c>
      <c r="AI510">
        <v>1</v>
      </c>
      <c r="AJ510">
        <v>0</v>
      </c>
      <c r="AK510" t="s">
        <v>377</v>
      </c>
      <c r="AL510">
        <v>33.705969000000003</v>
      </c>
      <c r="AM510" t="s">
        <v>362</v>
      </c>
      <c r="AN510">
        <v>-101.210475</v>
      </c>
      <c r="AO510">
        <v>100</v>
      </c>
      <c r="AP510">
        <v>3200</v>
      </c>
      <c r="AQ510" t="s">
        <v>131</v>
      </c>
      <c r="AR510">
        <v>5</v>
      </c>
      <c r="AS510">
        <v>90</v>
      </c>
      <c r="AT510">
        <v>-64</v>
      </c>
      <c r="BB510" t="str">
        <f t="shared" si="40"/>
        <v>1200</v>
      </c>
      <c r="BC510">
        <v>1</v>
      </c>
      <c r="BD510" t="str">
        <f t="shared" si="41"/>
        <v xml:space="preserve">N445JS  </v>
      </c>
      <c r="BE510">
        <v>7</v>
      </c>
      <c r="BG510">
        <v>0</v>
      </c>
      <c r="BH510">
        <v>0</v>
      </c>
      <c r="BI510">
        <v>0</v>
      </c>
      <c r="BJ510">
        <v>2975</v>
      </c>
      <c r="BK510">
        <v>-225</v>
      </c>
      <c r="BL510" t="s">
        <v>132</v>
      </c>
      <c r="BM510">
        <v>1</v>
      </c>
      <c r="BN510">
        <v>1</v>
      </c>
      <c r="BO510">
        <v>1</v>
      </c>
      <c r="BP510">
        <v>0</v>
      </c>
      <c r="BT510">
        <v>0</v>
      </c>
      <c r="BU510">
        <v>0</v>
      </c>
      <c r="CE510" t="str">
        <f>"15:39:42.990"</f>
        <v>15:39:42.990</v>
      </c>
      <c r="CF510">
        <v>990263226</v>
      </c>
      <c r="CS510">
        <v>0</v>
      </c>
      <c r="CT510">
        <v>2</v>
      </c>
      <c r="CU510">
        <v>0</v>
      </c>
      <c r="CV510">
        <v>2</v>
      </c>
      <c r="CW510">
        <v>0</v>
      </c>
      <c r="CX510">
        <v>7</v>
      </c>
      <c r="CY510">
        <v>7</v>
      </c>
      <c r="CZ510" t="s">
        <v>133</v>
      </c>
      <c r="DA510">
        <v>125</v>
      </c>
      <c r="DB510">
        <v>1</v>
      </c>
      <c r="DC510" t="s">
        <v>134</v>
      </c>
      <c r="DD510" t="s">
        <v>135</v>
      </c>
      <c r="DG510">
        <v>2572793</v>
      </c>
      <c r="DI510">
        <v>0</v>
      </c>
      <c r="DJ510">
        <v>0</v>
      </c>
      <c r="DK510">
        <v>0</v>
      </c>
      <c r="DL510">
        <v>0</v>
      </c>
      <c r="DM510">
        <v>0</v>
      </c>
      <c r="DN510">
        <v>0</v>
      </c>
      <c r="DO510">
        <v>0</v>
      </c>
      <c r="DP510">
        <v>0</v>
      </c>
      <c r="DQ510">
        <v>0</v>
      </c>
      <c r="DR510">
        <v>0</v>
      </c>
      <c r="DS510">
        <v>0</v>
      </c>
    </row>
    <row r="511" spans="1:123" x14ac:dyDescent="0.25">
      <c r="A511" t="str">
        <f>"04/17/2026 15:39:43.255"</f>
        <v>04/17/2026 15:39:43.255</v>
      </c>
      <c r="C511" t="str">
        <f t="shared" si="38"/>
        <v>FFDFD3C0</v>
      </c>
      <c r="D511" t="s">
        <v>136</v>
      </c>
      <c r="E511" t="str">
        <f>"0E"</f>
        <v>0E</v>
      </c>
      <c r="F511">
        <v>1014</v>
      </c>
      <c r="G511" t="s">
        <v>125</v>
      </c>
      <c r="J511" t="s">
        <v>137</v>
      </c>
      <c r="K511">
        <v>0</v>
      </c>
      <c r="L511">
        <v>3</v>
      </c>
      <c r="M511">
        <v>0</v>
      </c>
      <c r="N511">
        <v>2</v>
      </c>
      <c r="O511">
        <v>1</v>
      </c>
      <c r="P511">
        <v>0</v>
      </c>
      <c r="Q511">
        <v>0</v>
      </c>
      <c r="R511" t="s">
        <v>127</v>
      </c>
      <c r="S511" t="str">
        <f>"15:39:42.984"</f>
        <v>15:39:42.984</v>
      </c>
      <c r="T511" t="str">
        <f>"15:39:42.784"</f>
        <v>15:39:42.784</v>
      </c>
      <c r="U511" t="str">
        <f t="shared" si="39"/>
        <v>A55E09</v>
      </c>
      <c r="V511">
        <v>0</v>
      </c>
      <c r="W511">
        <v>0</v>
      </c>
      <c r="X511">
        <v>2</v>
      </c>
      <c r="Y511">
        <v>0</v>
      </c>
      <c r="AA511">
        <v>0</v>
      </c>
      <c r="AB511">
        <v>9</v>
      </c>
      <c r="AC511">
        <v>3</v>
      </c>
      <c r="AD511">
        <v>0</v>
      </c>
      <c r="AE511">
        <v>9</v>
      </c>
      <c r="AF511" t="s">
        <v>128</v>
      </c>
      <c r="AG511">
        <v>0</v>
      </c>
      <c r="AH511">
        <v>0</v>
      </c>
      <c r="AI511">
        <v>1</v>
      </c>
      <c r="AJ511">
        <v>0</v>
      </c>
      <c r="AK511" t="s">
        <v>377</v>
      </c>
      <c r="AL511">
        <v>33.705969000000003</v>
      </c>
      <c r="AM511" t="s">
        <v>362</v>
      </c>
      <c r="AN511">
        <v>-101.210475</v>
      </c>
      <c r="AO511">
        <v>100</v>
      </c>
      <c r="AP511">
        <v>3200</v>
      </c>
      <c r="AQ511" t="s">
        <v>131</v>
      </c>
      <c r="AR511">
        <v>5</v>
      </c>
      <c r="AS511">
        <v>90</v>
      </c>
      <c r="AT511">
        <v>-64</v>
      </c>
      <c r="BB511" t="str">
        <f t="shared" si="40"/>
        <v>1200</v>
      </c>
      <c r="BC511">
        <v>1</v>
      </c>
      <c r="BD511" t="str">
        <f t="shared" si="41"/>
        <v xml:space="preserve">N445JS  </v>
      </c>
      <c r="BE511">
        <v>7</v>
      </c>
      <c r="BG511">
        <v>0</v>
      </c>
      <c r="BH511">
        <v>0</v>
      </c>
      <c r="BI511">
        <v>0</v>
      </c>
      <c r="BJ511">
        <v>2975</v>
      </c>
      <c r="BK511">
        <v>-225</v>
      </c>
      <c r="BL511" t="s">
        <v>132</v>
      </c>
      <c r="BM511">
        <v>1</v>
      </c>
      <c r="BN511">
        <v>1</v>
      </c>
      <c r="BO511">
        <v>1</v>
      </c>
      <c r="BP511">
        <v>0</v>
      </c>
      <c r="BT511">
        <v>0</v>
      </c>
      <c r="BU511">
        <v>0</v>
      </c>
      <c r="CE511" t="str">
        <f>"15:39:42.990"</f>
        <v>15:39:42.990</v>
      </c>
      <c r="CF511">
        <v>990263226</v>
      </c>
      <c r="CS511">
        <v>0</v>
      </c>
      <c r="CT511">
        <v>2</v>
      </c>
      <c r="CU511">
        <v>0</v>
      </c>
      <c r="CV511">
        <v>2</v>
      </c>
      <c r="CW511">
        <v>0</v>
      </c>
      <c r="CX511">
        <v>7</v>
      </c>
      <c r="CY511">
        <v>7</v>
      </c>
      <c r="CZ511" t="s">
        <v>133</v>
      </c>
      <c r="DA511">
        <v>125</v>
      </c>
      <c r="DB511">
        <v>1</v>
      </c>
      <c r="DC511" t="s">
        <v>134</v>
      </c>
      <c r="DD511" t="s">
        <v>135</v>
      </c>
      <c r="DG511">
        <v>2572793</v>
      </c>
      <c r="DI511">
        <v>0</v>
      </c>
      <c r="DJ511">
        <v>0</v>
      </c>
      <c r="DK511">
        <v>1</v>
      </c>
      <c r="DL511">
        <v>0</v>
      </c>
      <c r="DM511">
        <v>0</v>
      </c>
      <c r="DN511">
        <v>0</v>
      </c>
      <c r="DO511">
        <v>0</v>
      </c>
      <c r="DP511">
        <v>0</v>
      </c>
      <c r="DQ511">
        <v>0</v>
      </c>
      <c r="DR511">
        <v>0</v>
      </c>
      <c r="DS511">
        <v>0</v>
      </c>
    </row>
    <row r="512" spans="1:123" x14ac:dyDescent="0.25">
      <c r="A512" t="str">
        <f>"04/17/2026 15:39:43.268"</f>
        <v>04/17/2026 15:39:43.268</v>
      </c>
      <c r="C512" t="str">
        <f t="shared" si="38"/>
        <v>FFDFD3C0</v>
      </c>
      <c r="D512" t="s">
        <v>139</v>
      </c>
      <c r="E512" t="str">
        <f>"28"</f>
        <v>28</v>
      </c>
      <c r="H512">
        <v>140</v>
      </c>
      <c r="I512" t="s">
        <v>140</v>
      </c>
      <c r="J512" t="s">
        <v>141</v>
      </c>
      <c r="K512">
        <v>0</v>
      </c>
      <c r="L512">
        <v>3</v>
      </c>
      <c r="M512">
        <v>0</v>
      </c>
      <c r="N512">
        <v>2</v>
      </c>
      <c r="O512">
        <v>1</v>
      </c>
      <c r="P512">
        <v>0</v>
      </c>
      <c r="Q512">
        <v>0</v>
      </c>
      <c r="R512" t="s">
        <v>127</v>
      </c>
      <c r="S512" t="str">
        <f>"15:39:42.984"</f>
        <v>15:39:42.984</v>
      </c>
      <c r="T512" t="str">
        <f>"15:39:42.784"</f>
        <v>15:39:42.784</v>
      </c>
      <c r="U512" t="str">
        <f t="shared" si="39"/>
        <v>A55E09</v>
      </c>
      <c r="V512">
        <v>0</v>
      </c>
      <c r="W512">
        <v>0</v>
      </c>
      <c r="X512">
        <v>2</v>
      </c>
      <c r="Y512">
        <v>0</v>
      </c>
      <c r="AA512">
        <v>0</v>
      </c>
      <c r="AB512">
        <v>9</v>
      </c>
      <c r="AC512">
        <v>3</v>
      </c>
      <c r="AD512">
        <v>0</v>
      </c>
      <c r="AE512">
        <v>9</v>
      </c>
      <c r="AF512" t="s">
        <v>128</v>
      </c>
      <c r="AG512">
        <v>0</v>
      </c>
      <c r="AH512">
        <v>0</v>
      </c>
      <c r="AI512">
        <v>1</v>
      </c>
      <c r="AJ512">
        <v>0</v>
      </c>
      <c r="AK512" t="s">
        <v>377</v>
      </c>
      <c r="AL512">
        <v>33.705969000000003</v>
      </c>
      <c r="AM512" t="s">
        <v>362</v>
      </c>
      <c r="AN512">
        <v>-101.210475</v>
      </c>
      <c r="AO512">
        <v>100</v>
      </c>
      <c r="AP512">
        <v>3200</v>
      </c>
      <c r="AQ512" t="s">
        <v>131</v>
      </c>
      <c r="AR512">
        <v>5</v>
      </c>
      <c r="AS512">
        <v>90</v>
      </c>
      <c r="AT512">
        <v>-64</v>
      </c>
      <c r="BB512" t="str">
        <f t="shared" si="40"/>
        <v>1200</v>
      </c>
      <c r="BC512">
        <v>1</v>
      </c>
      <c r="BD512" t="str">
        <f t="shared" si="41"/>
        <v xml:space="preserve">N445JS  </v>
      </c>
      <c r="BE512">
        <v>7</v>
      </c>
      <c r="BG512">
        <v>0</v>
      </c>
      <c r="BH512">
        <v>0</v>
      </c>
      <c r="BI512">
        <v>0</v>
      </c>
      <c r="BJ512">
        <v>2975</v>
      </c>
      <c r="BK512">
        <v>-225</v>
      </c>
      <c r="BL512" t="s">
        <v>132</v>
      </c>
      <c r="BM512">
        <v>1</v>
      </c>
      <c r="BN512">
        <v>1</v>
      </c>
      <c r="BO512">
        <v>1</v>
      </c>
      <c r="BP512">
        <v>0</v>
      </c>
      <c r="BT512">
        <v>0</v>
      </c>
      <c r="BU512">
        <v>0</v>
      </c>
      <c r="CE512" t="str">
        <f>"15:39:42.990"</f>
        <v>15:39:42.990</v>
      </c>
      <c r="CF512">
        <v>990263226</v>
      </c>
      <c r="CS512">
        <v>0</v>
      </c>
      <c r="CT512">
        <v>2</v>
      </c>
      <c r="CU512">
        <v>0</v>
      </c>
      <c r="CV512">
        <v>2</v>
      </c>
      <c r="CW512">
        <v>0</v>
      </c>
      <c r="CX512">
        <v>7</v>
      </c>
      <c r="CY512">
        <v>7</v>
      </c>
      <c r="CZ512" t="s">
        <v>133</v>
      </c>
      <c r="DA512">
        <v>125</v>
      </c>
      <c r="DB512">
        <v>1</v>
      </c>
      <c r="DC512" t="s">
        <v>134</v>
      </c>
      <c r="DD512" t="s">
        <v>135</v>
      </c>
      <c r="DG512">
        <v>2572793</v>
      </c>
      <c r="DI512">
        <v>0</v>
      </c>
      <c r="DJ512">
        <v>0</v>
      </c>
      <c r="DK512">
        <v>1</v>
      </c>
      <c r="DL512">
        <v>0</v>
      </c>
      <c r="DM512">
        <v>0</v>
      </c>
      <c r="DN512">
        <v>0</v>
      </c>
      <c r="DO512">
        <v>0</v>
      </c>
      <c r="DP512">
        <v>0</v>
      </c>
      <c r="DQ512">
        <v>0</v>
      </c>
      <c r="DR512">
        <v>0</v>
      </c>
      <c r="DS512">
        <v>0</v>
      </c>
    </row>
    <row r="513" spans="1:123" x14ac:dyDescent="0.25">
      <c r="A513" t="str">
        <f>"04/17/2026 15:39:43.271"</f>
        <v>04/17/2026 15:39:43.271</v>
      </c>
      <c r="C513" t="str">
        <f t="shared" si="38"/>
        <v>FFDFD3C0</v>
      </c>
      <c r="D513" t="s">
        <v>136</v>
      </c>
      <c r="E513" t="str">
        <f>"0F"</f>
        <v>0F</v>
      </c>
      <c r="F513">
        <v>1015</v>
      </c>
      <c r="G513" t="s">
        <v>138</v>
      </c>
      <c r="J513" t="s">
        <v>137</v>
      </c>
      <c r="K513">
        <v>0</v>
      </c>
      <c r="L513">
        <v>3</v>
      </c>
      <c r="M513">
        <v>0</v>
      </c>
      <c r="N513">
        <v>2</v>
      </c>
      <c r="O513">
        <v>1</v>
      </c>
      <c r="P513">
        <v>0</v>
      </c>
      <c r="Q513">
        <v>0</v>
      </c>
      <c r="R513" t="s">
        <v>127</v>
      </c>
      <c r="S513" t="str">
        <f>"15:39:42.984"</f>
        <v>15:39:42.984</v>
      </c>
      <c r="T513" t="str">
        <f>"15:39:42.784"</f>
        <v>15:39:42.784</v>
      </c>
      <c r="U513" t="str">
        <f t="shared" si="39"/>
        <v>A55E09</v>
      </c>
      <c r="V513">
        <v>0</v>
      </c>
      <c r="W513">
        <v>0</v>
      </c>
      <c r="X513">
        <v>2</v>
      </c>
      <c r="Y513">
        <v>0</v>
      </c>
      <c r="AA513">
        <v>0</v>
      </c>
      <c r="AB513">
        <v>9</v>
      </c>
      <c r="AC513">
        <v>3</v>
      </c>
      <c r="AD513">
        <v>0</v>
      </c>
      <c r="AE513">
        <v>9</v>
      </c>
      <c r="AF513" t="s">
        <v>128</v>
      </c>
      <c r="AG513">
        <v>0</v>
      </c>
      <c r="AH513">
        <v>0</v>
      </c>
      <c r="AI513">
        <v>1</v>
      </c>
      <c r="AJ513">
        <v>0</v>
      </c>
      <c r="AK513" t="s">
        <v>377</v>
      </c>
      <c r="AL513">
        <v>33.705969000000003</v>
      </c>
      <c r="AM513" t="s">
        <v>362</v>
      </c>
      <c r="AN513">
        <v>-101.210475</v>
      </c>
      <c r="AO513">
        <v>100</v>
      </c>
      <c r="AP513">
        <v>3200</v>
      </c>
      <c r="AQ513" t="s">
        <v>131</v>
      </c>
      <c r="AR513">
        <v>5</v>
      </c>
      <c r="AS513">
        <v>90</v>
      </c>
      <c r="AT513">
        <v>-64</v>
      </c>
      <c r="BB513" t="str">
        <f t="shared" si="40"/>
        <v>1200</v>
      </c>
      <c r="BC513">
        <v>1</v>
      </c>
      <c r="BD513" t="str">
        <f t="shared" si="41"/>
        <v xml:space="preserve">N445JS  </v>
      </c>
      <c r="BE513">
        <v>7</v>
      </c>
      <c r="BG513">
        <v>0</v>
      </c>
      <c r="BH513">
        <v>0</v>
      </c>
      <c r="BI513">
        <v>0</v>
      </c>
      <c r="BJ513">
        <v>2975</v>
      </c>
      <c r="BK513">
        <v>-225</v>
      </c>
      <c r="BL513" t="s">
        <v>132</v>
      </c>
      <c r="BM513">
        <v>1</v>
      </c>
      <c r="BN513">
        <v>1</v>
      </c>
      <c r="BO513">
        <v>1</v>
      </c>
      <c r="BP513">
        <v>0</v>
      </c>
      <c r="BT513">
        <v>0</v>
      </c>
      <c r="BU513">
        <v>0</v>
      </c>
      <c r="CE513" t="str">
        <f>"15:39:42.990"</f>
        <v>15:39:42.990</v>
      </c>
      <c r="CF513">
        <v>990263226</v>
      </c>
      <c r="CS513">
        <v>0</v>
      </c>
      <c r="CT513">
        <v>2</v>
      </c>
      <c r="CU513">
        <v>0</v>
      </c>
      <c r="CV513">
        <v>2</v>
      </c>
      <c r="CW513">
        <v>0</v>
      </c>
      <c r="CX513">
        <v>7</v>
      </c>
      <c r="CY513">
        <v>7</v>
      </c>
      <c r="CZ513" t="s">
        <v>133</v>
      </c>
      <c r="DA513">
        <v>125</v>
      </c>
      <c r="DB513">
        <v>1</v>
      </c>
      <c r="DC513" t="s">
        <v>134</v>
      </c>
      <c r="DD513" t="s">
        <v>135</v>
      </c>
      <c r="DG513">
        <v>2572793</v>
      </c>
      <c r="DI513">
        <v>0</v>
      </c>
      <c r="DJ513">
        <v>0</v>
      </c>
      <c r="DK513">
        <v>1</v>
      </c>
      <c r="DL513">
        <v>0</v>
      </c>
      <c r="DM513">
        <v>0</v>
      </c>
      <c r="DN513">
        <v>0</v>
      </c>
      <c r="DO513">
        <v>0</v>
      </c>
      <c r="DP513">
        <v>0</v>
      </c>
      <c r="DQ513">
        <v>0</v>
      </c>
      <c r="DR513">
        <v>0</v>
      </c>
      <c r="DS513">
        <v>0</v>
      </c>
    </row>
    <row r="514" spans="1:123" x14ac:dyDescent="0.25">
      <c r="A514" t="str">
        <f>"04/17/2026 15:39:44.658"</f>
        <v>04/17/2026 15:39:44.658</v>
      </c>
      <c r="C514" t="str">
        <f t="shared" ref="C514:C577" si="44">"FFDFD3C0"</f>
        <v>FFDFD3C0</v>
      </c>
      <c r="D514" t="s">
        <v>136</v>
      </c>
      <c r="E514" t="str">
        <f>"0E"</f>
        <v>0E</v>
      </c>
      <c r="F514">
        <v>1014</v>
      </c>
      <c r="G514" t="s">
        <v>125</v>
      </c>
      <c r="J514" t="s">
        <v>137</v>
      </c>
      <c r="K514">
        <v>0</v>
      </c>
      <c r="L514">
        <v>3</v>
      </c>
      <c r="M514">
        <v>0</v>
      </c>
      <c r="N514">
        <v>2</v>
      </c>
      <c r="O514">
        <v>1</v>
      </c>
      <c r="P514">
        <v>0</v>
      </c>
      <c r="Q514">
        <v>0</v>
      </c>
      <c r="R514" t="s">
        <v>127</v>
      </c>
      <c r="S514" t="str">
        <f>"15:39:44.414"</f>
        <v>15:39:44.414</v>
      </c>
      <c r="T514" t="str">
        <f>"15:39:44.214"</f>
        <v>15:39:44.214</v>
      </c>
      <c r="U514" t="str">
        <f t="shared" ref="U514:U577" si="45">"A55E09"</f>
        <v>A55E09</v>
      </c>
      <c r="V514">
        <v>0</v>
      </c>
      <c r="W514">
        <v>0</v>
      </c>
      <c r="X514">
        <v>2</v>
      </c>
      <c r="Y514">
        <v>0</v>
      </c>
      <c r="AA514">
        <v>0</v>
      </c>
      <c r="AB514">
        <v>9</v>
      </c>
      <c r="AC514">
        <v>3</v>
      </c>
      <c r="AD514">
        <v>0</v>
      </c>
      <c r="AE514">
        <v>9</v>
      </c>
      <c r="AF514" t="s">
        <v>128</v>
      </c>
      <c r="AG514">
        <v>0</v>
      </c>
      <c r="AH514">
        <v>0</v>
      </c>
      <c r="AI514">
        <v>1</v>
      </c>
      <c r="AJ514">
        <v>0</v>
      </c>
      <c r="AK514" t="s">
        <v>378</v>
      </c>
      <c r="AL514">
        <v>33.706527000000001</v>
      </c>
      <c r="AM514" t="s">
        <v>360</v>
      </c>
      <c r="AN514">
        <v>-101.210454</v>
      </c>
      <c r="AO514">
        <v>100</v>
      </c>
      <c r="AP514">
        <v>3200</v>
      </c>
      <c r="AQ514" t="s">
        <v>131</v>
      </c>
      <c r="AR514">
        <v>7</v>
      </c>
      <c r="AS514">
        <v>90</v>
      </c>
      <c r="AT514">
        <v>128</v>
      </c>
      <c r="BB514" t="str">
        <f t="shared" ref="BB514:BB577" si="46">"1200"</f>
        <v>1200</v>
      </c>
      <c r="BC514">
        <v>1</v>
      </c>
      <c r="BD514" t="str">
        <f t="shared" ref="BD514:BD577" si="47">"N445JS  "</f>
        <v xml:space="preserve">N445JS  </v>
      </c>
      <c r="BE514">
        <v>7</v>
      </c>
      <c r="BG514">
        <v>0</v>
      </c>
      <c r="BH514">
        <v>0</v>
      </c>
      <c r="BI514">
        <v>0</v>
      </c>
      <c r="BJ514">
        <v>2975</v>
      </c>
      <c r="BK514">
        <v>-225</v>
      </c>
      <c r="BL514" t="s">
        <v>132</v>
      </c>
      <c r="BM514">
        <v>1</v>
      </c>
      <c r="BN514">
        <v>1</v>
      </c>
      <c r="BO514">
        <v>1</v>
      </c>
      <c r="BP514">
        <v>0</v>
      </c>
      <c r="BT514">
        <v>0</v>
      </c>
      <c r="BU514">
        <v>0</v>
      </c>
      <c r="CE514" t="str">
        <f>"15:39:44.415"</f>
        <v>15:39:44.415</v>
      </c>
      <c r="CF514">
        <v>415123627</v>
      </c>
      <c r="CS514">
        <v>0</v>
      </c>
      <c r="CT514">
        <v>2</v>
      </c>
      <c r="CU514">
        <v>0</v>
      </c>
      <c r="CV514">
        <v>2</v>
      </c>
      <c r="CW514">
        <v>0</v>
      </c>
      <c r="CX514">
        <v>7</v>
      </c>
      <c r="CY514">
        <v>7</v>
      </c>
      <c r="CZ514" t="s">
        <v>133</v>
      </c>
      <c r="DA514">
        <v>125</v>
      </c>
      <c r="DB514">
        <v>1</v>
      </c>
      <c r="DC514" t="s">
        <v>134</v>
      </c>
      <c r="DD514" t="s">
        <v>135</v>
      </c>
      <c r="DG514">
        <v>2574176</v>
      </c>
      <c r="DI514">
        <v>0</v>
      </c>
      <c r="DJ514">
        <v>0</v>
      </c>
      <c r="DK514">
        <v>0</v>
      </c>
      <c r="DL514">
        <v>0</v>
      </c>
      <c r="DM514">
        <v>0</v>
      </c>
      <c r="DN514">
        <v>0</v>
      </c>
      <c r="DO514">
        <v>0</v>
      </c>
      <c r="DP514">
        <v>0</v>
      </c>
      <c r="DQ514">
        <v>0</v>
      </c>
      <c r="DR514">
        <v>0</v>
      </c>
      <c r="DS514">
        <v>0</v>
      </c>
    </row>
    <row r="515" spans="1:123" x14ac:dyDescent="0.25">
      <c r="A515" t="str">
        <f>"04/17/2026 15:39:44.670"</f>
        <v>04/17/2026 15:39:44.670</v>
      </c>
      <c r="C515" t="str">
        <f t="shared" si="44"/>
        <v>FFDFD3C0</v>
      </c>
      <c r="D515" t="s">
        <v>139</v>
      </c>
      <c r="E515" t="str">
        <f>"28"</f>
        <v>28</v>
      </c>
      <c r="H515">
        <v>140</v>
      </c>
      <c r="I515" t="s">
        <v>140</v>
      </c>
      <c r="J515" t="s">
        <v>141</v>
      </c>
      <c r="K515">
        <v>0</v>
      </c>
      <c r="L515">
        <v>3</v>
      </c>
      <c r="M515">
        <v>0</v>
      </c>
      <c r="N515">
        <v>2</v>
      </c>
      <c r="O515">
        <v>1</v>
      </c>
      <c r="P515">
        <v>0</v>
      </c>
      <c r="Q515">
        <v>0</v>
      </c>
      <c r="R515" t="s">
        <v>127</v>
      </c>
      <c r="S515" t="str">
        <f>"15:39:44.414"</f>
        <v>15:39:44.414</v>
      </c>
      <c r="T515" t="str">
        <f>"15:39:44.214"</f>
        <v>15:39:44.214</v>
      </c>
      <c r="U515" t="str">
        <f t="shared" si="45"/>
        <v>A55E09</v>
      </c>
      <c r="V515">
        <v>0</v>
      </c>
      <c r="W515">
        <v>0</v>
      </c>
      <c r="X515">
        <v>2</v>
      </c>
      <c r="Y515">
        <v>0</v>
      </c>
      <c r="AA515">
        <v>0</v>
      </c>
      <c r="AB515">
        <v>9</v>
      </c>
      <c r="AC515">
        <v>3</v>
      </c>
      <c r="AD515">
        <v>0</v>
      </c>
      <c r="AE515">
        <v>9</v>
      </c>
      <c r="AF515" t="s">
        <v>128</v>
      </c>
      <c r="AG515">
        <v>0</v>
      </c>
      <c r="AH515">
        <v>0</v>
      </c>
      <c r="AI515">
        <v>1</v>
      </c>
      <c r="AJ515">
        <v>0</v>
      </c>
      <c r="AK515" t="s">
        <v>378</v>
      </c>
      <c r="AL515">
        <v>33.706527000000001</v>
      </c>
      <c r="AM515" t="s">
        <v>360</v>
      </c>
      <c r="AN515">
        <v>-101.210454</v>
      </c>
      <c r="AO515">
        <v>100</v>
      </c>
      <c r="AP515">
        <v>3200</v>
      </c>
      <c r="AQ515" t="s">
        <v>131</v>
      </c>
      <c r="AR515">
        <v>7</v>
      </c>
      <c r="AS515">
        <v>90</v>
      </c>
      <c r="AT515">
        <v>128</v>
      </c>
      <c r="BB515" t="str">
        <f t="shared" si="46"/>
        <v>1200</v>
      </c>
      <c r="BC515">
        <v>1</v>
      </c>
      <c r="BD515" t="str">
        <f t="shared" si="47"/>
        <v xml:space="preserve">N445JS  </v>
      </c>
      <c r="BE515">
        <v>7</v>
      </c>
      <c r="BG515">
        <v>0</v>
      </c>
      <c r="BH515">
        <v>0</v>
      </c>
      <c r="BI515">
        <v>0</v>
      </c>
      <c r="BJ515">
        <v>2975</v>
      </c>
      <c r="BK515">
        <v>-225</v>
      </c>
      <c r="BL515" t="s">
        <v>132</v>
      </c>
      <c r="BM515">
        <v>1</v>
      </c>
      <c r="BN515">
        <v>1</v>
      </c>
      <c r="BO515">
        <v>1</v>
      </c>
      <c r="BP515">
        <v>0</v>
      </c>
      <c r="BT515">
        <v>0</v>
      </c>
      <c r="BU515">
        <v>0</v>
      </c>
      <c r="CE515" t="str">
        <f>"15:39:44.415"</f>
        <v>15:39:44.415</v>
      </c>
      <c r="CF515">
        <v>415123627</v>
      </c>
      <c r="CS515">
        <v>0</v>
      </c>
      <c r="CT515">
        <v>2</v>
      </c>
      <c r="CU515">
        <v>0</v>
      </c>
      <c r="CV515">
        <v>2</v>
      </c>
      <c r="CW515">
        <v>0</v>
      </c>
      <c r="CX515">
        <v>7</v>
      </c>
      <c r="CY515">
        <v>7</v>
      </c>
      <c r="CZ515" t="s">
        <v>133</v>
      </c>
      <c r="DA515">
        <v>125</v>
      </c>
      <c r="DB515">
        <v>1</v>
      </c>
      <c r="DC515" t="s">
        <v>134</v>
      </c>
      <c r="DD515" t="s">
        <v>135</v>
      </c>
      <c r="DG515">
        <v>2574176</v>
      </c>
      <c r="DI515">
        <v>0</v>
      </c>
      <c r="DJ515">
        <v>0</v>
      </c>
      <c r="DK515">
        <v>1</v>
      </c>
      <c r="DL515">
        <v>0</v>
      </c>
      <c r="DM515">
        <v>0</v>
      </c>
      <c r="DN515">
        <v>0</v>
      </c>
      <c r="DO515">
        <v>0</v>
      </c>
      <c r="DP515">
        <v>0</v>
      </c>
      <c r="DQ515">
        <v>0</v>
      </c>
      <c r="DR515">
        <v>0</v>
      </c>
      <c r="DS515">
        <v>0</v>
      </c>
    </row>
    <row r="516" spans="1:123" x14ac:dyDescent="0.25">
      <c r="A516" t="str">
        <f>"04/17/2026 15:39:44.674"</f>
        <v>04/17/2026 15:39:44.674</v>
      </c>
      <c r="C516" t="str">
        <f t="shared" si="44"/>
        <v>FFDFD3C0</v>
      </c>
      <c r="D516" t="s">
        <v>136</v>
      </c>
      <c r="E516" t="str">
        <f>"0F"</f>
        <v>0F</v>
      </c>
      <c r="F516">
        <v>1015</v>
      </c>
      <c r="G516" t="s">
        <v>138</v>
      </c>
      <c r="J516" t="s">
        <v>137</v>
      </c>
      <c r="K516">
        <v>0</v>
      </c>
      <c r="L516">
        <v>3</v>
      </c>
      <c r="M516">
        <v>0</v>
      </c>
      <c r="N516">
        <v>2</v>
      </c>
      <c r="O516">
        <v>1</v>
      </c>
      <c r="P516">
        <v>0</v>
      </c>
      <c r="Q516">
        <v>0</v>
      </c>
      <c r="R516" t="s">
        <v>127</v>
      </c>
      <c r="S516" t="str">
        <f>"15:39:44.414"</f>
        <v>15:39:44.414</v>
      </c>
      <c r="T516" t="str">
        <f>"15:39:44.214"</f>
        <v>15:39:44.214</v>
      </c>
      <c r="U516" t="str">
        <f t="shared" si="45"/>
        <v>A55E09</v>
      </c>
      <c r="V516">
        <v>0</v>
      </c>
      <c r="W516">
        <v>0</v>
      </c>
      <c r="X516">
        <v>2</v>
      </c>
      <c r="Y516">
        <v>0</v>
      </c>
      <c r="AA516">
        <v>0</v>
      </c>
      <c r="AB516">
        <v>9</v>
      </c>
      <c r="AC516">
        <v>3</v>
      </c>
      <c r="AD516">
        <v>0</v>
      </c>
      <c r="AE516">
        <v>9</v>
      </c>
      <c r="AF516" t="s">
        <v>128</v>
      </c>
      <c r="AG516">
        <v>0</v>
      </c>
      <c r="AH516">
        <v>0</v>
      </c>
      <c r="AI516">
        <v>1</v>
      </c>
      <c r="AJ516">
        <v>0</v>
      </c>
      <c r="AK516" t="s">
        <v>378</v>
      </c>
      <c r="AL516">
        <v>33.706527000000001</v>
      </c>
      <c r="AM516" t="s">
        <v>360</v>
      </c>
      <c r="AN516">
        <v>-101.210454</v>
      </c>
      <c r="AO516">
        <v>100</v>
      </c>
      <c r="AP516">
        <v>3200</v>
      </c>
      <c r="AQ516" t="s">
        <v>131</v>
      </c>
      <c r="AR516">
        <v>7</v>
      </c>
      <c r="AS516">
        <v>90</v>
      </c>
      <c r="AT516">
        <v>128</v>
      </c>
      <c r="BB516" t="str">
        <f t="shared" si="46"/>
        <v>1200</v>
      </c>
      <c r="BC516">
        <v>1</v>
      </c>
      <c r="BD516" t="str">
        <f t="shared" si="47"/>
        <v xml:space="preserve">N445JS  </v>
      </c>
      <c r="BE516">
        <v>7</v>
      </c>
      <c r="BG516">
        <v>0</v>
      </c>
      <c r="BH516">
        <v>0</v>
      </c>
      <c r="BI516">
        <v>0</v>
      </c>
      <c r="BJ516">
        <v>2975</v>
      </c>
      <c r="BK516">
        <v>-225</v>
      </c>
      <c r="BL516" t="s">
        <v>132</v>
      </c>
      <c r="BM516">
        <v>1</v>
      </c>
      <c r="BN516">
        <v>1</v>
      </c>
      <c r="BO516">
        <v>1</v>
      </c>
      <c r="BP516">
        <v>0</v>
      </c>
      <c r="BT516">
        <v>0</v>
      </c>
      <c r="BU516">
        <v>0</v>
      </c>
      <c r="CE516" t="str">
        <f>"15:39:44.415"</f>
        <v>15:39:44.415</v>
      </c>
      <c r="CF516">
        <v>415123627</v>
      </c>
      <c r="CS516">
        <v>0</v>
      </c>
      <c r="CT516">
        <v>2</v>
      </c>
      <c r="CU516">
        <v>0</v>
      </c>
      <c r="CV516">
        <v>2</v>
      </c>
      <c r="CW516">
        <v>0</v>
      </c>
      <c r="CX516">
        <v>7</v>
      </c>
      <c r="CY516">
        <v>7</v>
      </c>
      <c r="CZ516" t="s">
        <v>133</v>
      </c>
      <c r="DA516">
        <v>125</v>
      </c>
      <c r="DB516">
        <v>1</v>
      </c>
      <c r="DC516" t="s">
        <v>134</v>
      </c>
      <c r="DD516" t="s">
        <v>135</v>
      </c>
      <c r="DG516">
        <v>2574176</v>
      </c>
      <c r="DI516">
        <v>0</v>
      </c>
      <c r="DJ516">
        <v>0</v>
      </c>
      <c r="DK516">
        <v>1</v>
      </c>
      <c r="DL516">
        <v>0</v>
      </c>
      <c r="DM516">
        <v>0</v>
      </c>
      <c r="DN516">
        <v>0</v>
      </c>
      <c r="DO516">
        <v>0</v>
      </c>
      <c r="DP516">
        <v>0</v>
      </c>
      <c r="DQ516">
        <v>0</v>
      </c>
      <c r="DR516">
        <v>0</v>
      </c>
      <c r="DS516">
        <v>0</v>
      </c>
    </row>
    <row r="517" spans="1:123" x14ac:dyDescent="0.25">
      <c r="A517" t="str">
        <f>"04/17/2026 15:39:44.686"</f>
        <v>04/17/2026 15:39:44.686</v>
      </c>
      <c r="C517" t="str">
        <f t="shared" si="44"/>
        <v>FFDFD3C0</v>
      </c>
      <c r="D517" t="s">
        <v>124</v>
      </c>
      <c r="E517" t="str">
        <f>"03"</f>
        <v>03</v>
      </c>
      <c r="H517">
        <v>160</v>
      </c>
      <c r="I517" t="s">
        <v>125</v>
      </c>
      <c r="J517" t="s">
        <v>126</v>
      </c>
      <c r="K517">
        <v>0</v>
      </c>
      <c r="L517">
        <v>3</v>
      </c>
      <c r="M517">
        <v>0</v>
      </c>
      <c r="N517">
        <v>2</v>
      </c>
      <c r="O517">
        <v>1</v>
      </c>
      <c r="P517">
        <v>0</v>
      </c>
      <c r="Q517">
        <v>0</v>
      </c>
      <c r="R517" t="s">
        <v>127</v>
      </c>
      <c r="S517" t="str">
        <f>"15:39:44.414"</f>
        <v>15:39:44.414</v>
      </c>
      <c r="T517" t="str">
        <f>"15:39:44.214"</f>
        <v>15:39:44.214</v>
      </c>
      <c r="U517" t="str">
        <f t="shared" si="45"/>
        <v>A55E09</v>
      </c>
      <c r="V517">
        <v>0</v>
      </c>
      <c r="W517">
        <v>0</v>
      </c>
      <c r="X517">
        <v>2</v>
      </c>
      <c r="Y517">
        <v>0</v>
      </c>
      <c r="AA517">
        <v>0</v>
      </c>
      <c r="AB517">
        <v>9</v>
      </c>
      <c r="AC517">
        <v>3</v>
      </c>
      <c r="AD517">
        <v>0</v>
      </c>
      <c r="AE517">
        <v>9</v>
      </c>
      <c r="AF517" t="s">
        <v>128</v>
      </c>
      <c r="AG517">
        <v>0</v>
      </c>
      <c r="AH517">
        <v>0</v>
      </c>
      <c r="AI517">
        <v>1</v>
      </c>
      <c r="AJ517">
        <v>0</v>
      </c>
      <c r="AK517" t="s">
        <v>378</v>
      </c>
      <c r="AL517">
        <v>33.706527000000001</v>
      </c>
      <c r="AM517" t="s">
        <v>360</v>
      </c>
      <c r="AN517">
        <v>-101.210454</v>
      </c>
      <c r="AO517">
        <v>100</v>
      </c>
      <c r="AP517">
        <v>3200</v>
      </c>
      <c r="AQ517" t="s">
        <v>131</v>
      </c>
      <c r="AR517">
        <v>7</v>
      </c>
      <c r="AS517">
        <v>90</v>
      </c>
      <c r="AT517">
        <v>128</v>
      </c>
      <c r="BB517" t="str">
        <f t="shared" si="46"/>
        <v>1200</v>
      </c>
      <c r="BC517">
        <v>1</v>
      </c>
      <c r="BD517" t="str">
        <f t="shared" si="47"/>
        <v xml:space="preserve">N445JS  </v>
      </c>
      <c r="BE517">
        <v>7</v>
      </c>
      <c r="BG517">
        <v>0</v>
      </c>
      <c r="BH517">
        <v>0</v>
      </c>
      <c r="BI517">
        <v>0</v>
      </c>
      <c r="BJ517">
        <v>2975</v>
      </c>
      <c r="BK517">
        <v>-225</v>
      </c>
      <c r="BL517" t="s">
        <v>132</v>
      </c>
      <c r="BM517">
        <v>1</v>
      </c>
      <c r="BN517">
        <v>1</v>
      </c>
      <c r="BO517">
        <v>1</v>
      </c>
      <c r="BP517">
        <v>0</v>
      </c>
      <c r="BT517">
        <v>0</v>
      </c>
      <c r="BU517">
        <v>0</v>
      </c>
      <c r="CE517" t="str">
        <f>"15:39:44.415"</f>
        <v>15:39:44.415</v>
      </c>
      <c r="CF517">
        <v>415123627</v>
      </c>
      <c r="CS517">
        <v>0</v>
      </c>
      <c r="CT517">
        <v>2</v>
      </c>
      <c r="CU517">
        <v>0</v>
      </c>
      <c r="CV517">
        <v>2</v>
      </c>
      <c r="CW517">
        <v>0</v>
      </c>
      <c r="CX517">
        <v>7</v>
      </c>
      <c r="CY517">
        <v>7</v>
      </c>
      <c r="CZ517" t="s">
        <v>133</v>
      </c>
      <c r="DA517">
        <v>125</v>
      </c>
      <c r="DB517">
        <v>1</v>
      </c>
      <c r="DC517" t="s">
        <v>134</v>
      </c>
      <c r="DD517" t="s">
        <v>135</v>
      </c>
      <c r="DG517">
        <v>2574176</v>
      </c>
      <c r="DI517">
        <v>0</v>
      </c>
      <c r="DJ517">
        <v>0</v>
      </c>
      <c r="DK517">
        <v>1</v>
      </c>
      <c r="DL517">
        <v>0</v>
      </c>
      <c r="DM517">
        <v>0</v>
      </c>
      <c r="DN517">
        <v>0</v>
      </c>
      <c r="DO517">
        <v>0</v>
      </c>
      <c r="DP517">
        <v>0</v>
      </c>
      <c r="DQ517">
        <v>0</v>
      </c>
      <c r="DR517">
        <v>0</v>
      </c>
      <c r="DS517">
        <v>0</v>
      </c>
    </row>
    <row r="518" spans="1:123" x14ac:dyDescent="0.25">
      <c r="A518" t="str">
        <f>"04/17/2026 15:39:45.809"</f>
        <v>04/17/2026 15:39:45.809</v>
      </c>
      <c r="C518" t="str">
        <f t="shared" si="44"/>
        <v>FFDFD3C0</v>
      </c>
      <c r="D518" t="s">
        <v>136</v>
      </c>
      <c r="E518" t="str">
        <f>"0E"</f>
        <v>0E</v>
      </c>
      <c r="F518">
        <v>1014</v>
      </c>
      <c r="G518" t="s">
        <v>125</v>
      </c>
      <c r="J518" t="s">
        <v>137</v>
      </c>
      <c r="K518">
        <v>0</v>
      </c>
      <c r="L518">
        <v>3</v>
      </c>
      <c r="M518">
        <v>0</v>
      </c>
      <c r="N518">
        <v>2</v>
      </c>
      <c r="O518">
        <v>1</v>
      </c>
      <c r="P518">
        <v>0</v>
      </c>
      <c r="Q518">
        <v>0</v>
      </c>
      <c r="R518" t="s">
        <v>127</v>
      </c>
      <c r="S518" t="str">
        <f>"15:39:45.563"</f>
        <v>15:39:45.563</v>
      </c>
      <c r="T518" t="str">
        <f>"15:39:45.163"</f>
        <v>15:39:45.163</v>
      </c>
      <c r="U518" t="str">
        <f t="shared" si="45"/>
        <v>A55E09</v>
      </c>
      <c r="V518">
        <v>0</v>
      </c>
      <c r="W518">
        <v>0</v>
      </c>
      <c r="X518">
        <v>2</v>
      </c>
      <c r="Y518">
        <v>0</v>
      </c>
      <c r="AA518">
        <v>0</v>
      </c>
      <c r="AB518">
        <v>9</v>
      </c>
      <c r="AC518">
        <v>3</v>
      </c>
      <c r="AD518">
        <v>0</v>
      </c>
      <c r="AE518">
        <v>9</v>
      </c>
      <c r="AF518" t="s">
        <v>128</v>
      </c>
      <c r="AG518">
        <v>0</v>
      </c>
      <c r="AH518">
        <v>0</v>
      </c>
      <c r="AI518">
        <v>1</v>
      </c>
      <c r="AJ518">
        <v>0</v>
      </c>
      <c r="AK518" t="s">
        <v>379</v>
      </c>
      <c r="AL518">
        <v>33.707042000000001</v>
      </c>
      <c r="AM518" t="s">
        <v>356</v>
      </c>
      <c r="AN518">
        <v>-101.21041099999999</v>
      </c>
      <c r="AO518">
        <v>100</v>
      </c>
      <c r="AP518">
        <v>3200</v>
      </c>
      <c r="AQ518" t="s">
        <v>131</v>
      </c>
      <c r="AR518">
        <v>8</v>
      </c>
      <c r="AS518">
        <v>90</v>
      </c>
      <c r="AT518">
        <v>-64</v>
      </c>
      <c r="BB518" t="str">
        <f t="shared" si="46"/>
        <v>1200</v>
      </c>
      <c r="BC518">
        <v>1</v>
      </c>
      <c r="BD518" t="str">
        <f t="shared" si="47"/>
        <v xml:space="preserve">N445JS  </v>
      </c>
      <c r="BE518">
        <v>7</v>
      </c>
      <c r="BG518">
        <v>0</v>
      </c>
      <c r="BH518">
        <v>0</v>
      </c>
      <c r="BI518">
        <v>0</v>
      </c>
      <c r="BJ518">
        <v>2975</v>
      </c>
      <c r="BK518">
        <v>-225</v>
      </c>
      <c r="BL518" t="s">
        <v>132</v>
      </c>
      <c r="BM518">
        <v>1</v>
      </c>
      <c r="BN518">
        <v>1</v>
      </c>
      <c r="BO518">
        <v>1</v>
      </c>
      <c r="BP518">
        <v>0</v>
      </c>
      <c r="BT518">
        <v>0</v>
      </c>
      <c r="BU518">
        <v>0</v>
      </c>
      <c r="CE518" t="str">
        <f>"15:39:45.570"</f>
        <v>15:39:45.570</v>
      </c>
      <c r="CF518">
        <v>570010484</v>
      </c>
      <c r="CS518">
        <v>0</v>
      </c>
      <c r="CT518">
        <v>2</v>
      </c>
      <c r="CU518">
        <v>0</v>
      </c>
      <c r="CV518">
        <v>2</v>
      </c>
      <c r="CW518">
        <v>0</v>
      </c>
      <c r="CX518">
        <v>7</v>
      </c>
      <c r="CY518">
        <v>7</v>
      </c>
      <c r="CZ518" t="s">
        <v>133</v>
      </c>
      <c r="DA518">
        <v>125</v>
      </c>
      <c r="DB518">
        <v>1</v>
      </c>
      <c r="DC518" t="s">
        <v>134</v>
      </c>
      <c r="DD518" t="s">
        <v>135</v>
      </c>
      <c r="DG518">
        <v>2575244</v>
      </c>
      <c r="DI518">
        <v>0</v>
      </c>
      <c r="DJ518">
        <v>0</v>
      </c>
      <c r="DK518">
        <v>0</v>
      </c>
      <c r="DL518">
        <v>0</v>
      </c>
      <c r="DM518">
        <v>0</v>
      </c>
      <c r="DN518">
        <v>0</v>
      </c>
      <c r="DO518">
        <v>0</v>
      </c>
      <c r="DP518">
        <v>0</v>
      </c>
      <c r="DQ518">
        <v>0</v>
      </c>
      <c r="DR518">
        <v>0</v>
      </c>
      <c r="DS518">
        <v>0</v>
      </c>
    </row>
    <row r="519" spans="1:123" x14ac:dyDescent="0.25">
      <c r="A519" t="str">
        <f>"04/17/2026 15:39:45.822"</f>
        <v>04/17/2026 15:39:45.822</v>
      </c>
      <c r="C519" t="str">
        <f t="shared" si="44"/>
        <v>FFDFD3C0</v>
      </c>
      <c r="D519" t="s">
        <v>139</v>
      </c>
      <c r="E519" t="str">
        <f>"28"</f>
        <v>28</v>
      </c>
      <c r="H519">
        <v>140</v>
      </c>
      <c r="I519" t="s">
        <v>140</v>
      </c>
      <c r="J519" t="s">
        <v>141</v>
      </c>
      <c r="K519">
        <v>0</v>
      </c>
      <c r="L519">
        <v>3</v>
      </c>
      <c r="M519">
        <v>0</v>
      </c>
      <c r="N519">
        <v>2</v>
      </c>
      <c r="O519">
        <v>1</v>
      </c>
      <c r="P519">
        <v>0</v>
      </c>
      <c r="Q519">
        <v>0</v>
      </c>
      <c r="R519" t="s">
        <v>127</v>
      </c>
      <c r="S519" t="str">
        <f>"15:39:45.563"</f>
        <v>15:39:45.563</v>
      </c>
      <c r="T519" t="str">
        <f>"15:39:45.163"</f>
        <v>15:39:45.163</v>
      </c>
      <c r="U519" t="str">
        <f t="shared" si="45"/>
        <v>A55E09</v>
      </c>
      <c r="V519">
        <v>0</v>
      </c>
      <c r="W519">
        <v>0</v>
      </c>
      <c r="X519">
        <v>2</v>
      </c>
      <c r="Y519">
        <v>0</v>
      </c>
      <c r="AA519">
        <v>0</v>
      </c>
      <c r="AB519">
        <v>9</v>
      </c>
      <c r="AC519">
        <v>3</v>
      </c>
      <c r="AD519">
        <v>0</v>
      </c>
      <c r="AE519">
        <v>9</v>
      </c>
      <c r="AF519" t="s">
        <v>128</v>
      </c>
      <c r="AG519">
        <v>0</v>
      </c>
      <c r="AH519">
        <v>0</v>
      </c>
      <c r="AI519">
        <v>1</v>
      </c>
      <c r="AJ519">
        <v>0</v>
      </c>
      <c r="AK519" t="s">
        <v>379</v>
      </c>
      <c r="AL519">
        <v>33.707042000000001</v>
      </c>
      <c r="AM519" t="s">
        <v>356</v>
      </c>
      <c r="AN519">
        <v>-101.21041099999999</v>
      </c>
      <c r="AO519">
        <v>100</v>
      </c>
      <c r="AP519">
        <v>3200</v>
      </c>
      <c r="AQ519" t="s">
        <v>131</v>
      </c>
      <c r="AR519">
        <v>8</v>
      </c>
      <c r="AS519">
        <v>90</v>
      </c>
      <c r="AT519">
        <v>-64</v>
      </c>
      <c r="BB519" t="str">
        <f t="shared" si="46"/>
        <v>1200</v>
      </c>
      <c r="BC519">
        <v>1</v>
      </c>
      <c r="BD519" t="str">
        <f t="shared" si="47"/>
        <v xml:space="preserve">N445JS  </v>
      </c>
      <c r="BE519">
        <v>7</v>
      </c>
      <c r="BG519">
        <v>0</v>
      </c>
      <c r="BH519">
        <v>0</v>
      </c>
      <c r="BI519">
        <v>0</v>
      </c>
      <c r="BJ519">
        <v>2975</v>
      </c>
      <c r="BK519">
        <v>-225</v>
      </c>
      <c r="BL519" t="s">
        <v>132</v>
      </c>
      <c r="BM519">
        <v>1</v>
      </c>
      <c r="BN519">
        <v>1</v>
      </c>
      <c r="BO519">
        <v>1</v>
      </c>
      <c r="BP519">
        <v>0</v>
      </c>
      <c r="BT519">
        <v>0</v>
      </c>
      <c r="BU519">
        <v>0</v>
      </c>
      <c r="CE519" t="str">
        <f>"15:39:45.570"</f>
        <v>15:39:45.570</v>
      </c>
      <c r="CF519">
        <v>570010484</v>
      </c>
      <c r="CS519">
        <v>0</v>
      </c>
      <c r="CT519">
        <v>2</v>
      </c>
      <c r="CU519">
        <v>0</v>
      </c>
      <c r="CV519">
        <v>2</v>
      </c>
      <c r="CW519">
        <v>0</v>
      </c>
      <c r="CX519">
        <v>7</v>
      </c>
      <c r="CY519">
        <v>7</v>
      </c>
      <c r="CZ519" t="s">
        <v>133</v>
      </c>
      <c r="DA519">
        <v>125</v>
      </c>
      <c r="DB519">
        <v>1</v>
      </c>
      <c r="DC519" t="s">
        <v>134</v>
      </c>
      <c r="DD519" t="s">
        <v>135</v>
      </c>
      <c r="DG519">
        <v>2575244</v>
      </c>
      <c r="DI519">
        <v>0</v>
      </c>
      <c r="DJ519">
        <v>0</v>
      </c>
      <c r="DK519">
        <v>1</v>
      </c>
      <c r="DL519">
        <v>0</v>
      </c>
      <c r="DM519">
        <v>0</v>
      </c>
      <c r="DN519">
        <v>0</v>
      </c>
      <c r="DO519">
        <v>0</v>
      </c>
      <c r="DP519">
        <v>0</v>
      </c>
      <c r="DQ519">
        <v>0</v>
      </c>
      <c r="DR519">
        <v>0</v>
      </c>
      <c r="DS519">
        <v>0</v>
      </c>
    </row>
    <row r="520" spans="1:123" x14ac:dyDescent="0.25">
      <c r="A520" t="str">
        <f>"04/17/2026 15:39:45.826"</f>
        <v>04/17/2026 15:39:45.826</v>
      </c>
      <c r="C520" t="str">
        <f t="shared" si="44"/>
        <v>FFDFD3C0</v>
      </c>
      <c r="D520" t="s">
        <v>136</v>
      </c>
      <c r="E520" t="str">
        <f>"0F"</f>
        <v>0F</v>
      </c>
      <c r="F520">
        <v>1015</v>
      </c>
      <c r="G520" t="s">
        <v>138</v>
      </c>
      <c r="J520" t="s">
        <v>137</v>
      </c>
      <c r="K520">
        <v>0</v>
      </c>
      <c r="L520">
        <v>3</v>
      </c>
      <c r="M520">
        <v>0</v>
      </c>
      <c r="N520">
        <v>2</v>
      </c>
      <c r="O520">
        <v>1</v>
      </c>
      <c r="P520">
        <v>0</v>
      </c>
      <c r="Q520">
        <v>0</v>
      </c>
      <c r="R520" t="s">
        <v>127</v>
      </c>
      <c r="S520" t="str">
        <f>"15:39:45.563"</f>
        <v>15:39:45.563</v>
      </c>
      <c r="T520" t="str">
        <f>"15:39:45.163"</f>
        <v>15:39:45.163</v>
      </c>
      <c r="U520" t="str">
        <f t="shared" si="45"/>
        <v>A55E09</v>
      </c>
      <c r="V520">
        <v>0</v>
      </c>
      <c r="W520">
        <v>0</v>
      </c>
      <c r="X520">
        <v>2</v>
      </c>
      <c r="Y520">
        <v>0</v>
      </c>
      <c r="AA520">
        <v>0</v>
      </c>
      <c r="AB520">
        <v>9</v>
      </c>
      <c r="AC520">
        <v>3</v>
      </c>
      <c r="AD520">
        <v>0</v>
      </c>
      <c r="AE520">
        <v>9</v>
      </c>
      <c r="AF520" t="s">
        <v>128</v>
      </c>
      <c r="AG520">
        <v>0</v>
      </c>
      <c r="AH520">
        <v>0</v>
      </c>
      <c r="AI520">
        <v>1</v>
      </c>
      <c r="AJ520">
        <v>0</v>
      </c>
      <c r="AK520" t="s">
        <v>379</v>
      </c>
      <c r="AL520">
        <v>33.707042000000001</v>
      </c>
      <c r="AM520" t="s">
        <v>356</v>
      </c>
      <c r="AN520">
        <v>-101.21041099999999</v>
      </c>
      <c r="AO520">
        <v>100</v>
      </c>
      <c r="AP520">
        <v>3200</v>
      </c>
      <c r="AQ520" t="s">
        <v>131</v>
      </c>
      <c r="AR520">
        <v>8</v>
      </c>
      <c r="AS520">
        <v>90</v>
      </c>
      <c r="AT520">
        <v>-64</v>
      </c>
      <c r="BB520" t="str">
        <f t="shared" si="46"/>
        <v>1200</v>
      </c>
      <c r="BC520">
        <v>1</v>
      </c>
      <c r="BD520" t="str">
        <f t="shared" si="47"/>
        <v xml:space="preserve">N445JS  </v>
      </c>
      <c r="BE520">
        <v>7</v>
      </c>
      <c r="BG520">
        <v>0</v>
      </c>
      <c r="BH520">
        <v>0</v>
      </c>
      <c r="BI520">
        <v>0</v>
      </c>
      <c r="BJ520">
        <v>2975</v>
      </c>
      <c r="BK520">
        <v>-225</v>
      </c>
      <c r="BL520" t="s">
        <v>132</v>
      </c>
      <c r="BM520">
        <v>1</v>
      </c>
      <c r="BN520">
        <v>1</v>
      </c>
      <c r="BO520">
        <v>1</v>
      </c>
      <c r="BP520">
        <v>0</v>
      </c>
      <c r="BT520">
        <v>0</v>
      </c>
      <c r="BU520">
        <v>0</v>
      </c>
      <c r="CE520" t="str">
        <f>"15:39:45.570"</f>
        <v>15:39:45.570</v>
      </c>
      <c r="CF520">
        <v>570010484</v>
      </c>
      <c r="CS520">
        <v>0</v>
      </c>
      <c r="CT520">
        <v>2</v>
      </c>
      <c r="CU520">
        <v>0</v>
      </c>
      <c r="CV520">
        <v>2</v>
      </c>
      <c r="CW520">
        <v>0</v>
      </c>
      <c r="CX520">
        <v>7</v>
      </c>
      <c r="CY520">
        <v>7</v>
      </c>
      <c r="CZ520" t="s">
        <v>133</v>
      </c>
      <c r="DA520">
        <v>125</v>
      </c>
      <c r="DB520">
        <v>1</v>
      </c>
      <c r="DC520" t="s">
        <v>134</v>
      </c>
      <c r="DD520" t="s">
        <v>135</v>
      </c>
      <c r="DG520">
        <v>2575244</v>
      </c>
      <c r="DI520">
        <v>0</v>
      </c>
      <c r="DJ520">
        <v>0</v>
      </c>
      <c r="DK520">
        <v>1</v>
      </c>
      <c r="DL520">
        <v>0</v>
      </c>
      <c r="DM520">
        <v>0</v>
      </c>
      <c r="DN520">
        <v>0</v>
      </c>
      <c r="DO520">
        <v>0</v>
      </c>
      <c r="DP520">
        <v>0</v>
      </c>
      <c r="DQ520">
        <v>0</v>
      </c>
      <c r="DR520">
        <v>0</v>
      </c>
      <c r="DS520">
        <v>0</v>
      </c>
    </row>
    <row r="521" spans="1:123" x14ac:dyDescent="0.25">
      <c r="A521" t="str">
        <f>"04/17/2026 15:39:45.838"</f>
        <v>04/17/2026 15:39:45.838</v>
      </c>
      <c r="C521" t="str">
        <f t="shared" si="44"/>
        <v>FFDFD3C0</v>
      </c>
      <c r="D521" t="s">
        <v>124</v>
      </c>
      <c r="E521" t="str">
        <f>"03"</f>
        <v>03</v>
      </c>
      <c r="H521">
        <v>160</v>
      </c>
      <c r="I521" t="s">
        <v>125</v>
      </c>
      <c r="J521" t="s">
        <v>126</v>
      </c>
      <c r="K521">
        <v>0</v>
      </c>
      <c r="L521">
        <v>3</v>
      </c>
      <c r="M521">
        <v>0</v>
      </c>
      <c r="N521">
        <v>2</v>
      </c>
      <c r="O521">
        <v>1</v>
      </c>
      <c r="P521">
        <v>0</v>
      </c>
      <c r="Q521">
        <v>0</v>
      </c>
      <c r="R521" t="s">
        <v>127</v>
      </c>
      <c r="S521" t="str">
        <f>"15:39:45.563"</f>
        <v>15:39:45.563</v>
      </c>
      <c r="T521" t="str">
        <f>"15:39:45.163"</f>
        <v>15:39:45.163</v>
      </c>
      <c r="U521" t="str">
        <f t="shared" si="45"/>
        <v>A55E09</v>
      </c>
      <c r="V521">
        <v>0</v>
      </c>
      <c r="W521">
        <v>0</v>
      </c>
      <c r="X521">
        <v>2</v>
      </c>
      <c r="Y521">
        <v>0</v>
      </c>
      <c r="AA521">
        <v>0</v>
      </c>
      <c r="AB521">
        <v>9</v>
      </c>
      <c r="AC521">
        <v>3</v>
      </c>
      <c r="AD521">
        <v>0</v>
      </c>
      <c r="AE521">
        <v>9</v>
      </c>
      <c r="AF521" t="s">
        <v>128</v>
      </c>
      <c r="AG521">
        <v>0</v>
      </c>
      <c r="AH521">
        <v>0</v>
      </c>
      <c r="AI521">
        <v>1</v>
      </c>
      <c r="AJ521">
        <v>0</v>
      </c>
      <c r="AK521" t="s">
        <v>379</v>
      </c>
      <c r="AL521">
        <v>33.707042000000001</v>
      </c>
      <c r="AM521" t="s">
        <v>356</v>
      </c>
      <c r="AN521">
        <v>-101.21041099999999</v>
      </c>
      <c r="AO521">
        <v>100</v>
      </c>
      <c r="AP521">
        <v>3200</v>
      </c>
      <c r="AQ521" t="s">
        <v>131</v>
      </c>
      <c r="AR521">
        <v>8</v>
      </c>
      <c r="AS521">
        <v>90</v>
      </c>
      <c r="AT521">
        <v>-64</v>
      </c>
      <c r="BB521" t="str">
        <f t="shared" si="46"/>
        <v>1200</v>
      </c>
      <c r="BC521">
        <v>1</v>
      </c>
      <c r="BD521" t="str">
        <f t="shared" si="47"/>
        <v xml:space="preserve">N445JS  </v>
      </c>
      <c r="BE521">
        <v>7</v>
      </c>
      <c r="BG521">
        <v>0</v>
      </c>
      <c r="BH521">
        <v>0</v>
      </c>
      <c r="BI521">
        <v>0</v>
      </c>
      <c r="BJ521">
        <v>2975</v>
      </c>
      <c r="BK521">
        <v>-225</v>
      </c>
      <c r="BL521" t="s">
        <v>132</v>
      </c>
      <c r="BM521">
        <v>1</v>
      </c>
      <c r="BN521">
        <v>1</v>
      </c>
      <c r="BO521">
        <v>1</v>
      </c>
      <c r="BP521">
        <v>0</v>
      </c>
      <c r="BT521">
        <v>0</v>
      </c>
      <c r="BU521">
        <v>0</v>
      </c>
      <c r="CE521" t="str">
        <f>"15:39:45.570"</f>
        <v>15:39:45.570</v>
      </c>
      <c r="CF521">
        <v>570010484</v>
      </c>
      <c r="CS521">
        <v>0</v>
      </c>
      <c r="CT521">
        <v>2</v>
      </c>
      <c r="CU521">
        <v>0</v>
      </c>
      <c r="CV521">
        <v>2</v>
      </c>
      <c r="CW521">
        <v>0</v>
      </c>
      <c r="CX521">
        <v>7</v>
      </c>
      <c r="CY521">
        <v>7</v>
      </c>
      <c r="CZ521" t="s">
        <v>133</v>
      </c>
      <c r="DA521">
        <v>125</v>
      </c>
      <c r="DB521">
        <v>1</v>
      </c>
      <c r="DC521" t="s">
        <v>134</v>
      </c>
      <c r="DD521" t="s">
        <v>135</v>
      </c>
      <c r="DG521">
        <v>2575244</v>
      </c>
      <c r="DI521">
        <v>0</v>
      </c>
      <c r="DJ521">
        <v>0</v>
      </c>
      <c r="DK521">
        <v>1</v>
      </c>
      <c r="DL521">
        <v>0</v>
      </c>
      <c r="DM521">
        <v>0</v>
      </c>
      <c r="DN521">
        <v>0</v>
      </c>
      <c r="DO521">
        <v>0</v>
      </c>
      <c r="DP521">
        <v>0</v>
      </c>
      <c r="DQ521">
        <v>0</v>
      </c>
      <c r="DR521">
        <v>0</v>
      </c>
      <c r="DS521">
        <v>0</v>
      </c>
    </row>
    <row r="522" spans="1:123" x14ac:dyDescent="0.25">
      <c r="A522" t="str">
        <f>"04/17/2026 15:39:47.011"</f>
        <v>04/17/2026 15:39:47.011</v>
      </c>
      <c r="C522" t="str">
        <f t="shared" si="44"/>
        <v>FFDFD3C0</v>
      </c>
      <c r="D522" t="s">
        <v>136</v>
      </c>
      <c r="E522" t="str">
        <f>"0E"</f>
        <v>0E</v>
      </c>
      <c r="F522">
        <v>1014</v>
      </c>
      <c r="G522" t="s">
        <v>125</v>
      </c>
      <c r="J522" t="s">
        <v>137</v>
      </c>
      <c r="K522">
        <v>0</v>
      </c>
      <c r="L522">
        <v>3</v>
      </c>
      <c r="M522">
        <v>0</v>
      </c>
      <c r="N522">
        <v>2</v>
      </c>
      <c r="O522">
        <v>1</v>
      </c>
      <c r="P522">
        <v>0</v>
      </c>
      <c r="Q522">
        <v>0</v>
      </c>
      <c r="R522" t="s">
        <v>127</v>
      </c>
      <c r="S522" t="str">
        <f>"15:39:46.750"</f>
        <v>15:39:46.750</v>
      </c>
      <c r="T522" t="str">
        <f>"15:39:46.250"</f>
        <v>15:39:46.250</v>
      </c>
      <c r="U522" t="str">
        <f t="shared" si="45"/>
        <v>A55E09</v>
      </c>
      <c r="V522">
        <v>0</v>
      </c>
      <c r="W522">
        <v>0</v>
      </c>
      <c r="X522">
        <v>2</v>
      </c>
      <c r="Y522">
        <v>0</v>
      </c>
      <c r="AA522">
        <v>0</v>
      </c>
      <c r="AB522">
        <v>9</v>
      </c>
      <c r="AC522">
        <v>3</v>
      </c>
      <c r="AD522">
        <v>0</v>
      </c>
      <c r="AE522">
        <v>9</v>
      </c>
      <c r="AF522" t="s">
        <v>128</v>
      </c>
      <c r="AG522">
        <v>0</v>
      </c>
      <c r="AH522">
        <v>0</v>
      </c>
      <c r="AI522">
        <v>1</v>
      </c>
      <c r="AJ522">
        <v>0</v>
      </c>
      <c r="AK522" t="s">
        <v>380</v>
      </c>
      <c r="AL522">
        <v>33.707514000000003</v>
      </c>
      <c r="AM522" t="s">
        <v>381</v>
      </c>
      <c r="AN522">
        <v>-101.210325</v>
      </c>
      <c r="AO522">
        <v>100</v>
      </c>
      <c r="AP522">
        <v>3200</v>
      </c>
      <c r="AQ522" t="s">
        <v>131</v>
      </c>
      <c r="AR522">
        <v>9</v>
      </c>
      <c r="AS522">
        <v>89</v>
      </c>
      <c r="AT522">
        <v>-192</v>
      </c>
      <c r="BB522" t="str">
        <f t="shared" si="46"/>
        <v>1200</v>
      </c>
      <c r="BC522">
        <v>1</v>
      </c>
      <c r="BD522" t="str">
        <f t="shared" si="47"/>
        <v xml:space="preserve">N445JS  </v>
      </c>
      <c r="BE522">
        <v>7</v>
      </c>
      <c r="BG522">
        <v>0</v>
      </c>
      <c r="BH522">
        <v>0</v>
      </c>
      <c r="BI522">
        <v>0</v>
      </c>
      <c r="BJ522">
        <v>2975</v>
      </c>
      <c r="BK522">
        <v>-225</v>
      </c>
      <c r="BL522" t="s">
        <v>132</v>
      </c>
      <c r="BM522">
        <v>1</v>
      </c>
      <c r="BN522">
        <v>1</v>
      </c>
      <c r="BO522">
        <v>1</v>
      </c>
      <c r="BP522">
        <v>0</v>
      </c>
      <c r="BT522">
        <v>0</v>
      </c>
      <c r="BU522">
        <v>0</v>
      </c>
      <c r="CE522" t="str">
        <f>"15:39:46.755"</f>
        <v>15:39:46.755</v>
      </c>
      <c r="CF522">
        <v>754894405</v>
      </c>
      <c r="CS522">
        <v>0</v>
      </c>
      <c r="CT522">
        <v>2</v>
      </c>
      <c r="CU522">
        <v>0</v>
      </c>
      <c r="CV522">
        <v>2</v>
      </c>
      <c r="CW522">
        <v>0</v>
      </c>
      <c r="CX522">
        <v>6</v>
      </c>
      <c r="CY522">
        <v>7</v>
      </c>
      <c r="CZ522" t="s">
        <v>133</v>
      </c>
      <c r="DA522">
        <v>125</v>
      </c>
      <c r="DB522">
        <v>1</v>
      </c>
      <c r="DC522" t="s">
        <v>134</v>
      </c>
      <c r="DD522" t="s">
        <v>135</v>
      </c>
      <c r="DG522">
        <v>2576399</v>
      </c>
      <c r="DI522">
        <v>0</v>
      </c>
      <c r="DJ522">
        <v>0</v>
      </c>
      <c r="DK522">
        <v>0</v>
      </c>
      <c r="DL522">
        <v>0</v>
      </c>
      <c r="DM522">
        <v>0</v>
      </c>
      <c r="DN522">
        <v>0</v>
      </c>
      <c r="DO522">
        <v>0</v>
      </c>
      <c r="DP522">
        <v>0</v>
      </c>
      <c r="DQ522">
        <v>0</v>
      </c>
      <c r="DR522">
        <v>0</v>
      </c>
      <c r="DS522">
        <v>0</v>
      </c>
    </row>
    <row r="523" spans="1:123" x14ac:dyDescent="0.25">
      <c r="A523" t="str">
        <f>"04/17/2026 15:39:47.028"</f>
        <v>04/17/2026 15:39:47.028</v>
      </c>
      <c r="C523" t="str">
        <f t="shared" si="44"/>
        <v>FFDFD3C0</v>
      </c>
      <c r="D523" t="s">
        <v>136</v>
      </c>
      <c r="E523" t="str">
        <f>"0F"</f>
        <v>0F</v>
      </c>
      <c r="F523">
        <v>1015</v>
      </c>
      <c r="G523" t="s">
        <v>138</v>
      </c>
      <c r="J523" t="s">
        <v>137</v>
      </c>
      <c r="K523">
        <v>0</v>
      </c>
      <c r="L523">
        <v>3</v>
      </c>
      <c r="M523">
        <v>0</v>
      </c>
      <c r="N523">
        <v>2</v>
      </c>
      <c r="O523">
        <v>1</v>
      </c>
      <c r="P523">
        <v>0</v>
      </c>
      <c r="Q523">
        <v>0</v>
      </c>
      <c r="R523" t="s">
        <v>127</v>
      </c>
      <c r="S523" t="str">
        <f>"15:39:46.750"</f>
        <v>15:39:46.750</v>
      </c>
      <c r="T523" t="str">
        <f>"15:39:46.250"</f>
        <v>15:39:46.250</v>
      </c>
      <c r="U523" t="str">
        <f t="shared" si="45"/>
        <v>A55E09</v>
      </c>
      <c r="V523">
        <v>0</v>
      </c>
      <c r="W523">
        <v>0</v>
      </c>
      <c r="X523">
        <v>2</v>
      </c>
      <c r="Y523">
        <v>0</v>
      </c>
      <c r="AA523">
        <v>0</v>
      </c>
      <c r="AB523">
        <v>9</v>
      </c>
      <c r="AC523">
        <v>3</v>
      </c>
      <c r="AD523">
        <v>0</v>
      </c>
      <c r="AE523">
        <v>9</v>
      </c>
      <c r="AF523" t="s">
        <v>128</v>
      </c>
      <c r="AG523">
        <v>0</v>
      </c>
      <c r="AH523">
        <v>0</v>
      </c>
      <c r="AI523">
        <v>1</v>
      </c>
      <c r="AJ523">
        <v>0</v>
      </c>
      <c r="AK523" t="s">
        <v>380</v>
      </c>
      <c r="AL523">
        <v>33.707514000000003</v>
      </c>
      <c r="AM523" t="s">
        <v>381</v>
      </c>
      <c r="AN523">
        <v>-101.210325</v>
      </c>
      <c r="AO523">
        <v>100</v>
      </c>
      <c r="AP523">
        <v>3200</v>
      </c>
      <c r="AQ523" t="s">
        <v>131</v>
      </c>
      <c r="AR523">
        <v>9</v>
      </c>
      <c r="AS523">
        <v>89</v>
      </c>
      <c r="AT523">
        <v>-192</v>
      </c>
      <c r="BB523" t="str">
        <f t="shared" si="46"/>
        <v>1200</v>
      </c>
      <c r="BC523">
        <v>1</v>
      </c>
      <c r="BD523" t="str">
        <f t="shared" si="47"/>
        <v xml:space="preserve">N445JS  </v>
      </c>
      <c r="BE523">
        <v>7</v>
      </c>
      <c r="BG523">
        <v>0</v>
      </c>
      <c r="BH523">
        <v>0</v>
      </c>
      <c r="BI523">
        <v>0</v>
      </c>
      <c r="BJ523">
        <v>2975</v>
      </c>
      <c r="BK523">
        <v>-225</v>
      </c>
      <c r="BL523" t="s">
        <v>132</v>
      </c>
      <c r="BM523">
        <v>1</v>
      </c>
      <c r="BN523">
        <v>1</v>
      </c>
      <c r="BO523">
        <v>1</v>
      </c>
      <c r="BP523">
        <v>0</v>
      </c>
      <c r="BT523">
        <v>0</v>
      </c>
      <c r="BU523">
        <v>0</v>
      </c>
      <c r="CE523" t="str">
        <f>"15:39:46.755"</f>
        <v>15:39:46.755</v>
      </c>
      <c r="CF523">
        <v>754894405</v>
      </c>
      <c r="CS523">
        <v>0</v>
      </c>
      <c r="CT523">
        <v>2</v>
      </c>
      <c r="CU523">
        <v>0</v>
      </c>
      <c r="CV523">
        <v>2</v>
      </c>
      <c r="CW523">
        <v>0</v>
      </c>
      <c r="CX523">
        <v>6</v>
      </c>
      <c r="CY523">
        <v>7</v>
      </c>
      <c r="CZ523" t="s">
        <v>133</v>
      </c>
      <c r="DA523">
        <v>125</v>
      </c>
      <c r="DB523">
        <v>1</v>
      </c>
      <c r="DC523" t="s">
        <v>134</v>
      </c>
      <c r="DD523" t="s">
        <v>135</v>
      </c>
      <c r="DG523">
        <v>2576399</v>
      </c>
      <c r="DI523">
        <v>0</v>
      </c>
      <c r="DJ523">
        <v>0</v>
      </c>
      <c r="DK523">
        <v>1</v>
      </c>
      <c r="DL523">
        <v>0</v>
      </c>
      <c r="DM523">
        <v>0</v>
      </c>
      <c r="DN523">
        <v>0</v>
      </c>
      <c r="DO523">
        <v>0</v>
      </c>
      <c r="DP523">
        <v>0</v>
      </c>
      <c r="DQ523">
        <v>0</v>
      </c>
      <c r="DR523">
        <v>0</v>
      </c>
      <c r="DS523">
        <v>0</v>
      </c>
    </row>
    <row r="524" spans="1:123" x14ac:dyDescent="0.25">
      <c r="A524" t="str">
        <f>"04/17/2026 15:39:47.024"</f>
        <v>04/17/2026 15:39:47.024</v>
      </c>
      <c r="C524" t="str">
        <f t="shared" si="44"/>
        <v>FFDFD3C0</v>
      </c>
      <c r="D524" t="s">
        <v>139</v>
      </c>
      <c r="E524" t="str">
        <f>"28"</f>
        <v>28</v>
      </c>
      <c r="H524">
        <v>140</v>
      </c>
      <c r="I524" t="s">
        <v>140</v>
      </c>
      <c r="J524" t="s">
        <v>141</v>
      </c>
      <c r="K524">
        <v>0</v>
      </c>
      <c r="L524">
        <v>3</v>
      </c>
      <c r="M524">
        <v>0</v>
      </c>
      <c r="N524">
        <v>2</v>
      </c>
      <c r="O524">
        <v>1</v>
      </c>
      <c r="P524">
        <v>0</v>
      </c>
      <c r="Q524">
        <v>0</v>
      </c>
      <c r="R524" t="s">
        <v>127</v>
      </c>
      <c r="S524" t="str">
        <f>"15:39:46.750"</f>
        <v>15:39:46.750</v>
      </c>
      <c r="T524" t="str">
        <f>"15:39:46.250"</f>
        <v>15:39:46.250</v>
      </c>
      <c r="U524" t="str">
        <f t="shared" si="45"/>
        <v>A55E09</v>
      </c>
      <c r="V524">
        <v>0</v>
      </c>
      <c r="W524">
        <v>0</v>
      </c>
      <c r="X524">
        <v>2</v>
      </c>
      <c r="Y524">
        <v>0</v>
      </c>
      <c r="AA524">
        <v>0</v>
      </c>
      <c r="AB524">
        <v>9</v>
      </c>
      <c r="AC524">
        <v>3</v>
      </c>
      <c r="AD524">
        <v>0</v>
      </c>
      <c r="AE524">
        <v>9</v>
      </c>
      <c r="AF524" t="s">
        <v>128</v>
      </c>
      <c r="AG524">
        <v>0</v>
      </c>
      <c r="AH524">
        <v>0</v>
      </c>
      <c r="AI524">
        <v>1</v>
      </c>
      <c r="AJ524">
        <v>0</v>
      </c>
      <c r="AK524" t="s">
        <v>380</v>
      </c>
      <c r="AL524">
        <v>33.707514000000003</v>
      </c>
      <c r="AM524" t="s">
        <v>381</v>
      </c>
      <c r="AN524">
        <v>-101.210325</v>
      </c>
      <c r="AO524">
        <v>100</v>
      </c>
      <c r="AP524">
        <v>3200</v>
      </c>
      <c r="AQ524" t="s">
        <v>131</v>
      </c>
      <c r="AR524">
        <v>9</v>
      </c>
      <c r="AS524">
        <v>89</v>
      </c>
      <c r="AT524">
        <v>-192</v>
      </c>
      <c r="BB524" t="str">
        <f t="shared" si="46"/>
        <v>1200</v>
      </c>
      <c r="BC524">
        <v>1</v>
      </c>
      <c r="BD524" t="str">
        <f t="shared" si="47"/>
        <v xml:space="preserve">N445JS  </v>
      </c>
      <c r="BE524">
        <v>7</v>
      </c>
      <c r="BG524">
        <v>0</v>
      </c>
      <c r="BH524">
        <v>0</v>
      </c>
      <c r="BI524">
        <v>0</v>
      </c>
      <c r="BJ524">
        <v>2975</v>
      </c>
      <c r="BK524">
        <v>-225</v>
      </c>
      <c r="BL524" t="s">
        <v>132</v>
      </c>
      <c r="BM524">
        <v>1</v>
      </c>
      <c r="BN524">
        <v>1</v>
      </c>
      <c r="BO524">
        <v>1</v>
      </c>
      <c r="BP524">
        <v>0</v>
      </c>
      <c r="BT524">
        <v>0</v>
      </c>
      <c r="BU524">
        <v>0</v>
      </c>
      <c r="CE524" t="str">
        <f>"15:39:46.755"</f>
        <v>15:39:46.755</v>
      </c>
      <c r="CF524">
        <v>754894405</v>
      </c>
      <c r="CS524">
        <v>0</v>
      </c>
      <c r="CT524">
        <v>2</v>
      </c>
      <c r="CU524">
        <v>0</v>
      </c>
      <c r="CV524">
        <v>2</v>
      </c>
      <c r="CW524">
        <v>0</v>
      </c>
      <c r="CX524">
        <v>6</v>
      </c>
      <c r="CY524">
        <v>7</v>
      </c>
      <c r="CZ524" t="s">
        <v>133</v>
      </c>
      <c r="DA524">
        <v>125</v>
      </c>
      <c r="DB524">
        <v>1</v>
      </c>
      <c r="DC524" t="s">
        <v>134</v>
      </c>
      <c r="DD524" t="s">
        <v>135</v>
      </c>
      <c r="DG524">
        <v>2576399</v>
      </c>
      <c r="DI524">
        <v>0</v>
      </c>
      <c r="DJ524">
        <v>0</v>
      </c>
      <c r="DK524">
        <v>1</v>
      </c>
      <c r="DL524">
        <v>0</v>
      </c>
      <c r="DM524">
        <v>0</v>
      </c>
      <c r="DN524">
        <v>0</v>
      </c>
      <c r="DO524">
        <v>0</v>
      </c>
      <c r="DP524">
        <v>0</v>
      </c>
      <c r="DQ524">
        <v>0</v>
      </c>
      <c r="DR524">
        <v>0</v>
      </c>
      <c r="DS524">
        <v>0</v>
      </c>
    </row>
    <row r="525" spans="1:123" x14ac:dyDescent="0.25">
      <c r="A525" t="str">
        <f>"04/17/2026 15:39:47.041"</f>
        <v>04/17/2026 15:39:47.041</v>
      </c>
      <c r="C525" t="str">
        <f t="shared" si="44"/>
        <v>FFDFD3C0</v>
      </c>
      <c r="D525" t="s">
        <v>124</v>
      </c>
      <c r="E525" t="str">
        <f>"03"</f>
        <v>03</v>
      </c>
      <c r="H525">
        <v>160</v>
      </c>
      <c r="I525" t="s">
        <v>125</v>
      </c>
      <c r="J525" t="s">
        <v>126</v>
      </c>
      <c r="K525">
        <v>0</v>
      </c>
      <c r="L525">
        <v>3</v>
      </c>
      <c r="M525">
        <v>0</v>
      </c>
      <c r="N525">
        <v>2</v>
      </c>
      <c r="O525">
        <v>1</v>
      </c>
      <c r="P525">
        <v>0</v>
      </c>
      <c r="Q525">
        <v>0</v>
      </c>
      <c r="R525" t="s">
        <v>127</v>
      </c>
      <c r="S525" t="str">
        <f>"15:39:46.750"</f>
        <v>15:39:46.750</v>
      </c>
      <c r="T525" t="str">
        <f>"15:39:46.250"</f>
        <v>15:39:46.250</v>
      </c>
      <c r="U525" t="str">
        <f t="shared" si="45"/>
        <v>A55E09</v>
      </c>
      <c r="V525">
        <v>0</v>
      </c>
      <c r="W525">
        <v>0</v>
      </c>
      <c r="X525">
        <v>2</v>
      </c>
      <c r="Y525">
        <v>0</v>
      </c>
      <c r="AA525">
        <v>0</v>
      </c>
      <c r="AB525">
        <v>9</v>
      </c>
      <c r="AC525">
        <v>3</v>
      </c>
      <c r="AD525">
        <v>0</v>
      </c>
      <c r="AE525">
        <v>9</v>
      </c>
      <c r="AF525" t="s">
        <v>128</v>
      </c>
      <c r="AG525">
        <v>0</v>
      </c>
      <c r="AH525">
        <v>0</v>
      </c>
      <c r="AI525">
        <v>1</v>
      </c>
      <c r="AJ525">
        <v>0</v>
      </c>
      <c r="AK525" t="s">
        <v>380</v>
      </c>
      <c r="AL525">
        <v>33.707514000000003</v>
      </c>
      <c r="AM525" t="s">
        <v>381</v>
      </c>
      <c r="AN525">
        <v>-101.210325</v>
      </c>
      <c r="AO525">
        <v>100</v>
      </c>
      <c r="AP525">
        <v>3200</v>
      </c>
      <c r="AQ525" t="s">
        <v>131</v>
      </c>
      <c r="AR525">
        <v>9</v>
      </c>
      <c r="AS525">
        <v>89</v>
      </c>
      <c r="AT525">
        <v>-192</v>
      </c>
      <c r="BB525" t="str">
        <f t="shared" si="46"/>
        <v>1200</v>
      </c>
      <c r="BC525">
        <v>1</v>
      </c>
      <c r="BD525" t="str">
        <f t="shared" si="47"/>
        <v xml:space="preserve">N445JS  </v>
      </c>
      <c r="BE525">
        <v>7</v>
      </c>
      <c r="BG525">
        <v>0</v>
      </c>
      <c r="BH525">
        <v>0</v>
      </c>
      <c r="BI525">
        <v>0</v>
      </c>
      <c r="BJ525">
        <v>2975</v>
      </c>
      <c r="BK525">
        <v>-225</v>
      </c>
      <c r="BL525" t="s">
        <v>132</v>
      </c>
      <c r="BM525">
        <v>1</v>
      </c>
      <c r="BN525">
        <v>1</v>
      </c>
      <c r="BO525">
        <v>1</v>
      </c>
      <c r="BP525">
        <v>0</v>
      </c>
      <c r="BT525">
        <v>0</v>
      </c>
      <c r="BU525">
        <v>0</v>
      </c>
      <c r="CE525" t="str">
        <f>"15:39:46.755"</f>
        <v>15:39:46.755</v>
      </c>
      <c r="CF525">
        <v>754894405</v>
      </c>
      <c r="CS525">
        <v>0</v>
      </c>
      <c r="CT525">
        <v>2</v>
      </c>
      <c r="CU525">
        <v>0</v>
      </c>
      <c r="CV525">
        <v>2</v>
      </c>
      <c r="CW525">
        <v>0</v>
      </c>
      <c r="CX525">
        <v>6</v>
      </c>
      <c r="CY525">
        <v>7</v>
      </c>
      <c r="CZ525" t="s">
        <v>133</v>
      </c>
      <c r="DA525">
        <v>125</v>
      </c>
      <c r="DB525">
        <v>1</v>
      </c>
      <c r="DC525" t="s">
        <v>134</v>
      </c>
      <c r="DD525" t="s">
        <v>135</v>
      </c>
      <c r="DG525">
        <v>2576399</v>
      </c>
      <c r="DI525">
        <v>0</v>
      </c>
      <c r="DJ525">
        <v>0</v>
      </c>
      <c r="DK525">
        <v>1</v>
      </c>
      <c r="DL525">
        <v>0</v>
      </c>
      <c r="DM525">
        <v>0</v>
      </c>
      <c r="DN525">
        <v>0</v>
      </c>
      <c r="DO525">
        <v>0</v>
      </c>
      <c r="DP525">
        <v>0</v>
      </c>
      <c r="DQ525">
        <v>0</v>
      </c>
      <c r="DR525">
        <v>0</v>
      </c>
      <c r="DS525">
        <v>0</v>
      </c>
    </row>
    <row r="526" spans="1:123" x14ac:dyDescent="0.25">
      <c r="A526" t="str">
        <f>"04/17/2026 15:39:47.892"</f>
        <v>04/17/2026 15:39:47.892</v>
      </c>
      <c r="C526" t="str">
        <f t="shared" si="44"/>
        <v>FFDFD3C0</v>
      </c>
      <c r="D526" t="s">
        <v>124</v>
      </c>
      <c r="E526" t="str">
        <f>"03"</f>
        <v>03</v>
      </c>
      <c r="H526">
        <v>160</v>
      </c>
      <c r="I526" t="s">
        <v>125</v>
      </c>
      <c r="J526" t="s">
        <v>126</v>
      </c>
      <c r="K526">
        <v>0</v>
      </c>
      <c r="L526">
        <v>3</v>
      </c>
      <c r="M526">
        <v>0</v>
      </c>
      <c r="N526">
        <v>2</v>
      </c>
      <c r="O526">
        <v>1</v>
      </c>
      <c r="P526">
        <v>0</v>
      </c>
      <c r="Q526">
        <v>0</v>
      </c>
      <c r="R526" t="s">
        <v>127</v>
      </c>
      <c r="S526" t="str">
        <f>"15:39:47.648"</f>
        <v>15:39:47.648</v>
      </c>
      <c r="T526" t="str">
        <f>"15:39:47.448"</f>
        <v>15:39:47.448</v>
      </c>
      <c r="U526" t="str">
        <f t="shared" si="45"/>
        <v>A55E09</v>
      </c>
      <c r="V526">
        <v>0</v>
      </c>
      <c r="W526">
        <v>0</v>
      </c>
      <c r="X526">
        <v>2</v>
      </c>
      <c r="Y526">
        <v>0</v>
      </c>
      <c r="AA526">
        <v>0</v>
      </c>
      <c r="AB526">
        <v>9</v>
      </c>
      <c r="AC526">
        <v>3</v>
      </c>
      <c r="AD526">
        <v>0</v>
      </c>
      <c r="AE526">
        <v>9</v>
      </c>
      <c r="AF526" t="s">
        <v>128</v>
      </c>
      <c r="AG526">
        <v>0</v>
      </c>
      <c r="AH526">
        <v>0</v>
      </c>
      <c r="AI526">
        <v>1</v>
      </c>
      <c r="AJ526">
        <v>0</v>
      </c>
      <c r="AK526" t="s">
        <v>382</v>
      </c>
      <c r="AL526">
        <v>33.707878999999998</v>
      </c>
      <c r="AM526" t="s">
        <v>351</v>
      </c>
      <c r="AN526">
        <v>-101.21028200000001</v>
      </c>
      <c r="AO526">
        <v>100</v>
      </c>
      <c r="AP526">
        <v>3200</v>
      </c>
      <c r="AQ526" t="s">
        <v>131</v>
      </c>
      <c r="AR526">
        <v>10</v>
      </c>
      <c r="AS526">
        <v>89</v>
      </c>
      <c r="AT526">
        <v>-128</v>
      </c>
      <c r="BB526" t="str">
        <f t="shared" si="46"/>
        <v>1200</v>
      </c>
      <c r="BC526">
        <v>1</v>
      </c>
      <c r="BD526" t="str">
        <f t="shared" si="47"/>
        <v xml:space="preserve">N445JS  </v>
      </c>
      <c r="BE526">
        <v>7</v>
      </c>
      <c r="BG526">
        <v>0</v>
      </c>
      <c r="BH526">
        <v>0</v>
      </c>
      <c r="BI526">
        <v>0</v>
      </c>
      <c r="BJ526">
        <v>2975</v>
      </c>
      <c r="BK526">
        <v>-225</v>
      </c>
      <c r="BL526" t="s">
        <v>132</v>
      </c>
      <c r="BM526">
        <v>1</v>
      </c>
      <c r="BN526">
        <v>1</v>
      </c>
      <c r="BO526">
        <v>1</v>
      </c>
      <c r="BP526">
        <v>0</v>
      </c>
      <c r="BT526">
        <v>0</v>
      </c>
      <c r="BU526">
        <v>0</v>
      </c>
      <c r="CE526" t="str">
        <f>"15:39:47.655"</f>
        <v>15:39:47.655</v>
      </c>
      <c r="CF526">
        <v>654806241</v>
      </c>
      <c r="CS526">
        <v>0</v>
      </c>
      <c r="CT526">
        <v>2</v>
      </c>
      <c r="CU526">
        <v>0</v>
      </c>
      <c r="CV526">
        <v>2</v>
      </c>
      <c r="CW526">
        <v>0</v>
      </c>
      <c r="CX526">
        <v>6</v>
      </c>
      <c r="CY526">
        <v>7</v>
      </c>
      <c r="CZ526" t="s">
        <v>133</v>
      </c>
      <c r="DA526">
        <v>125</v>
      </c>
      <c r="DB526">
        <v>1</v>
      </c>
      <c r="DC526" t="s">
        <v>134</v>
      </c>
      <c r="DD526" t="s">
        <v>135</v>
      </c>
      <c r="DG526">
        <v>2577356</v>
      </c>
      <c r="DI526">
        <v>0</v>
      </c>
      <c r="DJ526">
        <v>0</v>
      </c>
      <c r="DK526">
        <v>0</v>
      </c>
      <c r="DL526">
        <v>0</v>
      </c>
      <c r="DM526">
        <v>0</v>
      </c>
      <c r="DN526">
        <v>0</v>
      </c>
      <c r="DO526">
        <v>0</v>
      </c>
      <c r="DP526">
        <v>0</v>
      </c>
      <c r="DQ526">
        <v>0</v>
      </c>
      <c r="DR526">
        <v>0</v>
      </c>
      <c r="DS526">
        <v>0</v>
      </c>
    </row>
    <row r="527" spans="1:123" x14ac:dyDescent="0.25">
      <c r="A527" t="str">
        <f>"04/17/2026 15:39:47.913"</f>
        <v>04/17/2026 15:39:47.913</v>
      </c>
      <c r="C527" t="str">
        <f t="shared" si="44"/>
        <v>FFDFD3C0</v>
      </c>
      <c r="D527" t="s">
        <v>136</v>
      </c>
      <c r="E527" t="str">
        <f>"0E"</f>
        <v>0E</v>
      </c>
      <c r="F527">
        <v>1014</v>
      </c>
      <c r="G527" t="s">
        <v>125</v>
      </c>
      <c r="J527" t="s">
        <v>137</v>
      </c>
      <c r="K527">
        <v>0</v>
      </c>
      <c r="L527">
        <v>3</v>
      </c>
      <c r="M527">
        <v>0</v>
      </c>
      <c r="N527">
        <v>2</v>
      </c>
      <c r="O527">
        <v>1</v>
      </c>
      <c r="P527">
        <v>0</v>
      </c>
      <c r="Q527">
        <v>0</v>
      </c>
      <c r="R527" t="s">
        <v>127</v>
      </c>
      <c r="S527" t="str">
        <f>"15:39:47.648"</f>
        <v>15:39:47.648</v>
      </c>
      <c r="T527" t="str">
        <f>"15:39:47.448"</f>
        <v>15:39:47.448</v>
      </c>
      <c r="U527" t="str">
        <f t="shared" si="45"/>
        <v>A55E09</v>
      </c>
      <c r="V527">
        <v>0</v>
      </c>
      <c r="W527">
        <v>0</v>
      </c>
      <c r="X527">
        <v>2</v>
      </c>
      <c r="Y527">
        <v>0</v>
      </c>
      <c r="AA527">
        <v>0</v>
      </c>
      <c r="AB527">
        <v>9</v>
      </c>
      <c r="AC527">
        <v>3</v>
      </c>
      <c r="AD527">
        <v>0</v>
      </c>
      <c r="AE527">
        <v>9</v>
      </c>
      <c r="AF527" t="s">
        <v>128</v>
      </c>
      <c r="AG527">
        <v>0</v>
      </c>
      <c r="AH527">
        <v>0</v>
      </c>
      <c r="AI527">
        <v>1</v>
      </c>
      <c r="AJ527">
        <v>0</v>
      </c>
      <c r="AK527" t="s">
        <v>382</v>
      </c>
      <c r="AL527">
        <v>33.707878999999998</v>
      </c>
      <c r="AM527" t="s">
        <v>351</v>
      </c>
      <c r="AN527">
        <v>-101.21028200000001</v>
      </c>
      <c r="AO527">
        <v>100</v>
      </c>
      <c r="AP527">
        <v>3200</v>
      </c>
      <c r="AQ527" t="s">
        <v>131</v>
      </c>
      <c r="AR527">
        <v>10</v>
      </c>
      <c r="AS527">
        <v>89</v>
      </c>
      <c r="AT527">
        <v>-128</v>
      </c>
      <c r="BB527" t="str">
        <f t="shared" si="46"/>
        <v>1200</v>
      </c>
      <c r="BC527">
        <v>1</v>
      </c>
      <c r="BD527" t="str">
        <f t="shared" si="47"/>
        <v xml:space="preserve">N445JS  </v>
      </c>
      <c r="BE527">
        <v>7</v>
      </c>
      <c r="BG527">
        <v>0</v>
      </c>
      <c r="BH527">
        <v>0</v>
      </c>
      <c r="BI527">
        <v>0</v>
      </c>
      <c r="BJ527">
        <v>2975</v>
      </c>
      <c r="BK527">
        <v>-225</v>
      </c>
      <c r="BL527" t="s">
        <v>132</v>
      </c>
      <c r="BM527">
        <v>1</v>
      </c>
      <c r="BN527">
        <v>1</v>
      </c>
      <c r="BO527">
        <v>1</v>
      </c>
      <c r="BP527">
        <v>0</v>
      </c>
      <c r="BT527">
        <v>0</v>
      </c>
      <c r="BU527">
        <v>0</v>
      </c>
      <c r="CE527" t="str">
        <f>"15:39:47.655"</f>
        <v>15:39:47.655</v>
      </c>
      <c r="CF527">
        <v>654806241</v>
      </c>
      <c r="CS527">
        <v>0</v>
      </c>
      <c r="CT527">
        <v>2</v>
      </c>
      <c r="CU527">
        <v>0</v>
      </c>
      <c r="CV527">
        <v>2</v>
      </c>
      <c r="CW527">
        <v>0</v>
      </c>
      <c r="CX527">
        <v>6</v>
      </c>
      <c r="CY527">
        <v>7</v>
      </c>
      <c r="CZ527" t="s">
        <v>133</v>
      </c>
      <c r="DA527">
        <v>125</v>
      </c>
      <c r="DB527">
        <v>1</v>
      </c>
      <c r="DC527" t="s">
        <v>134</v>
      </c>
      <c r="DD527" t="s">
        <v>135</v>
      </c>
      <c r="DG527">
        <v>2577356</v>
      </c>
      <c r="DI527">
        <v>0</v>
      </c>
      <c r="DJ527">
        <v>0</v>
      </c>
      <c r="DK527">
        <v>1</v>
      </c>
      <c r="DL527">
        <v>0</v>
      </c>
      <c r="DM527">
        <v>0</v>
      </c>
      <c r="DN527">
        <v>0</v>
      </c>
      <c r="DO527">
        <v>0</v>
      </c>
      <c r="DP527">
        <v>0</v>
      </c>
      <c r="DQ527">
        <v>0</v>
      </c>
      <c r="DR527">
        <v>0</v>
      </c>
      <c r="DS527">
        <v>0</v>
      </c>
    </row>
    <row r="528" spans="1:123" x14ac:dyDescent="0.25">
      <c r="A528" t="str">
        <f>"04/17/2026 15:39:47.926"</f>
        <v>04/17/2026 15:39:47.926</v>
      </c>
      <c r="C528" t="str">
        <f t="shared" si="44"/>
        <v>FFDFD3C0</v>
      </c>
      <c r="D528" t="s">
        <v>139</v>
      </c>
      <c r="E528" t="str">
        <f>"28"</f>
        <v>28</v>
      </c>
      <c r="H528">
        <v>140</v>
      </c>
      <c r="I528" t="s">
        <v>140</v>
      </c>
      <c r="J528" t="s">
        <v>141</v>
      </c>
      <c r="K528">
        <v>0</v>
      </c>
      <c r="L528">
        <v>3</v>
      </c>
      <c r="M528">
        <v>0</v>
      </c>
      <c r="N528">
        <v>2</v>
      </c>
      <c r="O528">
        <v>1</v>
      </c>
      <c r="P528">
        <v>0</v>
      </c>
      <c r="Q528">
        <v>0</v>
      </c>
      <c r="R528" t="s">
        <v>127</v>
      </c>
      <c r="S528" t="str">
        <f>"15:39:47.648"</f>
        <v>15:39:47.648</v>
      </c>
      <c r="T528" t="str">
        <f>"15:39:47.448"</f>
        <v>15:39:47.448</v>
      </c>
      <c r="U528" t="str">
        <f t="shared" si="45"/>
        <v>A55E09</v>
      </c>
      <c r="V528">
        <v>0</v>
      </c>
      <c r="W528">
        <v>0</v>
      </c>
      <c r="X528">
        <v>2</v>
      </c>
      <c r="Y528">
        <v>0</v>
      </c>
      <c r="AA528">
        <v>0</v>
      </c>
      <c r="AB528">
        <v>9</v>
      </c>
      <c r="AC528">
        <v>3</v>
      </c>
      <c r="AD528">
        <v>0</v>
      </c>
      <c r="AE528">
        <v>9</v>
      </c>
      <c r="AF528" t="s">
        <v>128</v>
      </c>
      <c r="AG528">
        <v>0</v>
      </c>
      <c r="AH528">
        <v>0</v>
      </c>
      <c r="AI528">
        <v>1</v>
      </c>
      <c r="AJ528">
        <v>0</v>
      </c>
      <c r="AK528" t="s">
        <v>382</v>
      </c>
      <c r="AL528">
        <v>33.707878999999998</v>
      </c>
      <c r="AM528" t="s">
        <v>351</v>
      </c>
      <c r="AN528">
        <v>-101.21028200000001</v>
      </c>
      <c r="AO528">
        <v>100</v>
      </c>
      <c r="AP528">
        <v>3200</v>
      </c>
      <c r="AQ528" t="s">
        <v>131</v>
      </c>
      <c r="AR528">
        <v>10</v>
      </c>
      <c r="AS528">
        <v>89</v>
      </c>
      <c r="AT528">
        <v>-128</v>
      </c>
      <c r="BB528" t="str">
        <f t="shared" si="46"/>
        <v>1200</v>
      </c>
      <c r="BC528">
        <v>1</v>
      </c>
      <c r="BD528" t="str">
        <f t="shared" si="47"/>
        <v xml:space="preserve">N445JS  </v>
      </c>
      <c r="BE528">
        <v>7</v>
      </c>
      <c r="BG528">
        <v>0</v>
      </c>
      <c r="BH528">
        <v>0</v>
      </c>
      <c r="BI528">
        <v>0</v>
      </c>
      <c r="BJ528">
        <v>2975</v>
      </c>
      <c r="BK528">
        <v>-225</v>
      </c>
      <c r="BL528" t="s">
        <v>132</v>
      </c>
      <c r="BM528">
        <v>1</v>
      </c>
      <c r="BN528">
        <v>1</v>
      </c>
      <c r="BO528">
        <v>1</v>
      </c>
      <c r="BP528">
        <v>0</v>
      </c>
      <c r="BT528">
        <v>0</v>
      </c>
      <c r="BU528">
        <v>0</v>
      </c>
      <c r="CE528" t="str">
        <f>"15:39:47.655"</f>
        <v>15:39:47.655</v>
      </c>
      <c r="CF528">
        <v>654806241</v>
      </c>
      <c r="CS528">
        <v>0</v>
      </c>
      <c r="CT528">
        <v>2</v>
      </c>
      <c r="CU528">
        <v>0</v>
      </c>
      <c r="CV528">
        <v>2</v>
      </c>
      <c r="CW528">
        <v>0</v>
      </c>
      <c r="CX528">
        <v>6</v>
      </c>
      <c r="CY528">
        <v>7</v>
      </c>
      <c r="CZ528" t="s">
        <v>133</v>
      </c>
      <c r="DA528">
        <v>125</v>
      </c>
      <c r="DB528">
        <v>1</v>
      </c>
      <c r="DC528" t="s">
        <v>134</v>
      </c>
      <c r="DD528" t="s">
        <v>135</v>
      </c>
      <c r="DG528">
        <v>2577356</v>
      </c>
      <c r="DI528">
        <v>0</v>
      </c>
      <c r="DJ528">
        <v>0</v>
      </c>
      <c r="DK528">
        <v>1</v>
      </c>
      <c r="DL528">
        <v>0</v>
      </c>
      <c r="DM528">
        <v>0</v>
      </c>
      <c r="DN528">
        <v>0</v>
      </c>
      <c r="DO528">
        <v>0</v>
      </c>
      <c r="DP528">
        <v>0</v>
      </c>
      <c r="DQ528">
        <v>0</v>
      </c>
      <c r="DR528">
        <v>0</v>
      </c>
      <c r="DS528">
        <v>0</v>
      </c>
    </row>
    <row r="529" spans="1:123" x14ac:dyDescent="0.25">
      <c r="A529" t="str">
        <f>"04/17/2026 15:39:47.930"</f>
        <v>04/17/2026 15:39:47.930</v>
      </c>
      <c r="C529" t="str">
        <f t="shared" si="44"/>
        <v>FFDFD3C0</v>
      </c>
      <c r="D529" t="s">
        <v>136</v>
      </c>
      <c r="E529" t="str">
        <f>"0F"</f>
        <v>0F</v>
      </c>
      <c r="F529">
        <v>1015</v>
      </c>
      <c r="G529" t="s">
        <v>138</v>
      </c>
      <c r="J529" t="s">
        <v>137</v>
      </c>
      <c r="K529">
        <v>0</v>
      </c>
      <c r="L529">
        <v>3</v>
      </c>
      <c r="M529">
        <v>0</v>
      </c>
      <c r="N529">
        <v>2</v>
      </c>
      <c r="O529">
        <v>1</v>
      </c>
      <c r="P529">
        <v>0</v>
      </c>
      <c r="Q529">
        <v>0</v>
      </c>
      <c r="R529" t="s">
        <v>127</v>
      </c>
      <c r="S529" t="str">
        <f>"15:39:47.648"</f>
        <v>15:39:47.648</v>
      </c>
      <c r="T529" t="str">
        <f>"15:39:47.448"</f>
        <v>15:39:47.448</v>
      </c>
      <c r="U529" t="str">
        <f t="shared" si="45"/>
        <v>A55E09</v>
      </c>
      <c r="V529">
        <v>0</v>
      </c>
      <c r="W529">
        <v>0</v>
      </c>
      <c r="X529">
        <v>2</v>
      </c>
      <c r="Y529">
        <v>0</v>
      </c>
      <c r="AA529">
        <v>0</v>
      </c>
      <c r="AB529">
        <v>9</v>
      </c>
      <c r="AC529">
        <v>3</v>
      </c>
      <c r="AD529">
        <v>0</v>
      </c>
      <c r="AE529">
        <v>9</v>
      </c>
      <c r="AF529" t="s">
        <v>128</v>
      </c>
      <c r="AG529">
        <v>0</v>
      </c>
      <c r="AH529">
        <v>0</v>
      </c>
      <c r="AI529">
        <v>1</v>
      </c>
      <c r="AJ529">
        <v>0</v>
      </c>
      <c r="AK529" t="s">
        <v>382</v>
      </c>
      <c r="AL529">
        <v>33.707878999999998</v>
      </c>
      <c r="AM529" t="s">
        <v>351</v>
      </c>
      <c r="AN529">
        <v>-101.21028200000001</v>
      </c>
      <c r="AO529">
        <v>100</v>
      </c>
      <c r="AP529">
        <v>3200</v>
      </c>
      <c r="AQ529" t="s">
        <v>131</v>
      </c>
      <c r="AR529">
        <v>10</v>
      </c>
      <c r="AS529">
        <v>89</v>
      </c>
      <c r="AT529">
        <v>-128</v>
      </c>
      <c r="BB529" t="str">
        <f t="shared" si="46"/>
        <v>1200</v>
      </c>
      <c r="BC529">
        <v>1</v>
      </c>
      <c r="BD529" t="str">
        <f t="shared" si="47"/>
        <v xml:space="preserve">N445JS  </v>
      </c>
      <c r="BE529">
        <v>7</v>
      </c>
      <c r="BG529">
        <v>0</v>
      </c>
      <c r="BH529">
        <v>0</v>
      </c>
      <c r="BI529">
        <v>0</v>
      </c>
      <c r="BJ529">
        <v>2975</v>
      </c>
      <c r="BK529">
        <v>-225</v>
      </c>
      <c r="BL529" t="s">
        <v>132</v>
      </c>
      <c r="BM529">
        <v>1</v>
      </c>
      <c r="BN529">
        <v>1</v>
      </c>
      <c r="BO529">
        <v>1</v>
      </c>
      <c r="BP529">
        <v>0</v>
      </c>
      <c r="BT529">
        <v>0</v>
      </c>
      <c r="BU529">
        <v>0</v>
      </c>
      <c r="CE529" t="str">
        <f>"15:39:47.655"</f>
        <v>15:39:47.655</v>
      </c>
      <c r="CF529">
        <v>654806241</v>
      </c>
      <c r="CS529">
        <v>0</v>
      </c>
      <c r="CT529">
        <v>2</v>
      </c>
      <c r="CU529">
        <v>0</v>
      </c>
      <c r="CV529">
        <v>2</v>
      </c>
      <c r="CW529">
        <v>0</v>
      </c>
      <c r="CX529">
        <v>6</v>
      </c>
      <c r="CY529">
        <v>7</v>
      </c>
      <c r="CZ529" t="s">
        <v>133</v>
      </c>
      <c r="DA529">
        <v>125</v>
      </c>
      <c r="DB529">
        <v>1</v>
      </c>
      <c r="DC529" t="s">
        <v>134</v>
      </c>
      <c r="DD529" t="s">
        <v>135</v>
      </c>
      <c r="DG529">
        <v>2577356</v>
      </c>
      <c r="DI529">
        <v>0</v>
      </c>
      <c r="DJ529">
        <v>0</v>
      </c>
      <c r="DK529">
        <v>1</v>
      </c>
      <c r="DL529">
        <v>0</v>
      </c>
      <c r="DM529">
        <v>0</v>
      </c>
      <c r="DN529">
        <v>0</v>
      </c>
      <c r="DO529">
        <v>0</v>
      </c>
      <c r="DP529">
        <v>0</v>
      </c>
      <c r="DQ529">
        <v>0</v>
      </c>
      <c r="DR529">
        <v>0</v>
      </c>
      <c r="DS529">
        <v>0</v>
      </c>
    </row>
    <row r="530" spans="1:123" x14ac:dyDescent="0.25">
      <c r="A530" t="str">
        <f>"04/17/2026 15:39:49.044"</f>
        <v>04/17/2026 15:39:49.044</v>
      </c>
      <c r="C530" t="str">
        <f t="shared" si="44"/>
        <v>FFDFD3C0</v>
      </c>
      <c r="D530" t="s">
        <v>124</v>
      </c>
      <c r="E530" t="str">
        <f>"03"</f>
        <v>03</v>
      </c>
      <c r="H530">
        <v>160</v>
      </c>
      <c r="I530" t="s">
        <v>125</v>
      </c>
      <c r="J530" t="s">
        <v>126</v>
      </c>
      <c r="K530">
        <v>0</v>
      </c>
      <c r="L530">
        <v>3</v>
      </c>
      <c r="M530">
        <v>0</v>
      </c>
      <c r="N530">
        <v>2</v>
      </c>
      <c r="O530">
        <v>1</v>
      </c>
      <c r="P530">
        <v>0</v>
      </c>
      <c r="Q530">
        <v>0</v>
      </c>
      <c r="R530" t="s">
        <v>127</v>
      </c>
      <c r="S530" t="str">
        <f t="shared" ref="S530:T533" si="48">"15:39:48.773"</f>
        <v>15:39:48.773</v>
      </c>
      <c r="T530" t="str">
        <f t="shared" si="48"/>
        <v>15:39:48.773</v>
      </c>
      <c r="U530" t="str">
        <f t="shared" si="45"/>
        <v>A55E09</v>
      </c>
      <c r="V530">
        <v>0</v>
      </c>
      <c r="W530">
        <v>0</v>
      </c>
      <c r="X530">
        <v>2</v>
      </c>
      <c r="Y530">
        <v>0</v>
      </c>
      <c r="AA530">
        <v>0</v>
      </c>
      <c r="AB530">
        <v>9</v>
      </c>
      <c r="AC530">
        <v>3</v>
      </c>
      <c r="AD530">
        <v>0</v>
      </c>
      <c r="AE530">
        <v>9</v>
      </c>
      <c r="AF530" t="s">
        <v>128</v>
      </c>
      <c r="AG530">
        <v>0</v>
      </c>
      <c r="AH530">
        <v>0</v>
      </c>
      <c r="AI530">
        <v>1</v>
      </c>
      <c r="AJ530">
        <v>0</v>
      </c>
      <c r="AK530" t="s">
        <v>383</v>
      </c>
      <c r="AL530">
        <v>33.708328999999999</v>
      </c>
      <c r="AM530" t="s">
        <v>384</v>
      </c>
      <c r="AN530">
        <v>-101.210239</v>
      </c>
      <c r="AO530">
        <v>100</v>
      </c>
      <c r="AP530">
        <v>3200</v>
      </c>
      <c r="AQ530" t="s">
        <v>131</v>
      </c>
      <c r="AR530">
        <v>11</v>
      </c>
      <c r="AS530">
        <v>89</v>
      </c>
      <c r="AT530">
        <v>-128</v>
      </c>
      <c r="BB530" t="str">
        <f t="shared" si="46"/>
        <v>1200</v>
      </c>
      <c r="BC530">
        <v>1</v>
      </c>
      <c r="BD530" t="str">
        <f t="shared" si="47"/>
        <v xml:space="preserve">N445JS  </v>
      </c>
      <c r="BE530">
        <v>7</v>
      </c>
      <c r="BG530">
        <v>0</v>
      </c>
      <c r="BH530">
        <v>0</v>
      </c>
      <c r="BI530">
        <v>0</v>
      </c>
      <c r="BJ530">
        <v>2950</v>
      </c>
      <c r="BK530">
        <v>-250</v>
      </c>
      <c r="BL530" t="s">
        <v>132</v>
      </c>
      <c r="BM530">
        <v>1</v>
      </c>
      <c r="BN530">
        <v>1</v>
      </c>
      <c r="BO530">
        <v>1</v>
      </c>
      <c r="BP530">
        <v>0</v>
      </c>
      <c r="BT530">
        <v>0</v>
      </c>
      <c r="BU530">
        <v>0</v>
      </c>
      <c r="CE530" t="str">
        <f>"15:39:48.780"</f>
        <v>15:39:48.780</v>
      </c>
      <c r="CF530">
        <v>779696052</v>
      </c>
      <c r="CS530">
        <v>0</v>
      </c>
      <c r="CT530">
        <v>2</v>
      </c>
      <c r="CU530">
        <v>0</v>
      </c>
      <c r="CV530">
        <v>2</v>
      </c>
      <c r="CW530">
        <v>0</v>
      </c>
      <c r="CX530">
        <v>6</v>
      </c>
      <c r="CY530">
        <v>7</v>
      </c>
      <c r="CZ530" t="s">
        <v>133</v>
      </c>
      <c r="DA530">
        <v>125</v>
      </c>
      <c r="DB530">
        <v>1</v>
      </c>
      <c r="DC530" t="s">
        <v>134</v>
      </c>
      <c r="DD530" t="s">
        <v>135</v>
      </c>
      <c r="DG530">
        <v>2578474</v>
      </c>
      <c r="DI530">
        <v>0</v>
      </c>
      <c r="DJ530">
        <v>0</v>
      </c>
      <c r="DK530">
        <v>0</v>
      </c>
      <c r="DL530">
        <v>0</v>
      </c>
      <c r="DM530">
        <v>0</v>
      </c>
      <c r="DN530">
        <v>0</v>
      </c>
      <c r="DO530">
        <v>0</v>
      </c>
      <c r="DP530">
        <v>0</v>
      </c>
      <c r="DQ530">
        <v>0</v>
      </c>
      <c r="DR530">
        <v>0</v>
      </c>
      <c r="DS530">
        <v>0</v>
      </c>
    </row>
    <row r="531" spans="1:123" x14ac:dyDescent="0.25">
      <c r="A531" t="str">
        <f>"04/17/2026 15:39:49.064"</f>
        <v>04/17/2026 15:39:49.064</v>
      </c>
      <c r="C531" t="str">
        <f t="shared" si="44"/>
        <v>FFDFD3C0</v>
      </c>
      <c r="D531" t="s">
        <v>136</v>
      </c>
      <c r="E531" t="str">
        <f>"0E"</f>
        <v>0E</v>
      </c>
      <c r="F531">
        <v>1014</v>
      </c>
      <c r="G531" t="s">
        <v>125</v>
      </c>
      <c r="J531" t="s">
        <v>137</v>
      </c>
      <c r="K531">
        <v>0</v>
      </c>
      <c r="L531">
        <v>3</v>
      </c>
      <c r="M531">
        <v>0</v>
      </c>
      <c r="N531">
        <v>2</v>
      </c>
      <c r="O531">
        <v>1</v>
      </c>
      <c r="P531">
        <v>0</v>
      </c>
      <c r="Q531">
        <v>0</v>
      </c>
      <c r="R531" t="s">
        <v>127</v>
      </c>
      <c r="S531" t="str">
        <f t="shared" si="48"/>
        <v>15:39:48.773</v>
      </c>
      <c r="T531" t="str">
        <f t="shared" si="48"/>
        <v>15:39:48.773</v>
      </c>
      <c r="U531" t="str">
        <f t="shared" si="45"/>
        <v>A55E09</v>
      </c>
      <c r="V531">
        <v>0</v>
      </c>
      <c r="W531">
        <v>0</v>
      </c>
      <c r="X531">
        <v>2</v>
      </c>
      <c r="Y531">
        <v>0</v>
      </c>
      <c r="AA531">
        <v>0</v>
      </c>
      <c r="AB531">
        <v>9</v>
      </c>
      <c r="AC531">
        <v>3</v>
      </c>
      <c r="AD531">
        <v>0</v>
      </c>
      <c r="AE531">
        <v>9</v>
      </c>
      <c r="AF531" t="s">
        <v>128</v>
      </c>
      <c r="AG531">
        <v>0</v>
      </c>
      <c r="AH531">
        <v>0</v>
      </c>
      <c r="AI531">
        <v>1</v>
      </c>
      <c r="AJ531">
        <v>0</v>
      </c>
      <c r="AK531" t="s">
        <v>383</v>
      </c>
      <c r="AL531">
        <v>33.708328999999999</v>
      </c>
      <c r="AM531" t="s">
        <v>384</v>
      </c>
      <c r="AN531">
        <v>-101.210239</v>
      </c>
      <c r="AO531">
        <v>100</v>
      </c>
      <c r="AP531">
        <v>3200</v>
      </c>
      <c r="AQ531" t="s">
        <v>131</v>
      </c>
      <c r="AR531">
        <v>11</v>
      </c>
      <c r="AS531">
        <v>89</v>
      </c>
      <c r="AT531">
        <v>-128</v>
      </c>
      <c r="BB531" t="str">
        <f t="shared" si="46"/>
        <v>1200</v>
      </c>
      <c r="BC531">
        <v>1</v>
      </c>
      <c r="BD531" t="str">
        <f t="shared" si="47"/>
        <v xml:space="preserve">N445JS  </v>
      </c>
      <c r="BE531">
        <v>7</v>
      </c>
      <c r="BG531">
        <v>0</v>
      </c>
      <c r="BH531">
        <v>0</v>
      </c>
      <c r="BI531">
        <v>0</v>
      </c>
      <c r="BJ531">
        <v>2950</v>
      </c>
      <c r="BK531">
        <v>-250</v>
      </c>
      <c r="BL531" t="s">
        <v>132</v>
      </c>
      <c r="BM531">
        <v>1</v>
      </c>
      <c r="BN531">
        <v>1</v>
      </c>
      <c r="BO531">
        <v>1</v>
      </c>
      <c r="BP531">
        <v>0</v>
      </c>
      <c r="BT531">
        <v>0</v>
      </c>
      <c r="BU531">
        <v>0</v>
      </c>
      <c r="CE531" t="str">
        <f>"15:39:48.780"</f>
        <v>15:39:48.780</v>
      </c>
      <c r="CF531">
        <v>779696052</v>
      </c>
      <c r="CS531">
        <v>0</v>
      </c>
      <c r="CT531">
        <v>2</v>
      </c>
      <c r="CU531">
        <v>0</v>
      </c>
      <c r="CV531">
        <v>2</v>
      </c>
      <c r="CW531">
        <v>0</v>
      </c>
      <c r="CX531">
        <v>6</v>
      </c>
      <c r="CY531">
        <v>7</v>
      </c>
      <c r="CZ531" t="s">
        <v>133</v>
      </c>
      <c r="DA531">
        <v>125</v>
      </c>
      <c r="DB531">
        <v>1</v>
      </c>
      <c r="DC531" t="s">
        <v>134</v>
      </c>
      <c r="DD531" t="s">
        <v>135</v>
      </c>
      <c r="DG531">
        <v>2578474</v>
      </c>
      <c r="DI531">
        <v>0</v>
      </c>
      <c r="DJ531">
        <v>0</v>
      </c>
      <c r="DK531">
        <v>1</v>
      </c>
      <c r="DL531">
        <v>0</v>
      </c>
      <c r="DM531">
        <v>0</v>
      </c>
      <c r="DN531">
        <v>0</v>
      </c>
      <c r="DO531">
        <v>0</v>
      </c>
      <c r="DP531">
        <v>0</v>
      </c>
      <c r="DQ531">
        <v>0</v>
      </c>
      <c r="DR531">
        <v>0</v>
      </c>
      <c r="DS531">
        <v>0</v>
      </c>
    </row>
    <row r="532" spans="1:123" x14ac:dyDescent="0.25">
      <c r="A532" t="str">
        <f>"04/17/2026 15:39:49.078"</f>
        <v>04/17/2026 15:39:49.078</v>
      </c>
      <c r="C532" t="str">
        <f t="shared" si="44"/>
        <v>FFDFD3C0</v>
      </c>
      <c r="D532" t="s">
        <v>139</v>
      </c>
      <c r="E532" t="str">
        <f>"28"</f>
        <v>28</v>
      </c>
      <c r="H532">
        <v>140</v>
      </c>
      <c r="I532" t="s">
        <v>140</v>
      </c>
      <c r="J532" t="s">
        <v>141</v>
      </c>
      <c r="K532">
        <v>0</v>
      </c>
      <c r="L532">
        <v>3</v>
      </c>
      <c r="M532">
        <v>0</v>
      </c>
      <c r="N532">
        <v>2</v>
      </c>
      <c r="O532">
        <v>1</v>
      </c>
      <c r="P532">
        <v>0</v>
      </c>
      <c r="Q532">
        <v>0</v>
      </c>
      <c r="R532" t="s">
        <v>127</v>
      </c>
      <c r="S532" t="str">
        <f t="shared" si="48"/>
        <v>15:39:48.773</v>
      </c>
      <c r="T532" t="str">
        <f t="shared" si="48"/>
        <v>15:39:48.773</v>
      </c>
      <c r="U532" t="str">
        <f t="shared" si="45"/>
        <v>A55E09</v>
      </c>
      <c r="V532">
        <v>0</v>
      </c>
      <c r="W532">
        <v>0</v>
      </c>
      <c r="X532">
        <v>2</v>
      </c>
      <c r="Y532">
        <v>0</v>
      </c>
      <c r="AA532">
        <v>0</v>
      </c>
      <c r="AB532">
        <v>9</v>
      </c>
      <c r="AC532">
        <v>3</v>
      </c>
      <c r="AD532">
        <v>0</v>
      </c>
      <c r="AE532">
        <v>9</v>
      </c>
      <c r="AF532" t="s">
        <v>128</v>
      </c>
      <c r="AG532">
        <v>0</v>
      </c>
      <c r="AH532">
        <v>0</v>
      </c>
      <c r="AI532">
        <v>1</v>
      </c>
      <c r="AJ532">
        <v>0</v>
      </c>
      <c r="AK532" t="s">
        <v>383</v>
      </c>
      <c r="AL532">
        <v>33.708328999999999</v>
      </c>
      <c r="AM532" t="s">
        <v>384</v>
      </c>
      <c r="AN532">
        <v>-101.210239</v>
      </c>
      <c r="AO532">
        <v>100</v>
      </c>
      <c r="AP532">
        <v>3200</v>
      </c>
      <c r="AQ532" t="s">
        <v>131</v>
      </c>
      <c r="AR532">
        <v>11</v>
      </c>
      <c r="AS532">
        <v>89</v>
      </c>
      <c r="AT532">
        <v>-128</v>
      </c>
      <c r="BB532" t="str">
        <f t="shared" si="46"/>
        <v>1200</v>
      </c>
      <c r="BC532">
        <v>1</v>
      </c>
      <c r="BD532" t="str">
        <f t="shared" si="47"/>
        <v xml:space="preserve">N445JS  </v>
      </c>
      <c r="BE532">
        <v>7</v>
      </c>
      <c r="BG532">
        <v>0</v>
      </c>
      <c r="BH532">
        <v>0</v>
      </c>
      <c r="BI532">
        <v>0</v>
      </c>
      <c r="BJ532">
        <v>2950</v>
      </c>
      <c r="BK532">
        <v>-250</v>
      </c>
      <c r="BL532" t="s">
        <v>132</v>
      </c>
      <c r="BM532">
        <v>1</v>
      </c>
      <c r="BN532">
        <v>1</v>
      </c>
      <c r="BO532">
        <v>1</v>
      </c>
      <c r="BP532">
        <v>0</v>
      </c>
      <c r="BT532">
        <v>0</v>
      </c>
      <c r="BU532">
        <v>0</v>
      </c>
      <c r="CE532" t="str">
        <f>"15:39:48.780"</f>
        <v>15:39:48.780</v>
      </c>
      <c r="CF532">
        <v>779696052</v>
      </c>
      <c r="CS532">
        <v>0</v>
      </c>
      <c r="CT532">
        <v>2</v>
      </c>
      <c r="CU532">
        <v>0</v>
      </c>
      <c r="CV532">
        <v>2</v>
      </c>
      <c r="CW532">
        <v>0</v>
      </c>
      <c r="CX532">
        <v>6</v>
      </c>
      <c r="CY532">
        <v>7</v>
      </c>
      <c r="CZ532" t="s">
        <v>133</v>
      </c>
      <c r="DA532">
        <v>125</v>
      </c>
      <c r="DB532">
        <v>1</v>
      </c>
      <c r="DC532" t="s">
        <v>134</v>
      </c>
      <c r="DD532" t="s">
        <v>135</v>
      </c>
      <c r="DG532">
        <v>2578474</v>
      </c>
      <c r="DI532">
        <v>0</v>
      </c>
      <c r="DJ532">
        <v>0</v>
      </c>
      <c r="DK532">
        <v>1</v>
      </c>
      <c r="DL532">
        <v>0</v>
      </c>
      <c r="DM532">
        <v>0</v>
      </c>
      <c r="DN532">
        <v>0</v>
      </c>
      <c r="DO532">
        <v>0</v>
      </c>
      <c r="DP532">
        <v>0</v>
      </c>
      <c r="DQ532">
        <v>0</v>
      </c>
      <c r="DR532">
        <v>0</v>
      </c>
      <c r="DS532">
        <v>0</v>
      </c>
    </row>
    <row r="533" spans="1:123" x14ac:dyDescent="0.25">
      <c r="A533" t="str">
        <f>"04/17/2026 15:39:49.082"</f>
        <v>04/17/2026 15:39:49.082</v>
      </c>
      <c r="C533" t="str">
        <f t="shared" si="44"/>
        <v>FFDFD3C0</v>
      </c>
      <c r="D533" t="s">
        <v>136</v>
      </c>
      <c r="E533" t="str">
        <f>"0F"</f>
        <v>0F</v>
      </c>
      <c r="F533">
        <v>1015</v>
      </c>
      <c r="G533" t="s">
        <v>138</v>
      </c>
      <c r="J533" t="s">
        <v>137</v>
      </c>
      <c r="K533">
        <v>0</v>
      </c>
      <c r="L533">
        <v>3</v>
      </c>
      <c r="M533">
        <v>0</v>
      </c>
      <c r="N533">
        <v>2</v>
      </c>
      <c r="O533">
        <v>1</v>
      </c>
      <c r="P533">
        <v>0</v>
      </c>
      <c r="Q533">
        <v>0</v>
      </c>
      <c r="R533" t="s">
        <v>127</v>
      </c>
      <c r="S533" t="str">
        <f t="shared" si="48"/>
        <v>15:39:48.773</v>
      </c>
      <c r="T533" t="str">
        <f t="shared" si="48"/>
        <v>15:39:48.773</v>
      </c>
      <c r="U533" t="str">
        <f t="shared" si="45"/>
        <v>A55E09</v>
      </c>
      <c r="V533">
        <v>0</v>
      </c>
      <c r="W533">
        <v>0</v>
      </c>
      <c r="X533">
        <v>2</v>
      </c>
      <c r="Y533">
        <v>0</v>
      </c>
      <c r="AA533">
        <v>0</v>
      </c>
      <c r="AB533">
        <v>9</v>
      </c>
      <c r="AC533">
        <v>3</v>
      </c>
      <c r="AD533">
        <v>0</v>
      </c>
      <c r="AE533">
        <v>9</v>
      </c>
      <c r="AF533" t="s">
        <v>128</v>
      </c>
      <c r="AG533">
        <v>0</v>
      </c>
      <c r="AH533">
        <v>0</v>
      </c>
      <c r="AI533">
        <v>1</v>
      </c>
      <c r="AJ533">
        <v>0</v>
      </c>
      <c r="AK533" t="s">
        <v>383</v>
      </c>
      <c r="AL533">
        <v>33.708328999999999</v>
      </c>
      <c r="AM533" t="s">
        <v>384</v>
      </c>
      <c r="AN533">
        <v>-101.210239</v>
      </c>
      <c r="AO533">
        <v>100</v>
      </c>
      <c r="AP533">
        <v>3200</v>
      </c>
      <c r="AQ533" t="s">
        <v>131</v>
      </c>
      <c r="AR533">
        <v>11</v>
      </c>
      <c r="AS533">
        <v>89</v>
      </c>
      <c r="AT533">
        <v>-128</v>
      </c>
      <c r="BB533" t="str">
        <f t="shared" si="46"/>
        <v>1200</v>
      </c>
      <c r="BC533">
        <v>1</v>
      </c>
      <c r="BD533" t="str">
        <f t="shared" si="47"/>
        <v xml:space="preserve">N445JS  </v>
      </c>
      <c r="BE533">
        <v>7</v>
      </c>
      <c r="BG533">
        <v>0</v>
      </c>
      <c r="BH533">
        <v>0</v>
      </c>
      <c r="BI533">
        <v>0</v>
      </c>
      <c r="BJ533">
        <v>2950</v>
      </c>
      <c r="BK533">
        <v>-250</v>
      </c>
      <c r="BL533" t="s">
        <v>132</v>
      </c>
      <c r="BM533">
        <v>1</v>
      </c>
      <c r="BN533">
        <v>1</v>
      </c>
      <c r="BO533">
        <v>1</v>
      </c>
      <c r="BP533">
        <v>0</v>
      </c>
      <c r="BT533">
        <v>0</v>
      </c>
      <c r="BU533">
        <v>0</v>
      </c>
      <c r="CE533" t="str">
        <f>"15:39:48.780"</f>
        <v>15:39:48.780</v>
      </c>
      <c r="CF533">
        <v>779696052</v>
      </c>
      <c r="CS533">
        <v>0</v>
      </c>
      <c r="CT533">
        <v>2</v>
      </c>
      <c r="CU533">
        <v>0</v>
      </c>
      <c r="CV533">
        <v>2</v>
      </c>
      <c r="CW533">
        <v>0</v>
      </c>
      <c r="CX533">
        <v>6</v>
      </c>
      <c r="CY533">
        <v>7</v>
      </c>
      <c r="CZ533" t="s">
        <v>133</v>
      </c>
      <c r="DA533">
        <v>125</v>
      </c>
      <c r="DB533">
        <v>1</v>
      </c>
      <c r="DC533" t="s">
        <v>134</v>
      </c>
      <c r="DD533" t="s">
        <v>135</v>
      </c>
      <c r="DG533">
        <v>2578474</v>
      </c>
      <c r="DI533">
        <v>0</v>
      </c>
      <c r="DJ533">
        <v>0</v>
      </c>
      <c r="DK533">
        <v>1</v>
      </c>
      <c r="DL533">
        <v>0</v>
      </c>
      <c r="DM533">
        <v>0</v>
      </c>
      <c r="DN533">
        <v>0</v>
      </c>
      <c r="DO533">
        <v>0</v>
      </c>
      <c r="DP533">
        <v>0</v>
      </c>
      <c r="DQ533">
        <v>0</v>
      </c>
      <c r="DR533">
        <v>0</v>
      </c>
      <c r="DS533">
        <v>0</v>
      </c>
    </row>
    <row r="534" spans="1:123" x14ac:dyDescent="0.25">
      <c r="A534" t="str">
        <f>"04/17/2026 15:39:49.916"</f>
        <v>04/17/2026 15:39:49.916</v>
      </c>
      <c r="C534" t="str">
        <f t="shared" si="44"/>
        <v>FFDFD3C0</v>
      </c>
      <c r="D534" t="s">
        <v>136</v>
      </c>
      <c r="E534" t="str">
        <f>"0E"</f>
        <v>0E</v>
      </c>
      <c r="F534">
        <v>1014</v>
      </c>
      <c r="G534" t="s">
        <v>125</v>
      </c>
      <c r="J534" t="s">
        <v>137</v>
      </c>
      <c r="K534">
        <v>0</v>
      </c>
      <c r="L534">
        <v>3</v>
      </c>
      <c r="M534">
        <v>0</v>
      </c>
      <c r="N534">
        <v>2</v>
      </c>
      <c r="O534">
        <v>1</v>
      </c>
      <c r="P534">
        <v>0</v>
      </c>
      <c r="Q534">
        <v>0</v>
      </c>
      <c r="R534" t="s">
        <v>127</v>
      </c>
      <c r="S534" t="str">
        <f>"15:39:49.633"</f>
        <v>15:39:49.633</v>
      </c>
      <c r="T534" t="str">
        <f>"15:39:49.233"</f>
        <v>15:39:49.233</v>
      </c>
      <c r="U534" t="str">
        <f t="shared" si="45"/>
        <v>A55E09</v>
      </c>
      <c r="V534">
        <v>0</v>
      </c>
      <c r="W534">
        <v>0</v>
      </c>
      <c r="X534">
        <v>2</v>
      </c>
      <c r="Y534">
        <v>0</v>
      </c>
      <c r="AA534">
        <v>0</v>
      </c>
      <c r="AB534">
        <v>9</v>
      </c>
      <c r="AC534">
        <v>3</v>
      </c>
      <c r="AD534">
        <v>0</v>
      </c>
      <c r="AE534">
        <v>9</v>
      </c>
      <c r="AF534" t="s">
        <v>128</v>
      </c>
      <c r="AG534">
        <v>0</v>
      </c>
      <c r="AH534">
        <v>0</v>
      </c>
      <c r="AI534">
        <v>1</v>
      </c>
      <c r="AJ534">
        <v>0</v>
      </c>
      <c r="AK534" t="s">
        <v>385</v>
      </c>
      <c r="AL534">
        <v>33.708714999999998</v>
      </c>
      <c r="AM534" t="s">
        <v>386</v>
      </c>
      <c r="AN534">
        <v>-101.21011</v>
      </c>
      <c r="AO534">
        <v>100</v>
      </c>
      <c r="AP534">
        <v>3200</v>
      </c>
      <c r="AQ534" t="s">
        <v>131</v>
      </c>
      <c r="AR534">
        <v>12</v>
      </c>
      <c r="AS534">
        <v>89</v>
      </c>
      <c r="AT534">
        <v>-192</v>
      </c>
      <c r="BB534" t="str">
        <f t="shared" si="46"/>
        <v>1200</v>
      </c>
      <c r="BC534">
        <v>1</v>
      </c>
      <c r="BD534" t="str">
        <f t="shared" si="47"/>
        <v xml:space="preserve">N445JS  </v>
      </c>
      <c r="BE534">
        <v>7</v>
      </c>
      <c r="BG534">
        <v>0</v>
      </c>
      <c r="BH534">
        <v>0</v>
      </c>
      <c r="BI534">
        <v>0</v>
      </c>
      <c r="BJ534">
        <v>2950</v>
      </c>
      <c r="BK534">
        <v>-250</v>
      </c>
      <c r="BL534" t="s">
        <v>132</v>
      </c>
      <c r="BM534">
        <v>1</v>
      </c>
      <c r="BN534">
        <v>1</v>
      </c>
      <c r="BO534">
        <v>1</v>
      </c>
      <c r="BP534">
        <v>0</v>
      </c>
      <c r="BT534">
        <v>0</v>
      </c>
      <c r="BU534">
        <v>0</v>
      </c>
      <c r="CE534" t="str">
        <f>"15:39:49.635"</f>
        <v>15:39:49.635</v>
      </c>
      <c r="CF534">
        <v>634612301</v>
      </c>
      <c r="CS534">
        <v>0</v>
      </c>
      <c r="CT534">
        <v>2</v>
      </c>
      <c r="CU534">
        <v>0</v>
      </c>
      <c r="CV534">
        <v>2</v>
      </c>
      <c r="CW534">
        <v>0</v>
      </c>
      <c r="CX534">
        <v>6</v>
      </c>
      <c r="CY534">
        <v>7</v>
      </c>
      <c r="CZ534" t="s">
        <v>133</v>
      </c>
      <c r="DA534">
        <v>125</v>
      </c>
      <c r="DB534">
        <v>1</v>
      </c>
      <c r="DC534" t="s">
        <v>134</v>
      </c>
      <c r="DD534" t="s">
        <v>135</v>
      </c>
      <c r="DG534">
        <v>2579281</v>
      </c>
      <c r="DI534">
        <v>0</v>
      </c>
      <c r="DJ534">
        <v>0</v>
      </c>
      <c r="DK534">
        <v>0</v>
      </c>
      <c r="DL534">
        <v>0</v>
      </c>
      <c r="DM534">
        <v>0</v>
      </c>
      <c r="DN534">
        <v>0</v>
      </c>
      <c r="DO534">
        <v>0</v>
      </c>
      <c r="DP534">
        <v>0</v>
      </c>
      <c r="DQ534">
        <v>0</v>
      </c>
      <c r="DR534">
        <v>0</v>
      </c>
      <c r="DS534">
        <v>0</v>
      </c>
    </row>
    <row r="535" spans="1:123" x14ac:dyDescent="0.25">
      <c r="A535" t="str">
        <f>"04/17/2026 15:39:49.930"</f>
        <v>04/17/2026 15:39:49.930</v>
      </c>
      <c r="C535" t="str">
        <f t="shared" si="44"/>
        <v>FFDFD3C0</v>
      </c>
      <c r="D535" t="s">
        <v>139</v>
      </c>
      <c r="E535" t="str">
        <f>"28"</f>
        <v>28</v>
      </c>
      <c r="H535">
        <v>140</v>
      </c>
      <c r="I535" t="s">
        <v>140</v>
      </c>
      <c r="J535" t="s">
        <v>141</v>
      </c>
      <c r="K535">
        <v>0</v>
      </c>
      <c r="L535">
        <v>3</v>
      </c>
      <c r="M535">
        <v>0</v>
      </c>
      <c r="N535">
        <v>2</v>
      </c>
      <c r="O535">
        <v>1</v>
      </c>
      <c r="P535">
        <v>0</v>
      </c>
      <c r="Q535">
        <v>0</v>
      </c>
      <c r="R535" t="s">
        <v>127</v>
      </c>
      <c r="S535" t="str">
        <f>"15:39:49.633"</f>
        <v>15:39:49.633</v>
      </c>
      <c r="T535" t="str">
        <f>"15:39:49.233"</f>
        <v>15:39:49.233</v>
      </c>
      <c r="U535" t="str">
        <f t="shared" si="45"/>
        <v>A55E09</v>
      </c>
      <c r="V535">
        <v>0</v>
      </c>
      <c r="W535">
        <v>0</v>
      </c>
      <c r="X535">
        <v>2</v>
      </c>
      <c r="Y535">
        <v>0</v>
      </c>
      <c r="AA535">
        <v>0</v>
      </c>
      <c r="AB535">
        <v>9</v>
      </c>
      <c r="AC535">
        <v>3</v>
      </c>
      <c r="AD535">
        <v>0</v>
      </c>
      <c r="AE535">
        <v>9</v>
      </c>
      <c r="AF535" t="s">
        <v>128</v>
      </c>
      <c r="AG535">
        <v>0</v>
      </c>
      <c r="AH535">
        <v>0</v>
      </c>
      <c r="AI535">
        <v>1</v>
      </c>
      <c r="AJ535">
        <v>0</v>
      </c>
      <c r="AK535" t="s">
        <v>385</v>
      </c>
      <c r="AL535">
        <v>33.708714999999998</v>
      </c>
      <c r="AM535" t="s">
        <v>386</v>
      </c>
      <c r="AN535">
        <v>-101.21011</v>
      </c>
      <c r="AO535">
        <v>100</v>
      </c>
      <c r="AP535">
        <v>3200</v>
      </c>
      <c r="AQ535" t="s">
        <v>131</v>
      </c>
      <c r="AR535">
        <v>12</v>
      </c>
      <c r="AS535">
        <v>89</v>
      </c>
      <c r="AT535">
        <v>-192</v>
      </c>
      <c r="BB535" t="str">
        <f t="shared" si="46"/>
        <v>1200</v>
      </c>
      <c r="BC535">
        <v>1</v>
      </c>
      <c r="BD535" t="str">
        <f t="shared" si="47"/>
        <v xml:space="preserve">N445JS  </v>
      </c>
      <c r="BE535">
        <v>7</v>
      </c>
      <c r="BG535">
        <v>0</v>
      </c>
      <c r="BH535">
        <v>0</v>
      </c>
      <c r="BI535">
        <v>0</v>
      </c>
      <c r="BJ535">
        <v>2950</v>
      </c>
      <c r="BK535">
        <v>-250</v>
      </c>
      <c r="BL535" t="s">
        <v>132</v>
      </c>
      <c r="BM535">
        <v>1</v>
      </c>
      <c r="BN535">
        <v>1</v>
      </c>
      <c r="BO535">
        <v>1</v>
      </c>
      <c r="BP535">
        <v>0</v>
      </c>
      <c r="BT535">
        <v>0</v>
      </c>
      <c r="BU535">
        <v>0</v>
      </c>
      <c r="CE535" t="str">
        <f>"15:39:49.635"</f>
        <v>15:39:49.635</v>
      </c>
      <c r="CF535">
        <v>634612301</v>
      </c>
      <c r="CS535">
        <v>0</v>
      </c>
      <c r="CT535">
        <v>2</v>
      </c>
      <c r="CU535">
        <v>0</v>
      </c>
      <c r="CV535">
        <v>2</v>
      </c>
      <c r="CW535">
        <v>0</v>
      </c>
      <c r="CX535">
        <v>6</v>
      </c>
      <c r="CY535">
        <v>7</v>
      </c>
      <c r="CZ535" t="s">
        <v>133</v>
      </c>
      <c r="DA535">
        <v>125</v>
      </c>
      <c r="DB535">
        <v>1</v>
      </c>
      <c r="DC535" t="s">
        <v>134</v>
      </c>
      <c r="DD535" t="s">
        <v>135</v>
      </c>
      <c r="DG535">
        <v>2579281</v>
      </c>
      <c r="DI535">
        <v>0</v>
      </c>
      <c r="DJ535">
        <v>0</v>
      </c>
      <c r="DK535">
        <v>1</v>
      </c>
      <c r="DL535">
        <v>0</v>
      </c>
      <c r="DM535">
        <v>0</v>
      </c>
      <c r="DN535">
        <v>0</v>
      </c>
      <c r="DO535">
        <v>0</v>
      </c>
      <c r="DP535">
        <v>0</v>
      </c>
      <c r="DQ535">
        <v>0</v>
      </c>
      <c r="DR535">
        <v>0</v>
      </c>
      <c r="DS535">
        <v>0</v>
      </c>
    </row>
    <row r="536" spans="1:123" x14ac:dyDescent="0.25">
      <c r="A536" t="str">
        <f>"04/17/2026 15:39:49.933"</f>
        <v>04/17/2026 15:39:49.933</v>
      </c>
      <c r="C536" t="str">
        <f t="shared" si="44"/>
        <v>FFDFD3C0</v>
      </c>
      <c r="D536" t="s">
        <v>136</v>
      </c>
      <c r="E536" t="str">
        <f>"0F"</f>
        <v>0F</v>
      </c>
      <c r="F536">
        <v>1015</v>
      </c>
      <c r="G536" t="s">
        <v>138</v>
      </c>
      <c r="J536" t="s">
        <v>137</v>
      </c>
      <c r="K536">
        <v>0</v>
      </c>
      <c r="L536">
        <v>3</v>
      </c>
      <c r="M536">
        <v>0</v>
      </c>
      <c r="N536">
        <v>2</v>
      </c>
      <c r="O536">
        <v>1</v>
      </c>
      <c r="P536">
        <v>0</v>
      </c>
      <c r="Q536">
        <v>0</v>
      </c>
      <c r="R536" t="s">
        <v>127</v>
      </c>
      <c r="S536" t="str">
        <f>"15:39:49.633"</f>
        <v>15:39:49.633</v>
      </c>
      <c r="T536" t="str">
        <f>"15:39:49.233"</f>
        <v>15:39:49.233</v>
      </c>
      <c r="U536" t="str">
        <f t="shared" si="45"/>
        <v>A55E09</v>
      </c>
      <c r="V536">
        <v>0</v>
      </c>
      <c r="W536">
        <v>0</v>
      </c>
      <c r="X536">
        <v>2</v>
      </c>
      <c r="Y536">
        <v>0</v>
      </c>
      <c r="AA536">
        <v>0</v>
      </c>
      <c r="AB536">
        <v>9</v>
      </c>
      <c r="AC536">
        <v>3</v>
      </c>
      <c r="AD536">
        <v>0</v>
      </c>
      <c r="AE536">
        <v>9</v>
      </c>
      <c r="AF536" t="s">
        <v>128</v>
      </c>
      <c r="AG536">
        <v>0</v>
      </c>
      <c r="AH536">
        <v>0</v>
      </c>
      <c r="AI536">
        <v>1</v>
      </c>
      <c r="AJ536">
        <v>0</v>
      </c>
      <c r="AK536" t="s">
        <v>385</v>
      </c>
      <c r="AL536">
        <v>33.708714999999998</v>
      </c>
      <c r="AM536" t="s">
        <v>386</v>
      </c>
      <c r="AN536">
        <v>-101.21011</v>
      </c>
      <c r="AO536">
        <v>100</v>
      </c>
      <c r="AP536">
        <v>3200</v>
      </c>
      <c r="AQ536" t="s">
        <v>131</v>
      </c>
      <c r="AR536">
        <v>12</v>
      </c>
      <c r="AS536">
        <v>89</v>
      </c>
      <c r="AT536">
        <v>-192</v>
      </c>
      <c r="BB536" t="str">
        <f t="shared" si="46"/>
        <v>1200</v>
      </c>
      <c r="BC536">
        <v>1</v>
      </c>
      <c r="BD536" t="str">
        <f t="shared" si="47"/>
        <v xml:space="preserve">N445JS  </v>
      </c>
      <c r="BE536">
        <v>7</v>
      </c>
      <c r="BG536">
        <v>0</v>
      </c>
      <c r="BH536">
        <v>0</v>
      </c>
      <c r="BI536">
        <v>0</v>
      </c>
      <c r="BJ536">
        <v>2950</v>
      </c>
      <c r="BK536">
        <v>-250</v>
      </c>
      <c r="BL536" t="s">
        <v>132</v>
      </c>
      <c r="BM536">
        <v>1</v>
      </c>
      <c r="BN536">
        <v>1</v>
      </c>
      <c r="BO536">
        <v>1</v>
      </c>
      <c r="BP536">
        <v>0</v>
      </c>
      <c r="BT536">
        <v>0</v>
      </c>
      <c r="BU536">
        <v>0</v>
      </c>
      <c r="CE536" t="str">
        <f>"15:39:49.635"</f>
        <v>15:39:49.635</v>
      </c>
      <c r="CF536">
        <v>634612301</v>
      </c>
      <c r="CS536">
        <v>0</v>
      </c>
      <c r="CT536">
        <v>2</v>
      </c>
      <c r="CU536">
        <v>0</v>
      </c>
      <c r="CV536">
        <v>2</v>
      </c>
      <c r="CW536">
        <v>0</v>
      </c>
      <c r="CX536">
        <v>6</v>
      </c>
      <c r="CY536">
        <v>7</v>
      </c>
      <c r="CZ536" t="s">
        <v>133</v>
      </c>
      <c r="DA536">
        <v>125</v>
      </c>
      <c r="DB536">
        <v>1</v>
      </c>
      <c r="DC536" t="s">
        <v>134</v>
      </c>
      <c r="DD536" t="s">
        <v>135</v>
      </c>
      <c r="DG536">
        <v>2579281</v>
      </c>
      <c r="DI536">
        <v>0</v>
      </c>
      <c r="DJ536">
        <v>0</v>
      </c>
      <c r="DK536">
        <v>1</v>
      </c>
      <c r="DL536">
        <v>0</v>
      </c>
      <c r="DM536">
        <v>0</v>
      </c>
      <c r="DN536">
        <v>0</v>
      </c>
      <c r="DO536">
        <v>0</v>
      </c>
      <c r="DP536">
        <v>0</v>
      </c>
      <c r="DQ536">
        <v>0</v>
      </c>
      <c r="DR536">
        <v>0</v>
      </c>
      <c r="DS536">
        <v>0</v>
      </c>
    </row>
    <row r="537" spans="1:123" x14ac:dyDescent="0.25">
      <c r="A537" t="str">
        <f>"04/17/2026 15:39:49.945"</f>
        <v>04/17/2026 15:39:49.945</v>
      </c>
      <c r="C537" t="str">
        <f t="shared" si="44"/>
        <v>FFDFD3C0</v>
      </c>
      <c r="D537" t="s">
        <v>124</v>
      </c>
      <c r="E537" t="str">
        <f>"03"</f>
        <v>03</v>
      </c>
      <c r="H537">
        <v>160</v>
      </c>
      <c r="I537" t="s">
        <v>125</v>
      </c>
      <c r="J537" t="s">
        <v>126</v>
      </c>
      <c r="K537">
        <v>0</v>
      </c>
      <c r="L537">
        <v>3</v>
      </c>
      <c r="M537">
        <v>0</v>
      </c>
      <c r="N537">
        <v>2</v>
      </c>
      <c r="O537">
        <v>1</v>
      </c>
      <c r="P537">
        <v>0</v>
      </c>
      <c r="Q537">
        <v>0</v>
      </c>
      <c r="R537" t="s">
        <v>127</v>
      </c>
      <c r="S537" t="str">
        <f>"15:39:49.633"</f>
        <v>15:39:49.633</v>
      </c>
      <c r="T537" t="str">
        <f>"15:39:49.233"</f>
        <v>15:39:49.233</v>
      </c>
      <c r="U537" t="str">
        <f t="shared" si="45"/>
        <v>A55E09</v>
      </c>
      <c r="V537">
        <v>0</v>
      </c>
      <c r="W537">
        <v>0</v>
      </c>
      <c r="X537">
        <v>2</v>
      </c>
      <c r="Y537">
        <v>0</v>
      </c>
      <c r="AA537">
        <v>0</v>
      </c>
      <c r="AB537">
        <v>9</v>
      </c>
      <c r="AC537">
        <v>3</v>
      </c>
      <c r="AD537">
        <v>0</v>
      </c>
      <c r="AE537">
        <v>9</v>
      </c>
      <c r="AF537" t="s">
        <v>128</v>
      </c>
      <c r="AG537">
        <v>0</v>
      </c>
      <c r="AH537">
        <v>0</v>
      </c>
      <c r="AI537">
        <v>1</v>
      </c>
      <c r="AJ537">
        <v>0</v>
      </c>
      <c r="AK537" t="s">
        <v>385</v>
      </c>
      <c r="AL537">
        <v>33.708714999999998</v>
      </c>
      <c r="AM537" t="s">
        <v>386</v>
      </c>
      <c r="AN537">
        <v>-101.21011</v>
      </c>
      <c r="AO537">
        <v>100</v>
      </c>
      <c r="AP537">
        <v>3200</v>
      </c>
      <c r="AQ537" t="s">
        <v>131</v>
      </c>
      <c r="AR537">
        <v>12</v>
      </c>
      <c r="AS537">
        <v>89</v>
      </c>
      <c r="AT537">
        <v>-192</v>
      </c>
      <c r="BB537" t="str">
        <f t="shared" si="46"/>
        <v>1200</v>
      </c>
      <c r="BC537">
        <v>1</v>
      </c>
      <c r="BD537" t="str">
        <f t="shared" si="47"/>
        <v xml:space="preserve">N445JS  </v>
      </c>
      <c r="BE537">
        <v>7</v>
      </c>
      <c r="BG537">
        <v>0</v>
      </c>
      <c r="BH537">
        <v>0</v>
      </c>
      <c r="BI537">
        <v>0</v>
      </c>
      <c r="BJ537">
        <v>2950</v>
      </c>
      <c r="BK537">
        <v>-250</v>
      </c>
      <c r="BL537" t="s">
        <v>132</v>
      </c>
      <c r="BM537">
        <v>1</v>
      </c>
      <c r="BN537">
        <v>1</v>
      </c>
      <c r="BO537">
        <v>1</v>
      </c>
      <c r="BP537">
        <v>0</v>
      </c>
      <c r="BT537">
        <v>0</v>
      </c>
      <c r="BU537">
        <v>0</v>
      </c>
      <c r="CE537" t="str">
        <f>"15:39:49.635"</f>
        <v>15:39:49.635</v>
      </c>
      <c r="CF537">
        <v>634612301</v>
      </c>
      <c r="CS537">
        <v>0</v>
      </c>
      <c r="CT537">
        <v>2</v>
      </c>
      <c r="CU537">
        <v>0</v>
      </c>
      <c r="CV537">
        <v>2</v>
      </c>
      <c r="CW537">
        <v>0</v>
      </c>
      <c r="CX537">
        <v>6</v>
      </c>
      <c r="CY537">
        <v>7</v>
      </c>
      <c r="CZ537" t="s">
        <v>133</v>
      </c>
      <c r="DA537">
        <v>125</v>
      </c>
      <c r="DB537">
        <v>1</v>
      </c>
      <c r="DC537" t="s">
        <v>134</v>
      </c>
      <c r="DD537" t="s">
        <v>135</v>
      </c>
      <c r="DG537">
        <v>2579281</v>
      </c>
      <c r="DI537">
        <v>0</v>
      </c>
      <c r="DJ537">
        <v>0</v>
      </c>
      <c r="DK537">
        <v>1</v>
      </c>
      <c r="DL537">
        <v>0</v>
      </c>
      <c r="DM537">
        <v>0</v>
      </c>
      <c r="DN537">
        <v>0</v>
      </c>
      <c r="DO537">
        <v>0</v>
      </c>
      <c r="DP537">
        <v>0</v>
      </c>
      <c r="DQ537">
        <v>0</v>
      </c>
      <c r="DR537">
        <v>0</v>
      </c>
      <c r="DS537">
        <v>0</v>
      </c>
    </row>
    <row r="538" spans="1:123" x14ac:dyDescent="0.25">
      <c r="A538" t="str">
        <f>"04/17/2026 15:39:51.368"</f>
        <v>04/17/2026 15:39:51.368</v>
      </c>
      <c r="C538" t="str">
        <f t="shared" si="44"/>
        <v>FFDFD3C0</v>
      </c>
      <c r="D538" t="s">
        <v>136</v>
      </c>
      <c r="E538" t="str">
        <f>"0E"</f>
        <v>0E</v>
      </c>
      <c r="F538">
        <v>1014</v>
      </c>
      <c r="G538" t="s">
        <v>125</v>
      </c>
      <c r="J538" t="s">
        <v>137</v>
      </c>
      <c r="K538">
        <v>0</v>
      </c>
      <c r="L538">
        <v>3</v>
      </c>
      <c r="M538">
        <v>0</v>
      </c>
      <c r="N538">
        <v>2</v>
      </c>
      <c r="O538">
        <v>1</v>
      </c>
      <c r="P538">
        <v>0</v>
      </c>
      <c r="Q538">
        <v>0</v>
      </c>
      <c r="R538" t="s">
        <v>127</v>
      </c>
      <c r="S538" t="str">
        <f>"15:39:51.102"</f>
        <v>15:39:51.102</v>
      </c>
      <c r="T538" t="str">
        <f>"15:39:50.702"</f>
        <v>15:39:50.702</v>
      </c>
      <c r="U538" t="str">
        <f t="shared" si="45"/>
        <v>A55E09</v>
      </c>
      <c r="V538">
        <v>0</v>
      </c>
      <c r="W538">
        <v>0</v>
      </c>
      <c r="X538">
        <v>2</v>
      </c>
      <c r="Y538">
        <v>0</v>
      </c>
      <c r="AA538">
        <v>0</v>
      </c>
      <c r="AB538">
        <v>9</v>
      </c>
      <c r="AC538">
        <v>3</v>
      </c>
      <c r="AD538">
        <v>0</v>
      </c>
      <c r="AE538">
        <v>9</v>
      </c>
      <c r="AF538" t="s">
        <v>128</v>
      </c>
      <c r="AG538">
        <v>0</v>
      </c>
      <c r="AH538">
        <v>0</v>
      </c>
      <c r="AI538">
        <v>1</v>
      </c>
      <c r="AJ538">
        <v>0</v>
      </c>
      <c r="AK538" t="s">
        <v>387</v>
      </c>
      <c r="AL538">
        <v>33.709294999999997</v>
      </c>
      <c r="AM538" t="s">
        <v>388</v>
      </c>
      <c r="AN538">
        <v>-101.210024</v>
      </c>
      <c r="AO538">
        <v>100</v>
      </c>
      <c r="AP538">
        <v>3200</v>
      </c>
      <c r="AQ538" t="s">
        <v>131</v>
      </c>
      <c r="AR538">
        <v>11</v>
      </c>
      <c r="AS538">
        <v>89</v>
      </c>
      <c r="AT538">
        <v>-192</v>
      </c>
      <c r="BB538" t="str">
        <f t="shared" si="46"/>
        <v>1200</v>
      </c>
      <c r="BC538">
        <v>1</v>
      </c>
      <c r="BD538" t="str">
        <f t="shared" si="47"/>
        <v xml:space="preserve">N445JS  </v>
      </c>
      <c r="BE538">
        <v>7</v>
      </c>
      <c r="BG538">
        <v>0</v>
      </c>
      <c r="BH538">
        <v>0</v>
      </c>
      <c r="BI538">
        <v>0</v>
      </c>
      <c r="BJ538">
        <v>2950</v>
      </c>
      <c r="BK538">
        <v>-250</v>
      </c>
      <c r="BL538" t="s">
        <v>132</v>
      </c>
      <c r="BM538">
        <v>1</v>
      </c>
      <c r="BN538">
        <v>1</v>
      </c>
      <c r="BO538">
        <v>1</v>
      </c>
      <c r="BP538">
        <v>0</v>
      </c>
      <c r="BT538">
        <v>0</v>
      </c>
      <c r="BU538">
        <v>0</v>
      </c>
      <c r="CE538" t="str">
        <f>"15:39:51.104"</f>
        <v>15:39:51.104</v>
      </c>
      <c r="CF538">
        <v>104468298</v>
      </c>
      <c r="CS538">
        <v>0</v>
      </c>
      <c r="CT538">
        <v>2</v>
      </c>
      <c r="CU538">
        <v>0</v>
      </c>
      <c r="CV538">
        <v>2</v>
      </c>
      <c r="CW538">
        <v>0</v>
      </c>
      <c r="CX538">
        <v>6</v>
      </c>
      <c r="CY538">
        <v>7</v>
      </c>
      <c r="CZ538" t="s">
        <v>133</v>
      </c>
      <c r="DA538">
        <v>125</v>
      </c>
      <c r="DB538">
        <v>1</v>
      </c>
      <c r="DC538" t="s">
        <v>134</v>
      </c>
      <c r="DD538" t="s">
        <v>135</v>
      </c>
      <c r="DG538">
        <v>2580740</v>
      </c>
      <c r="DI538">
        <v>0</v>
      </c>
      <c r="DJ538">
        <v>0</v>
      </c>
      <c r="DK538">
        <v>0</v>
      </c>
      <c r="DL538">
        <v>0</v>
      </c>
      <c r="DM538">
        <v>0</v>
      </c>
      <c r="DN538">
        <v>0</v>
      </c>
      <c r="DO538">
        <v>0</v>
      </c>
      <c r="DP538">
        <v>0</v>
      </c>
      <c r="DQ538">
        <v>0</v>
      </c>
      <c r="DR538">
        <v>0</v>
      </c>
      <c r="DS538">
        <v>0</v>
      </c>
    </row>
    <row r="539" spans="1:123" x14ac:dyDescent="0.25">
      <c r="A539" t="str">
        <f>"04/17/2026 15:39:51.383"</f>
        <v>04/17/2026 15:39:51.383</v>
      </c>
      <c r="C539" t="str">
        <f t="shared" si="44"/>
        <v>FFDFD3C0</v>
      </c>
      <c r="D539" t="s">
        <v>139</v>
      </c>
      <c r="E539" t="str">
        <f>"28"</f>
        <v>28</v>
      </c>
      <c r="H539">
        <v>140</v>
      </c>
      <c r="I539" t="s">
        <v>140</v>
      </c>
      <c r="J539" t="s">
        <v>141</v>
      </c>
      <c r="K539">
        <v>0</v>
      </c>
      <c r="L539">
        <v>3</v>
      </c>
      <c r="M539">
        <v>0</v>
      </c>
      <c r="N539">
        <v>2</v>
      </c>
      <c r="O539">
        <v>1</v>
      </c>
      <c r="P539">
        <v>0</v>
      </c>
      <c r="Q539">
        <v>0</v>
      </c>
      <c r="R539" t="s">
        <v>127</v>
      </c>
      <c r="S539" t="str">
        <f>"15:39:51.102"</f>
        <v>15:39:51.102</v>
      </c>
      <c r="T539" t="str">
        <f>"15:39:50.702"</f>
        <v>15:39:50.702</v>
      </c>
      <c r="U539" t="str">
        <f t="shared" si="45"/>
        <v>A55E09</v>
      </c>
      <c r="V539">
        <v>0</v>
      </c>
      <c r="W539">
        <v>0</v>
      </c>
      <c r="X539">
        <v>2</v>
      </c>
      <c r="Y539">
        <v>0</v>
      </c>
      <c r="AA539">
        <v>0</v>
      </c>
      <c r="AB539">
        <v>9</v>
      </c>
      <c r="AC539">
        <v>3</v>
      </c>
      <c r="AD539">
        <v>0</v>
      </c>
      <c r="AE539">
        <v>9</v>
      </c>
      <c r="AF539" t="s">
        <v>128</v>
      </c>
      <c r="AG539">
        <v>0</v>
      </c>
      <c r="AH539">
        <v>0</v>
      </c>
      <c r="AI539">
        <v>1</v>
      </c>
      <c r="AJ539">
        <v>0</v>
      </c>
      <c r="AK539" t="s">
        <v>387</v>
      </c>
      <c r="AL539">
        <v>33.709294999999997</v>
      </c>
      <c r="AM539" t="s">
        <v>388</v>
      </c>
      <c r="AN539">
        <v>-101.210024</v>
      </c>
      <c r="AO539">
        <v>100</v>
      </c>
      <c r="AP539">
        <v>3200</v>
      </c>
      <c r="AQ539" t="s">
        <v>131</v>
      </c>
      <c r="AR539">
        <v>11</v>
      </c>
      <c r="AS539">
        <v>89</v>
      </c>
      <c r="AT539">
        <v>-192</v>
      </c>
      <c r="BB539" t="str">
        <f t="shared" si="46"/>
        <v>1200</v>
      </c>
      <c r="BC539">
        <v>1</v>
      </c>
      <c r="BD539" t="str">
        <f t="shared" si="47"/>
        <v xml:space="preserve">N445JS  </v>
      </c>
      <c r="BE539">
        <v>7</v>
      </c>
      <c r="BG539">
        <v>0</v>
      </c>
      <c r="BH539">
        <v>0</v>
      </c>
      <c r="BI539">
        <v>0</v>
      </c>
      <c r="BJ539">
        <v>2950</v>
      </c>
      <c r="BK539">
        <v>-250</v>
      </c>
      <c r="BL539" t="s">
        <v>132</v>
      </c>
      <c r="BM539">
        <v>1</v>
      </c>
      <c r="BN539">
        <v>1</v>
      </c>
      <c r="BO539">
        <v>1</v>
      </c>
      <c r="BP539">
        <v>0</v>
      </c>
      <c r="BT539">
        <v>0</v>
      </c>
      <c r="BU539">
        <v>0</v>
      </c>
      <c r="CE539" t="str">
        <f>"15:39:51.104"</f>
        <v>15:39:51.104</v>
      </c>
      <c r="CF539">
        <v>104468298</v>
      </c>
      <c r="CS539">
        <v>0</v>
      </c>
      <c r="CT539">
        <v>2</v>
      </c>
      <c r="CU539">
        <v>0</v>
      </c>
      <c r="CV539">
        <v>2</v>
      </c>
      <c r="CW539">
        <v>0</v>
      </c>
      <c r="CX539">
        <v>6</v>
      </c>
      <c r="CY539">
        <v>7</v>
      </c>
      <c r="CZ539" t="s">
        <v>133</v>
      </c>
      <c r="DA539">
        <v>125</v>
      </c>
      <c r="DB539">
        <v>1</v>
      </c>
      <c r="DC539" t="s">
        <v>134</v>
      </c>
      <c r="DD539" t="s">
        <v>135</v>
      </c>
      <c r="DG539">
        <v>2580740</v>
      </c>
      <c r="DI539">
        <v>0</v>
      </c>
      <c r="DJ539">
        <v>0</v>
      </c>
      <c r="DK539">
        <v>1</v>
      </c>
      <c r="DL539">
        <v>0</v>
      </c>
      <c r="DM539">
        <v>0</v>
      </c>
      <c r="DN539">
        <v>0</v>
      </c>
      <c r="DO539">
        <v>0</v>
      </c>
      <c r="DP539">
        <v>0</v>
      </c>
      <c r="DQ539">
        <v>0</v>
      </c>
      <c r="DR539">
        <v>0</v>
      </c>
      <c r="DS539">
        <v>0</v>
      </c>
    </row>
    <row r="540" spans="1:123" x14ac:dyDescent="0.25">
      <c r="A540" t="str">
        <f>"04/17/2026 15:39:51.385"</f>
        <v>04/17/2026 15:39:51.385</v>
      </c>
      <c r="C540" t="str">
        <f t="shared" si="44"/>
        <v>FFDFD3C0</v>
      </c>
      <c r="D540" t="s">
        <v>136</v>
      </c>
      <c r="E540" t="str">
        <f>"0F"</f>
        <v>0F</v>
      </c>
      <c r="F540">
        <v>1015</v>
      </c>
      <c r="G540" t="s">
        <v>138</v>
      </c>
      <c r="J540" t="s">
        <v>137</v>
      </c>
      <c r="K540">
        <v>0</v>
      </c>
      <c r="L540">
        <v>3</v>
      </c>
      <c r="M540">
        <v>0</v>
      </c>
      <c r="N540">
        <v>2</v>
      </c>
      <c r="O540">
        <v>1</v>
      </c>
      <c r="P540">
        <v>0</v>
      </c>
      <c r="Q540">
        <v>0</v>
      </c>
      <c r="R540" t="s">
        <v>127</v>
      </c>
      <c r="S540" t="str">
        <f>"15:39:51.102"</f>
        <v>15:39:51.102</v>
      </c>
      <c r="T540" t="str">
        <f>"15:39:50.702"</f>
        <v>15:39:50.702</v>
      </c>
      <c r="U540" t="str">
        <f t="shared" si="45"/>
        <v>A55E09</v>
      </c>
      <c r="V540">
        <v>0</v>
      </c>
      <c r="W540">
        <v>0</v>
      </c>
      <c r="X540">
        <v>2</v>
      </c>
      <c r="Y540">
        <v>0</v>
      </c>
      <c r="AA540">
        <v>0</v>
      </c>
      <c r="AB540">
        <v>9</v>
      </c>
      <c r="AC540">
        <v>3</v>
      </c>
      <c r="AD540">
        <v>0</v>
      </c>
      <c r="AE540">
        <v>9</v>
      </c>
      <c r="AF540" t="s">
        <v>128</v>
      </c>
      <c r="AG540">
        <v>0</v>
      </c>
      <c r="AH540">
        <v>0</v>
      </c>
      <c r="AI540">
        <v>1</v>
      </c>
      <c r="AJ540">
        <v>0</v>
      </c>
      <c r="AK540" t="s">
        <v>387</v>
      </c>
      <c r="AL540">
        <v>33.709294999999997</v>
      </c>
      <c r="AM540" t="s">
        <v>388</v>
      </c>
      <c r="AN540">
        <v>-101.210024</v>
      </c>
      <c r="AO540">
        <v>100</v>
      </c>
      <c r="AP540">
        <v>3200</v>
      </c>
      <c r="AQ540" t="s">
        <v>131</v>
      </c>
      <c r="AR540">
        <v>11</v>
      </c>
      <c r="AS540">
        <v>89</v>
      </c>
      <c r="AT540">
        <v>-192</v>
      </c>
      <c r="BB540" t="str">
        <f t="shared" si="46"/>
        <v>1200</v>
      </c>
      <c r="BC540">
        <v>1</v>
      </c>
      <c r="BD540" t="str">
        <f t="shared" si="47"/>
        <v xml:space="preserve">N445JS  </v>
      </c>
      <c r="BE540">
        <v>7</v>
      </c>
      <c r="BG540">
        <v>0</v>
      </c>
      <c r="BH540">
        <v>0</v>
      </c>
      <c r="BI540">
        <v>0</v>
      </c>
      <c r="BJ540">
        <v>2950</v>
      </c>
      <c r="BK540">
        <v>-250</v>
      </c>
      <c r="BL540" t="s">
        <v>132</v>
      </c>
      <c r="BM540">
        <v>1</v>
      </c>
      <c r="BN540">
        <v>1</v>
      </c>
      <c r="BO540">
        <v>1</v>
      </c>
      <c r="BP540">
        <v>0</v>
      </c>
      <c r="BT540">
        <v>0</v>
      </c>
      <c r="BU540">
        <v>0</v>
      </c>
      <c r="CE540" t="str">
        <f>"15:39:51.104"</f>
        <v>15:39:51.104</v>
      </c>
      <c r="CF540">
        <v>104468298</v>
      </c>
      <c r="CS540">
        <v>0</v>
      </c>
      <c r="CT540">
        <v>2</v>
      </c>
      <c r="CU540">
        <v>0</v>
      </c>
      <c r="CV540">
        <v>2</v>
      </c>
      <c r="CW540">
        <v>0</v>
      </c>
      <c r="CX540">
        <v>6</v>
      </c>
      <c r="CY540">
        <v>7</v>
      </c>
      <c r="CZ540" t="s">
        <v>133</v>
      </c>
      <c r="DA540">
        <v>125</v>
      </c>
      <c r="DB540">
        <v>1</v>
      </c>
      <c r="DC540" t="s">
        <v>134</v>
      </c>
      <c r="DD540" t="s">
        <v>135</v>
      </c>
      <c r="DG540">
        <v>2580740</v>
      </c>
      <c r="DI540">
        <v>0</v>
      </c>
      <c r="DJ540">
        <v>0</v>
      </c>
      <c r="DK540">
        <v>1</v>
      </c>
      <c r="DL540">
        <v>0</v>
      </c>
      <c r="DM540">
        <v>0</v>
      </c>
      <c r="DN540">
        <v>0</v>
      </c>
      <c r="DO540">
        <v>0</v>
      </c>
      <c r="DP540">
        <v>0</v>
      </c>
      <c r="DQ540">
        <v>0</v>
      </c>
      <c r="DR540">
        <v>0</v>
      </c>
      <c r="DS540">
        <v>0</v>
      </c>
    </row>
    <row r="541" spans="1:123" x14ac:dyDescent="0.25">
      <c r="A541" t="str">
        <f>"04/17/2026 15:39:51.398"</f>
        <v>04/17/2026 15:39:51.398</v>
      </c>
      <c r="C541" t="str">
        <f t="shared" si="44"/>
        <v>FFDFD3C0</v>
      </c>
      <c r="D541" t="s">
        <v>124</v>
      </c>
      <c r="E541" t="str">
        <f>"03"</f>
        <v>03</v>
      </c>
      <c r="H541">
        <v>160</v>
      </c>
      <c r="I541" t="s">
        <v>125</v>
      </c>
      <c r="J541" t="s">
        <v>126</v>
      </c>
      <c r="K541">
        <v>0</v>
      </c>
      <c r="L541">
        <v>3</v>
      </c>
      <c r="M541">
        <v>0</v>
      </c>
      <c r="N541">
        <v>2</v>
      </c>
      <c r="O541">
        <v>1</v>
      </c>
      <c r="P541">
        <v>0</v>
      </c>
      <c r="Q541">
        <v>0</v>
      </c>
      <c r="R541" t="s">
        <v>127</v>
      </c>
      <c r="S541" t="str">
        <f>"15:39:51.102"</f>
        <v>15:39:51.102</v>
      </c>
      <c r="T541" t="str">
        <f>"15:39:50.702"</f>
        <v>15:39:50.702</v>
      </c>
      <c r="U541" t="str">
        <f t="shared" si="45"/>
        <v>A55E09</v>
      </c>
      <c r="V541">
        <v>0</v>
      </c>
      <c r="W541">
        <v>0</v>
      </c>
      <c r="X541">
        <v>2</v>
      </c>
      <c r="Y541">
        <v>0</v>
      </c>
      <c r="AA541">
        <v>0</v>
      </c>
      <c r="AB541">
        <v>9</v>
      </c>
      <c r="AC541">
        <v>3</v>
      </c>
      <c r="AD541">
        <v>0</v>
      </c>
      <c r="AE541">
        <v>9</v>
      </c>
      <c r="AF541" t="s">
        <v>128</v>
      </c>
      <c r="AG541">
        <v>0</v>
      </c>
      <c r="AH541">
        <v>0</v>
      </c>
      <c r="AI541">
        <v>1</v>
      </c>
      <c r="AJ541">
        <v>0</v>
      </c>
      <c r="AK541" t="s">
        <v>387</v>
      </c>
      <c r="AL541">
        <v>33.709294999999997</v>
      </c>
      <c r="AM541" t="s">
        <v>388</v>
      </c>
      <c r="AN541">
        <v>-101.210024</v>
      </c>
      <c r="AO541">
        <v>100</v>
      </c>
      <c r="AP541">
        <v>3200</v>
      </c>
      <c r="AQ541" t="s">
        <v>131</v>
      </c>
      <c r="AR541">
        <v>11</v>
      </c>
      <c r="AS541">
        <v>89</v>
      </c>
      <c r="AT541">
        <v>-192</v>
      </c>
      <c r="BB541" t="str">
        <f t="shared" si="46"/>
        <v>1200</v>
      </c>
      <c r="BC541">
        <v>1</v>
      </c>
      <c r="BD541" t="str">
        <f t="shared" si="47"/>
        <v xml:space="preserve">N445JS  </v>
      </c>
      <c r="BE541">
        <v>7</v>
      </c>
      <c r="BG541">
        <v>0</v>
      </c>
      <c r="BH541">
        <v>0</v>
      </c>
      <c r="BI541">
        <v>0</v>
      </c>
      <c r="BJ541">
        <v>2950</v>
      </c>
      <c r="BK541">
        <v>-250</v>
      </c>
      <c r="BL541" t="s">
        <v>132</v>
      </c>
      <c r="BM541">
        <v>1</v>
      </c>
      <c r="BN541">
        <v>1</v>
      </c>
      <c r="BO541">
        <v>1</v>
      </c>
      <c r="BP541">
        <v>0</v>
      </c>
      <c r="BT541">
        <v>0</v>
      </c>
      <c r="BU541">
        <v>0</v>
      </c>
      <c r="CE541" t="str">
        <f>"15:39:51.104"</f>
        <v>15:39:51.104</v>
      </c>
      <c r="CF541">
        <v>104468298</v>
      </c>
      <c r="CS541">
        <v>0</v>
      </c>
      <c r="CT541">
        <v>2</v>
      </c>
      <c r="CU541">
        <v>0</v>
      </c>
      <c r="CV541">
        <v>2</v>
      </c>
      <c r="CW541">
        <v>0</v>
      </c>
      <c r="CX541">
        <v>6</v>
      </c>
      <c r="CY541">
        <v>7</v>
      </c>
      <c r="CZ541" t="s">
        <v>133</v>
      </c>
      <c r="DA541">
        <v>125</v>
      </c>
      <c r="DB541">
        <v>1</v>
      </c>
      <c r="DC541" t="s">
        <v>134</v>
      </c>
      <c r="DD541" t="s">
        <v>135</v>
      </c>
      <c r="DG541">
        <v>2580740</v>
      </c>
      <c r="DI541">
        <v>0</v>
      </c>
      <c r="DJ541">
        <v>0</v>
      </c>
      <c r="DK541">
        <v>1</v>
      </c>
      <c r="DL541">
        <v>0</v>
      </c>
      <c r="DM541">
        <v>0</v>
      </c>
      <c r="DN541">
        <v>0</v>
      </c>
      <c r="DO541">
        <v>0</v>
      </c>
      <c r="DP541">
        <v>0</v>
      </c>
      <c r="DQ541">
        <v>0</v>
      </c>
      <c r="DR541">
        <v>0</v>
      </c>
      <c r="DS541">
        <v>0</v>
      </c>
    </row>
    <row r="542" spans="1:123" x14ac:dyDescent="0.25">
      <c r="A542" t="str">
        <f>"04/17/2026 15:39:52.337"</f>
        <v>04/17/2026 15:39:52.337</v>
      </c>
      <c r="C542" t="str">
        <f t="shared" si="44"/>
        <v>FFDFD3C0</v>
      </c>
      <c r="D542" t="s">
        <v>136</v>
      </c>
      <c r="E542" t="str">
        <f>"0F"</f>
        <v>0F</v>
      </c>
      <c r="F542">
        <v>1015</v>
      </c>
      <c r="G542" t="s">
        <v>138</v>
      </c>
      <c r="J542" t="s">
        <v>137</v>
      </c>
      <c r="K542">
        <v>0</v>
      </c>
      <c r="L542">
        <v>3</v>
      </c>
      <c r="M542">
        <v>0</v>
      </c>
      <c r="N542">
        <v>2</v>
      </c>
      <c r="O542">
        <v>1</v>
      </c>
      <c r="P542">
        <v>0</v>
      </c>
      <c r="Q542">
        <v>0</v>
      </c>
      <c r="R542" t="s">
        <v>127</v>
      </c>
      <c r="S542" t="str">
        <f>"15:39:52.078"</f>
        <v>15:39:52.078</v>
      </c>
      <c r="T542" t="str">
        <f>"15:39:51.778"</f>
        <v>15:39:51.778</v>
      </c>
      <c r="U542" t="str">
        <f t="shared" si="45"/>
        <v>A55E09</v>
      </c>
      <c r="V542">
        <v>0</v>
      </c>
      <c r="W542">
        <v>0</v>
      </c>
      <c r="X542">
        <v>2</v>
      </c>
      <c r="Y542">
        <v>0</v>
      </c>
      <c r="AA542">
        <v>0</v>
      </c>
      <c r="AB542">
        <v>9</v>
      </c>
      <c r="AC542">
        <v>3</v>
      </c>
      <c r="AD542">
        <v>0</v>
      </c>
      <c r="AE542">
        <v>9</v>
      </c>
      <c r="AF542" t="s">
        <v>128</v>
      </c>
      <c r="AG542">
        <v>0</v>
      </c>
      <c r="AH542">
        <v>0</v>
      </c>
      <c r="AI542">
        <v>1</v>
      </c>
      <c r="AJ542">
        <v>0</v>
      </c>
      <c r="AK542" t="s">
        <v>389</v>
      </c>
      <c r="AL542">
        <v>33.709724000000001</v>
      </c>
      <c r="AM542" t="s">
        <v>345</v>
      </c>
      <c r="AN542">
        <v>-101.210003</v>
      </c>
      <c r="AO542">
        <v>100</v>
      </c>
      <c r="AP542">
        <v>3200</v>
      </c>
      <c r="AQ542" t="s">
        <v>131</v>
      </c>
      <c r="AR542">
        <v>12</v>
      </c>
      <c r="AS542">
        <v>90</v>
      </c>
      <c r="AT542">
        <v>-192</v>
      </c>
      <c r="BB542" t="str">
        <f t="shared" si="46"/>
        <v>1200</v>
      </c>
      <c r="BC542">
        <v>1</v>
      </c>
      <c r="BD542" t="str">
        <f t="shared" si="47"/>
        <v xml:space="preserve">N445JS  </v>
      </c>
      <c r="BE542">
        <v>7</v>
      </c>
      <c r="BG542">
        <v>0</v>
      </c>
      <c r="BH542">
        <v>0</v>
      </c>
      <c r="BI542">
        <v>0</v>
      </c>
      <c r="BJ542">
        <v>2950</v>
      </c>
      <c r="BK542">
        <v>-250</v>
      </c>
      <c r="BL542" t="s">
        <v>132</v>
      </c>
      <c r="BM542">
        <v>1</v>
      </c>
      <c r="BN542">
        <v>1</v>
      </c>
      <c r="BO542">
        <v>1</v>
      </c>
      <c r="BP542">
        <v>0</v>
      </c>
      <c r="BT542">
        <v>0</v>
      </c>
      <c r="BU542">
        <v>0</v>
      </c>
      <c r="CE542" t="str">
        <f>"15:39:52.079"</f>
        <v>15:39:52.079</v>
      </c>
      <c r="CF542">
        <v>79372813</v>
      </c>
      <c r="CS542">
        <v>0</v>
      </c>
      <c r="CT542">
        <v>2</v>
      </c>
      <c r="CU542">
        <v>0</v>
      </c>
      <c r="CV542">
        <v>2</v>
      </c>
      <c r="CW542">
        <v>0</v>
      </c>
      <c r="CX542">
        <v>6</v>
      </c>
      <c r="CY542">
        <v>7</v>
      </c>
      <c r="CZ542" t="s">
        <v>133</v>
      </c>
      <c r="DA542">
        <v>125</v>
      </c>
      <c r="DB542">
        <v>1</v>
      </c>
      <c r="DC542" t="s">
        <v>134</v>
      </c>
      <c r="DD542" t="s">
        <v>135</v>
      </c>
      <c r="DG542">
        <v>2581731</v>
      </c>
      <c r="DI542">
        <v>0</v>
      </c>
      <c r="DJ542">
        <v>0</v>
      </c>
      <c r="DK542">
        <v>0</v>
      </c>
      <c r="DL542">
        <v>0</v>
      </c>
      <c r="DM542">
        <v>0</v>
      </c>
      <c r="DN542">
        <v>0</v>
      </c>
      <c r="DO542">
        <v>0</v>
      </c>
      <c r="DP542">
        <v>0</v>
      </c>
      <c r="DQ542">
        <v>0</v>
      </c>
      <c r="DR542">
        <v>0</v>
      </c>
      <c r="DS542">
        <v>0</v>
      </c>
    </row>
    <row r="543" spans="1:123" x14ac:dyDescent="0.25">
      <c r="A543" t="str">
        <f>"04/17/2026 15:39:52.350"</f>
        <v>04/17/2026 15:39:52.350</v>
      </c>
      <c r="C543" t="str">
        <f t="shared" si="44"/>
        <v>FFDFD3C0</v>
      </c>
      <c r="D543" t="s">
        <v>124</v>
      </c>
      <c r="E543" t="str">
        <f>"03"</f>
        <v>03</v>
      </c>
      <c r="H543">
        <v>160</v>
      </c>
      <c r="I543" t="s">
        <v>125</v>
      </c>
      <c r="J543" t="s">
        <v>126</v>
      </c>
      <c r="K543">
        <v>0</v>
      </c>
      <c r="L543">
        <v>3</v>
      </c>
      <c r="M543">
        <v>0</v>
      </c>
      <c r="N543">
        <v>2</v>
      </c>
      <c r="O543">
        <v>1</v>
      </c>
      <c r="P543">
        <v>0</v>
      </c>
      <c r="Q543">
        <v>0</v>
      </c>
      <c r="R543" t="s">
        <v>127</v>
      </c>
      <c r="S543" t="str">
        <f>"15:39:52.078"</f>
        <v>15:39:52.078</v>
      </c>
      <c r="T543" t="str">
        <f>"15:39:51.778"</f>
        <v>15:39:51.778</v>
      </c>
      <c r="U543" t="str">
        <f t="shared" si="45"/>
        <v>A55E09</v>
      </c>
      <c r="V543">
        <v>0</v>
      </c>
      <c r="W543">
        <v>0</v>
      </c>
      <c r="X543">
        <v>2</v>
      </c>
      <c r="Y543">
        <v>0</v>
      </c>
      <c r="AA543">
        <v>0</v>
      </c>
      <c r="AB543">
        <v>9</v>
      </c>
      <c r="AC543">
        <v>3</v>
      </c>
      <c r="AD543">
        <v>0</v>
      </c>
      <c r="AE543">
        <v>9</v>
      </c>
      <c r="AF543" t="s">
        <v>128</v>
      </c>
      <c r="AG543">
        <v>0</v>
      </c>
      <c r="AH543">
        <v>0</v>
      </c>
      <c r="AI543">
        <v>1</v>
      </c>
      <c r="AJ543">
        <v>0</v>
      </c>
      <c r="AK543" t="s">
        <v>389</v>
      </c>
      <c r="AL543">
        <v>33.709724000000001</v>
      </c>
      <c r="AM543" t="s">
        <v>345</v>
      </c>
      <c r="AN543">
        <v>-101.210003</v>
      </c>
      <c r="AO543">
        <v>100</v>
      </c>
      <c r="AP543">
        <v>3200</v>
      </c>
      <c r="AQ543" t="s">
        <v>131</v>
      </c>
      <c r="AR543">
        <v>12</v>
      </c>
      <c r="AS543">
        <v>90</v>
      </c>
      <c r="AT543">
        <v>-192</v>
      </c>
      <c r="BB543" t="str">
        <f t="shared" si="46"/>
        <v>1200</v>
      </c>
      <c r="BC543">
        <v>1</v>
      </c>
      <c r="BD543" t="str">
        <f t="shared" si="47"/>
        <v xml:space="preserve">N445JS  </v>
      </c>
      <c r="BE543">
        <v>7</v>
      </c>
      <c r="BG543">
        <v>0</v>
      </c>
      <c r="BH543">
        <v>0</v>
      </c>
      <c r="BI543">
        <v>0</v>
      </c>
      <c r="BJ543">
        <v>2950</v>
      </c>
      <c r="BK543">
        <v>-250</v>
      </c>
      <c r="BL543" t="s">
        <v>132</v>
      </c>
      <c r="BM543">
        <v>1</v>
      </c>
      <c r="BN543">
        <v>1</v>
      </c>
      <c r="BO543">
        <v>1</v>
      </c>
      <c r="BP543">
        <v>0</v>
      </c>
      <c r="BT543">
        <v>0</v>
      </c>
      <c r="BU543">
        <v>0</v>
      </c>
      <c r="CE543" t="str">
        <f>"15:39:52.079"</f>
        <v>15:39:52.079</v>
      </c>
      <c r="CF543">
        <v>79372813</v>
      </c>
      <c r="CS543">
        <v>0</v>
      </c>
      <c r="CT543">
        <v>2</v>
      </c>
      <c r="CU543">
        <v>0</v>
      </c>
      <c r="CV543">
        <v>2</v>
      </c>
      <c r="CW543">
        <v>0</v>
      </c>
      <c r="CX543">
        <v>6</v>
      </c>
      <c r="CY543">
        <v>7</v>
      </c>
      <c r="CZ543" t="s">
        <v>133</v>
      </c>
      <c r="DA543">
        <v>125</v>
      </c>
      <c r="DB543">
        <v>1</v>
      </c>
      <c r="DC543" t="s">
        <v>134</v>
      </c>
      <c r="DD543" t="s">
        <v>135</v>
      </c>
      <c r="DG543">
        <v>2581731</v>
      </c>
      <c r="DI543">
        <v>0</v>
      </c>
      <c r="DJ543">
        <v>0</v>
      </c>
      <c r="DK543">
        <v>1</v>
      </c>
      <c r="DL543">
        <v>0</v>
      </c>
      <c r="DM543">
        <v>0</v>
      </c>
      <c r="DN543">
        <v>0</v>
      </c>
      <c r="DO543">
        <v>0</v>
      </c>
      <c r="DP543">
        <v>0</v>
      </c>
      <c r="DQ543">
        <v>0</v>
      </c>
      <c r="DR543">
        <v>0</v>
      </c>
      <c r="DS543">
        <v>0</v>
      </c>
    </row>
    <row r="544" spans="1:123" x14ac:dyDescent="0.25">
      <c r="A544" t="str">
        <f>"04/17/2026 15:39:52.370"</f>
        <v>04/17/2026 15:39:52.370</v>
      </c>
      <c r="C544" t="str">
        <f t="shared" si="44"/>
        <v>FFDFD3C0</v>
      </c>
      <c r="D544" t="s">
        <v>136</v>
      </c>
      <c r="E544" t="str">
        <f>"0E"</f>
        <v>0E</v>
      </c>
      <c r="F544">
        <v>1014</v>
      </c>
      <c r="G544" t="s">
        <v>125</v>
      </c>
      <c r="J544" t="s">
        <v>137</v>
      </c>
      <c r="K544">
        <v>0</v>
      </c>
      <c r="L544">
        <v>3</v>
      </c>
      <c r="M544">
        <v>0</v>
      </c>
      <c r="N544">
        <v>2</v>
      </c>
      <c r="O544">
        <v>1</v>
      </c>
      <c r="P544">
        <v>0</v>
      </c>
      <c r="Q544">
        <v>0</v>
      </c>
      <c r="R544" t="s">
        <v>127</v>
      </c>
      <c r="S544" t="str">
        <f>"15:39:52.078"</f>
        <v>15:39:52.078</v>
      </c>
      <c r="T544" t="str">
        <f>"15:39:51.778"</f>
        <v>15:39:51.778</v>
      </c>
      <c r="U544" t="str">
        <f t="shared" si="45"/>
        <v>A55E09</v>
      </c>
      <c r="V544">
        <v>0</v>
      </c>
      <c r="W544">
        <v>0</v>
      </c>
      <c r="X544">
        <v>2</v>
      </c>
      <c r="Y544">
        <v>0</v>
      </c>
      <c r="AA544">
        <v>0</v>
      </c>
      <c r="AB544">
        <v>9</v>
      </c>
      <c r="AC544">
        <v>3</v>
      </c>
      <c r="AD544">
        <v>0</v>
      </c>
      <c r="AE544">
        <v>9</v>
      </c>
      <c r="AF544" t="s">
        <v>128</v>
      </c>
      <c r="AG544">
        <v>0</v>
      </c>
      <c r="AH544">
        <v>0</v>
      </c>
      <c r="AI544">
        <v>1</v>
      </c>
      <c r="AJ544">
        <v>0</v>
      </c>
      <c r="AK544" t="s">
        <v>389</v>
      </c>
      <c r="AL544">
        <v>33.709724000000001</v>
      </c>
      <c r="AM544" t="s">
        <v>345</v>
      </c>
      <c r="AN544">
        <v>-101.210003</v>
      </c>
      <c r="AO544">
        <v>100</v>
      </c>
      <c r="AP544">
        <v>3200</v>
      </c>
      <c r="AQ544" t="s">
        <v>131</v>
      </c>
      <c r="AR544">
        <v>12</v>
      </c>
      <c r="AS544">
        <v>90</v>
      </c>
      <c r="AT544">
        <v>-192</v>
      </c>
      <c r="BB544" t="str">
        <f t="shared" si="46"/>
        <v>1200</v>
      </c>
      <c r="BC544">
        <v>1</v>
      </c>
      <c r="BD544" t="str">
        <f t="shared" si="47"/>
        <v xml:space="preserve">N445JS  </v>
      </c>
      <c r="BE544">
        <v>7</v>
      </c>
      <c r="BG544">
        <v>0</v>
      </c>
      <c r="BH544">
        <v>0</v>
      </c>
      <c r="BI544">
        <v>0</v>
      </c>
      <c r="BJ544">
        <v>2950</v>
      </c>
      <c r="BK544">
        <v>-250</v>
      </c>
      <c r="BL544" t="s">
        <v>132</v>
      </c>
      <c r="BM544">
        <v>1</v>
      </c>
      <c r="BN544">
        <v>1</v>
      </c>
      <c r="BO544">
        <v>1</v>
      </c>
      <c r="BP544">
        <v>0</v>
      </c>
      <c r="BT544">
        <v>0</v>
      </c>
      <c r="BU544">
        <v>0</v>
      </c>
      <c r="CE544" t="str">
        <f>"15:39:52.079"</f>
        <v>15:39:52.079</v>
      </c>
      <c r="CF544">
        <v>79372813</v>
      </c>
      <c r="CS544">
        <v>0</v>
      </c>
      <c r="CT544">
        <v>2</v>
      </c>
      <c r="CU544">
        <v>0</v>
      </c>
      <c r="CV544">
        <v>2</v>
      </c>
      <c r="CW544">
        <v>0</v>
      </c>
      <c r="CX544">
        <v>6</v>
      </c>
      <c r="CY544">
        <v>7</v>
      </c>
      <c r="CZ544" t="s">
        <v>133</v>
      </c>
      <c r="DA544">
        <v>125</v>
      </c>
      <c r="DB544">
        <v>1</v>
      </c>
      <c r="DC544" t="s">
        <v>134</v>
      </c>
      <c r="DD544" t="s">
        <v>135</v>
      </c>
      <c r="DG544">
        <v>2581731</v>
      </c>
      <c r="DI544">
        <v>0</v>
      </c>
      <c r="DJ544">
        <v>0</v>
      </c>
      <c r="DK544">
        <v>1</v>
      </c>
      <c r="DL544">
        <v>0</v>
      </c>
      <c r="DM544">
        <v>0</v>
      </c>
      <c r="DN544">
        <v>0</v>
      </c>
      <c r="DO544">
        <v>0</v>
      </c>
      <c r="DP544">
        <v>0</v>
      </c>
      <c r="DQ544">
        <v>0</v>
      </c>
      <c r="DR544">
        <v>0</v>
      </c>
      <c r="DS544">
        <v>0</v>
      </c>
    </row>
    <row r="545" spans="1:123" x14ac:dyDescent="0.25">
      <c r="A545" t="str">
        <f>"04/17/2026 15:39:52.385"</f>
        <v>04/17/2026 15:39:52.385</v>
      </c>
      <c r="C545" t="str">
        <f t="shared" si="44"/>
        <v>FFDFD3C0</v>
      </c>
      <c r="D545" t="s">
        <v>139</v>
      </c>
      <c r="E545" t="str">
        <f>"28"</f>
        <v>28</v>
      </c>
      <c r="H545">
        <v>140</v>
      </c>
      <c r="I545" t="s">
        <v>140</v>
      </c>
      <c r="J545" t="s">
        <v>141</v>
      </c>
      <c r="K545">
        <v>0</v>
      </c>
      <c r="L545">
        <v>3</v>
      </c>
      <c r="M545">
        <v>0</v>
      </c>
      <c r="N545">
        <v>2</v>
      </c>
      <c r="O545">
        <v>1</v>
      </c>
      <c r="P545">
        <v>0</v>
      </c>
      <c r="Q545">
        <v>0</v>
      </c>
      <c r="R545" t="s">
        <v>127</v>
      </c>
      <c r="S545" t="str">
        <f>"15:39:52.078"</f>
        <v>15:39:52.078</v>
      </c>
      <c r="T545" t="str">
        <f>"15:39:51.778"</f>
        <v>15:39:51.778</v>
      </c>
      <c r="U545" t="str">
        <f t="shared" si="45"/>
        <v>A55E09</v>
      </c>
      <c r="V545">
        <v>0</v>
      </c>
      <c r="W545">
        <v>0</v>
      </c>
      <c r="X545">
        <v>2</v>
      </c>
      <c r="Y545">
        <v>0</v>
      </c>
      <c r="AA545">
        <v>0</v>
      </c>
      <c r="AB545">
        <v>9</v>
      </c>
      <c r="AC545">
        <v>3</v>
      </c>
      <c r="AD545">
        <v>0</v>
      </c>
      <c r="AE545">
        <v>9</v>
      </c>
      <c r="AF545" t="s">
        <v>128</v>
      </c>
      <c r="AG545">
        <v>0</v>
      </c>
      <c r="AH545">
        <v>0</v>
      </c>
      <c r="AI545">
        <v>1</v>
      </c>
      <c r="AJ545">
        <v>0</v>
      </c>
      <c r="AK545" t="s">
        <v>389</v>
      </c>
      <c r="AL545">
        <v>33.709724000000001</v>
      </c>
      <c r="AM545" t="s">
        <v>345</v>
      </c>
      <c r="AN545">
        <v>-101.210003</v>
      </c>
      <c r="AO545">
        <v>100</v>
      </c>
      <c r="AP545">
        <v>3200</v>
      </c>
      <c r="AQ545" t="s">
        <v>131</v>
      </c>
      <c r="AR545">
        <v>12</v>
      </c>
      <c r="AS545">
        <v>90</v>
      </c>
      <c r="AT545">
        <v>-192</v>
      </c>
      <c r="BB545" t="str">
        <f t="shared" si="46"/>
        <v>1200</v>
      </c>
      <c r="BC545">
        <v>1</v>
      </c>
      <c r="BD545" t="str">
        <f t="shared" si="47"/>
        <v xml:space="preserve">N445JS  </v>
      </c>
      <c r="BE545">
        <v>7</v>
      </c>
      <c r="BG545">
        <v>0</v>
      </c>
      <c r="BH545">
        <v>0</v>
      </c>
      <c r="BI545">
        <v>0</v>
      </c>
      <c r="BJ545">
        <v>2950</v>
      </c>
      <c r="BK545">
        <v>-250</v>
      </c>
      <c r="BL545" t="s">
        <v>132</v>
      </c>
      <c r="BM545">
        <v>1</v>
      </c>
      <c r="BN545">
        <v>1</v>
      </c>
      <c r="BO545">
        <v>1</v>
      </c>
      <c r="BP545">
        <v>0</v>
      </c>
      <c r="BT545">
        <v>0</v>
      </c>
      <c r="BU545">
        <v>0</v>
      </c>
      <c r="CE545" t="str">
        <f>"15:39:52.079"</f>
        <v>15:39:52.079</v>
      </c>
      <c r="CF545">
        <v>79372813</v>
      </c>
      <c r="CS545">
        <v>0</v>
      </c>
      <c r="CT545">
        <v>2</v>
      </c>
      <c r="CU545">
        <v>0</v>
      </c>
      <c r="CV545">
        <v>2</v>
      </c>
      <c r="CW545">
        <v>0</v>
      </c>
      <c r="CX545">
        <v>6</v>
      </c>
      <c r="CY545">
        <v>7</v>
      </c>
      <c r="CZ545" t="s">
        <v>133</v>
      </c>
      <c r="DA545">
        <v>125</v>
      </c>
      <c r="DB545">
        <v>1</v>
      </c>
      <c r="DC545" t="s">
        <v>134</v>
      </c>
      <c r="DD545" t="s">
        <v>135</v>
      </c>
      <c r="DG545">
        <v>2581731</v>
      </c>
      <c r="DI545">
        <v>0</v>
      </c>
      <c r="DJ545">
        <v>0</v>
      </c>
      <c r="DK545">
        <v>1</v>
      </c>
      <c r="DL545">
        <v>0</v>
      </c>
      <c r="DM545">
        <v>0</v>
      </c>
      <c r="DN545">
        <v>0</v>
      </c>
      <c r="DO545">
        <v>0</v>
      </c>
      <c r="DP545">
        <v>0</v>
      </c>
      <c r="DQ545">
        <v>0</v>
      </c>
      <c r="DR545">
        <v>0</v>
      </c>
      <c r="DS545">
        <v>0</v>
      </c>
    </row>
    <row r="546" spans="1:123" x14ac:dyDescent="0.25">
      <c r="A546" t="str">
        <f>"04/17/2026 15:39:53.422"</f>
        <v>04/17/2026 15:39:53.422</v>
      </c>
      <c r="C546" t="str">
        <f t="shared" si="44"/>
        <v>FFDFD3C0</v>
      </c>
      <c r="D546" t="s">
        <v>136</v>
      </c>
      <c r="E546" t="str">
        <f>"0E"</f>
        <v>0E</v>
      </c>
      <c r="F546">
        <v>1014</v>
      </c>
      <c r="G546" t="s">
        <v>125</v>
      </c>
      <c r="J546" t="s">
        <v>137</v>
      </c>
      <c r="K546">
        <v>0</v>
      </c>
      <c r="L546">
        <v>3</v>
      </c>
      <c r="M546">
        <v>0</v>
      </c>
      <c r="N546">
        <v>2</v>
      </c>
      <c r="O546">
        <v>1</v>
      </c>
      <c r="P546">
        <v>0</v>
      </c>
      <c r="Q546">
        <v>0</v>
      </c>
      <c r="R546" t="s">
        <v>127</v>
      </c>
      <c r="S546" t="str">
        <f>"15:39:53.156"</f>
        <v>15:39:53.156</v>
      </c>
      <c r="T546" t="str">
        <f>"15:39:52.756"</f>
        <v>15:39:52.756</v>
      </c>
      <c r="U546" t="str">
        <f t="shared" si="45"/>
        <v>A55E09</v>
      </c>
      <c r="V546">
        <v>0</v>
      </c>
      <c r="W546">
        <v>0</v>
      </c>
      <c r="X546">
        <v>2</v>
      </c>
      <c r="Y546">
        <v>0</v>
      </c>
      <c r="AA546">
        <v>0</v>
      </c>
      <c r="AB546">
        <v>9</v>
      </c>
      <c r="AC546">
        <v>3</v>
      </c>
      <c r="AD546">
        <v>0</v>
      </c>
      <c r="AE546">
        <v>9</v>
      </c>
      <c r="AF546" t="s">
        <v>128</v>
      </c>
      <c r="AG546">
        <v>0</v>
      </c>
      <c r="AH546">
        <v>0</v>
      </c>
      <c r="AI546">
        <v>1</v>
      </c>
      <c r="AJ546">
        <v>0</v>
      </c>
      <c r="AK546" t="s">
        <v>390</v>
      </c>
      <c r="AL546">
        <v>33.710175</v>
      </c>
      <c r="AM546" t="s">
        <v>391</v>
      </c>
      <c r="AN546">
        <v>-101.209917</v>
      </c>
      <c r="AO546">
        <v>100</v>
      </c>
      <c r="AP546">
        <v>3200</v>
      </c>
      <c r="AQ546" t="s">
        <v>131</v>
      </c>
      <c r="AR546">
        <v>11</v>
      </c>
      <c r="AS546">
        <v>89</v>
      </c>
      <c r="AT546">
        <v>-192</v>
      </c>
      <c r="BB546" t="str">
        <f t="shared" si="46"/>
        <v>1200</v>
      </c>
      <c r="BC546">
        <v>1</v>
      </c>
      <c r="BD546" t="str">
        <f t="shared" si="47"/>
        <v xml:space="preserve">N445JS  </v>
      </c>
      <c r="BE546">
        <v>7</v>
      </c>
      <c r="BG546">
        <v>0</v>
      </c>
      <c r="BH546">
        <v>0</v>
      </c>
      <c r="BI546">
        <v>0</v>
      </c>
      <c r="BJ546">
        <v>2950</v>
      </c>
      <c r="BK546">
        <v>-250</v>
      </c>
      <c r="BL546" t="s">
        <v>132</v>
      </c>
      <c r="BM546">
        <v>1</v>
      </c>
      <c r="BN546">
        <v>1</v>
      </c>
      <c r="BO546">
        <v>1</v>
      </c>
      <c r="BP546">
        <v>0</v>
      </c>
      <c r="BT546">
        <v>0</v>
      </c>
      <c r="BU546">
        <v>0</v>
      </c>
      <c r="CE546" t="str">
        <f>"15:39:53.159"</f>
        <v>15:39:53.159</v>
      </c>
      <c r="CF546">
        <v>159267018</v>
      </c>
      <c r="CS546">
        <v>0</v>
      </c>
      <c r="CT546">
        <v>2</v>
      </c>
      <c r="CU546">
        <v>0</v>
      </c>
      <c r="CV546">
        <v>2</v>
      </c>
      <c r="CW546">
        <v>0</v>
      </c>
      <c r="CX546">
        <v>5</v>
      </c>
      <c r="CY546">
        <v>7</v>
      </c>
      <c r="CZ546" t="s">
        <v>133</v>
      </c>
      <c r="DA546">
        <v>125</v>
      </c>
      <c r="DB546">
        <v>1</v>
      </c>
      <c r="DC546" t="s">
        <v>134</v>
      </c>
      <c r="DD546" t="s">
        <v>135</v>
      </c>
      <c r="DG546">
        <v>2582810</v>
      </c>
      <c r="DI546">
        <v>0</v>
      </c>
      <c r="DJ546">
        <v>0</v>
      </c>
      <c r="DK546">
        <v>0</v>
      </c>
      <c r="DL546">
        <v>0</v>
      </c>
      <c r="DM546">
        <v>0</v>
      </c>
      <c r="DN546">
        <v>0</v>
      </c>
      <c r="DO546">
        <v>0</v>
      </c>
      <c r="DP546">
        <v>0</v>
      </c>
      <c r="DQ546">
        <v>0</v>
      </c>
      <c r="DR546">
        <v>0</v>
      </c>
      <c r="DS546">
        <v>0</v>
      </c>
    </row>
    <row r="547" spans="1:123" x14ac:dyDescent="0.25">
      <c r="A547" t="str">
        <f>"04/17/2026 15:39:53.439"</f>
        <v>04/17/2026 15:39:53.439</v>
      </c>
      <c r="C547" t="str">
        <f t="shared" si="44"/>
        <v>FFDFD3C0</v>
      </c>
      <c r="D547" t="s">
        <v>136</v>
      </c>
      <c r="E547" t="str">
        <f>"0F"</f>
        <v>0F</v>
      </c>
      <c r="F547">
        <v>1015</v>
      </c>
      <c r="G547" t="s">
        <v>138</v>
      </c>
      <c r="J547" t="s">
        <v>137</v>
      </c>
      <c r="K547">
        <v>0</v>
      </c>
      <c r="L547">
        <v>3</v>
      </c>
      <c r="M547">
        <v>0</v>
      </c>
      <c r="N547">
        <v>2</v>
      </c>
      <c r="O547">
        <v>1</v>
      </c>
      <c r="P547">
        <v>0</v>
      </c>
      <c r="Q547">
        <v>0</v>
      </c>
      <c r="R547" t="s">
        <v>127</v>
      </c>
      <c r="S547" t="str">
        <f>"15:39:53.156"</f>
        <v>15:39:53.156</v>
      </c>
      <c r="T547" t="str">
        <f>"15:39:52.756"</f>
        <v>15:39:52.756</v>
      </c>
      <c r="U547" t="str">
        <f t="shared" si="45"/>
        <v>A55E09</v>
      </c>
      <c r="V547">
        <v>0</v>
      </c>
      <c r="W547">
        <v>0</v>
      </c>
      <c r="X547">
        <v>2</v>
      </c>
      <c r="Y547">
        <v>0</v>
      </c>
      <c r="AA547">
        <v>0</v>
      </c>
      <c r="AB547">
        <v>9</v>
      </c>
      <c r="AC547">
        <v>3</v>
      </c>
      <c r="AD547">
        <v>0</v>
      </c>
      <c r="AE547">
        <v>9</v>
      </c>
      <c r="AF547" t="s">
        <v>128</v>
      </c>
      <c r="AG547">
        <v>0</v>
      </c>
      <c r="AH547">
        <v>0</v>
      </c>
      <c r="AI547">
        <v>1</v>
      </c>
      <c r="AJ547">
        <v>0</v>
      </c>
      <c r="AK547" t="s">
        <v>390</v>
      </c>
      <c r="AL547">
        <v>33.710175</v>
      </c>
      <c r="AM547" t="s">
        <v>391</v>
      </c>
      <c r="AN547">
        <v>-101.209917</v>
      </c>
      <c r="AO547">
        <v>100</v>
      </c>
      <c r="AP547">
        <v>3200</v>
      </c>
      <c r="AQ547" t="s">
        <v>131</v>
      </c>
      <c r="AR547">
        <v>11</v>
      </c>
      <c r="AS547">
        <v>89</v>
      </c>
      <c r="AT547">
        <v>-192</v>
      </c>
      <c r="BB547" t="str">
        <f t="shared" si="46"/>
        <v>1200</v>
      </c>
      <c r="BC547">
        <v>1</v>
      </c>
      <c r="BD547" t="str">
        <f t="shared" si="47"/>
        <v xml:space="preserve">N445JS  </v>
      </c>
      <c r="BE547">
        <v>7</v>
      </c>
      <c r="BG547">
        <v>0</v>
      </c>
      <c r="BH547">
        <v>0</v>
      </c>
      <c r="BI547">
        <v>0</v>
      </c>
      <c r="BJ547">
        <v>2950</v>
      </c>
      <c r="BK547">
        <v>-250</v>
      </c>
      <c r="BL547" t="s">
        <v>132</v>
      </c>
      <c r="BM547">
        <v>1</v>
      </c>
      <c r="BN547">
        <v>1</v>
      </c>
      <c r="BO547">
        <v>1</v>
      </c>
      <c r="BP547">
        <v>0</v>
      </c>
      <c r="BT547">
        <v>0</v>
      </c>
      <c r="BU547">
        <v>0</v>
      </c>
      <c r="CE547" t="str">
        <f>"15:39:53.159"</f>
        <v>15:39:53.159</v>
      </c>
      <c r="CF547">
        <v>159267018</v>
      </c>
      <c r="CS547">
        <v>0</v>
      </c>
      <c r="CT547">
        <v>2</v>
      </c>
      <c r="CU547">
        <v>0</v>
      </c>
      <c r="CV547">
        <v>2</v>
      </c>
      <c r="CW547">
        <v>0</v>
      </c>
      <c r="CX547">
        <v>5</v>
      </c>
      <c r="CY547">
        <v>7</v>
      </c>
      <c r="CZ547" t="s">
        <v>133</v>
      </c>
      <c r="DA547">
        <v>125</v>
      </c>
      <c r="DB547">
        <v>1</v>
      </c>
      <c r="DC547" t="s">
        <v>134</v>
      </c>
      <c r="DD547" t="s">
        <v>135</v>
      </c>
      <c r="DG547">
        <v>2582810</v>
      </c>
      <c r="DI547">
        <v>0</v>
      </c>
      <c r="DJ547">
        <v>0</v>
      </c>
      <c r="DK547">
        <v>1</v>
      </c>
      <c r="DL547">
        <v>0</v>
      </c>
      <c r="DM547">
        <v>0</v>
      </c>
      <c r="DN547">
        <v>0</v>
      </c>
      <c r="DO547">
        <v>0</v>
      </c>
      <c r="DP547">
        <v>0</v>
      </c>
      <c r="DQ547">
        <v>0</v>
      </c>
      <c r="DR547">
        <v>0</v>
      </c>
      <c r="DS547">
        <v>0</v>
      </c>
    </row>
    <row r="548" spans="1:123" x14ac:dyDescent="0.25">
      <c r="A548" t="str">
        <f>"04/17/2026 15:39:53.436"</f>
        <v>04/17/2026 15:39:53.436</v>
      </c>
      <c r="C548" t="str">
        <f t="shared" si="44"/>
        <v>FFDFD3C0</v>
      </c>
      <c r="D548" t="s">
        <v>139</v>
      </c>
      <c r="E548" t="str">
        <f>"28"</f>
        <v>28</v>
      </c>
      <c r="H548">
        <v>140</v>
      </c>
      <c r="I548" t="s">
        <v>140</v>
      </c>
      <c r="J548" t="s">
        <v>141</v>
      </c>
      <c r="K548">
        <v>0</v>
      </c>
      <c r="L548">
        <v>3</v>
      </c>
      <c r="M548">
        <v>0</v>
      </c>
      <c r="N548">
        <v>2</v>
      </c>
      <c r="O548">
        <v>1</v>
      </c>
      <c r="P548">
        <v>0</v>
      </c>
      <c r="Q548">
        <v>0</v>
      </c>
      <c r="R548" t="s">
        <v>127</v>
      </c>
      <c r="S548" t="str">
        <f>"15:39:53.156"</f>
        <v>15:39:53.156</v>
      </c>
      <c r="T548" t="str">
        <f>"15:39:52.756"</f>
        <v>15:39:52.756</v>
      </c>
      <c r="U548" t="str">
        <f t="shared" si="45"/>
        <v>A55E09</v>
      </c>
      <c r="V548">
        <v>0</v>
      </c>
      <c r="W548">
        <v>0</v>
      </c>
      <c r="X548">
        <v>2</v>
      </c>
      <c r="Y548">
        <v>0</v>
      </c>
      <c r="AA548">
        <v>0</v>
      </c>
      <c r="AB548">
        <v>9</v>
      </c>
      <c r="AC548">
        <v>3</v>
      </c>
      <c r="AD548">
        <v>0</v>
      </c>
      <c r="AE548">
        <v>9</v>
      </c>
      <c r="AF548" t="s">
        <v>128</v>
      </c>
      <c r="AG548">
        <v>0</v>
      </c>
      <c r="AH548">
        <v>0</v>
      </c>
      <c r="AI548">
        <v>1</v>
      </c>
      <c r="AJ548">
        <v>0</v>
      </c>
      <c r="AK548" t="s">
        <v>390</v>
      </c>
      <c r="AL548">
        <v>33.710175</v>
      </c>
      <c r="AM548" t="s">
        <v>391</v>
      </c>
      <c r="AN548">
        <v>-101.209917</v>
      </c>
      <c r="AO548">
        <v>100</v>
      </c>
      <c r="AP548">
        <v>3200</v>
      </c>
      <c r="AQ548" t="s">
        <v>131</v>
      </c>
      <c r="AR548">
        <v>11</v>
      </c>
      <c r="AS548">
        <v>89</v>
      </c>
      <c r="AT548">
        <v>-192</v>
      </c>
      <c r="BB548" t="str">
        <f t="shared" si="46"/>
        <v>1200</v>
      </c>
      <c r="BC548">
        <v>1</v>
      </c>
      <c r="BD548" t="str">
        <f t="shared" si="47"/>
        <v xml:space="preserve">N445JS  </v>
      </c>
      <c r="BE548">
        <v>7</v>
      </c>
      <c r="BG548">
        <v>0</v>
      </c>
      <c r="BH548">
        <v>0</v>
      </c>
      <c r="BI548">
        <v>0</v>
      </c>
      <c r="BJ548">
        <v>2950</v>
      </c>
      <c r="BK548">
        <v>-250</v>
      </c>
      <c r="BL548" t="s">
        <v>132</v>
      </c>
      <c r="BM548">
        <v>1</v>
      </c>
      <c r="BN548">
        <v>1</v>
      </c>
      <c r="BO548">
        <v>1</v>
      </c>
      <c r="BP548">
        <v>0</v>
      </c>
      <c r="BT548">
        <v>0</v>
      </c>
      <c r="BU548">
        <v>0</v>
      </c>
      <c r="CE548" t="str">
        <f>"15:39:53.159"</f>
        <v>15:39:53.159</v>
      </c>
      <c r="CF548">
        <v>159267018</v>
      </c>
      <c r="CS548">
        <v>0</v>
      </c>
      <c r="CT548">
        <v>2</v>
      </c>
      <c r="CU548">
        <v>0</v>
      </c>
      <c r="CV548">
        <v>2</v>
      </c>
      <c r="CW548">
        <v>0</v>
      </c>
      <c r="CX548">
        <v>5</v>
      </c>
      <c r="CY548">
        <v>7</v>
      </c>
      <c r="CZ548" t="s">
        <v>133</v>
      </c>
      <c r="DA548">
        <v>125</v>
      </c>
      <c r="DB548">
        <v>1</v>
      </c>
      <c r="DC548" t="s">
        <v>134</v>
      </c>
      <c r="DD548" t="s">
        <v>135</v>
      </c>
      <c r="DG548">
        <v>2582810</v>
      </c>
      <c r="DI548">
        <v>0</v>
      </c>
      <c r="DJ548">
        <v>0</v>
      </c>
      <c r="DK548">
        <v>1</v>
      </c>
      <c r="DL548">
        <v>0</v>
      </c>
      <c r="DM548">
        <v>0</v>
      </c>
      <c r="DN548">
        <v>0</v>
      </c>
      <c r="DO548">
        <v>0</v>
      </c>
      <c r="DP548">
        <v>0</v>
      </c>
      <c r="DQ548">
        <v>0</v>
      </c>
      <c r="DR548">
        <v>0</v>
      </c>
      <c r="DS548">
        <v>0</v>
      </c>
    </row>
    <row r="549" spans="1:123" x14ac:dyDescent="0.25">
      <c r="A549" t="str">
        <f>"04/17/2026 15:39:53.452"</f>
        <v>04/17/2026 15:39:53.452</v>
      </c>
      <c r="C549" t="str">
        <f t="shared" si="44"/>
        <v>FFDFD3C0</v>
      </c>
      <c r="D549" t="s">
        <v>124</v>
      </c>
      <c r="E549" t="str">
        <f>"03"</f>
        <v>03</v>
      </c>
      <c r="H549">
        <v>160</v>
      </c>
      <c r="I549" t="s">
        <v>125</v>
      </c>
      <c r="J549" t="s">
        <v>126</v>
      </c>
      <c r="K549">
        <v>0</v>
      </c>
      <c r="L549">
        <v>3</v>
      </c>
      <c r="M549">
        <v>0</v>
      </c>
      <c r="N549">
        <v>2</v>
      </c>
      <c r="O549">
        <v>1</v>
      </c>
      <c r="P549">
        <v>0</v>
      </c>
      <c r="Q549">
        <v>0</v>
      </c>
      <c r="R549" t="s">
        <v>127</v>
      </c>
      <c r="S549" t="str">
        <f>"15:39:53.156"</f>
        <v>15:39:53.156</v>
      </c>
      <c r="T549" t="str">
        <f>"15:39:52.756"</f>
        <v>15:39:52.756</v>
      </c>
      <c r="U549" t="str">
        <f t="shared" si="45"/>
        <v>A55E09</v>
      </c>
      <c r="V549">
        <v>0</v>
      </c>
      <c r="W549">
        <v>0</v>
      </c>
      <c r="X549">
        <v>2</v>
      </c>
      <c r="Y549">
        <v>0</v>
      </c>
      <c r="AA549">
        <v>0</v>
      </c>
      <c r="AB549">
        <v>9</v>
      </c>
      <c r="AC549">
        <v>3</v>
      </c>
      <c r="AD549">
        <v>0</v>
      </c>
      <c r="AE549">
        <v>9</v>
      </c>
      <c r="AF549" t="s">
        <v>128</v>
      </c>
      <c r="AG549">
        <v>0</v>
      </c>
      <c r="AH549">
        <v>0</v>
      </c>
      <c r="AI549">
        <v>1</v>
      </c>
      <c r="AJ549">
        <v>0</v>
      </c>
      <c r="AK549" t="s">
        <v>390</v>
      </c>
      <c r="AL549">
        <v>33.710175</v>
      </c>
      <c r="AM549" t="s">
        <v>391</v>
      </c>
      <c r="AN549">
        <v>-101.209917</v>
      </c>
      <c r="AO549">
        <v>100</v>
      </c>
      <c r="AP549">
        <v>3200</v>
      </c>
      <c r="AQ549" t="s">
        <v>131</v>
      </c>
      <c r="AR549">
        <v>11</v>
      </c>
      <c r="AS549">
        <v>89</v>
      </c>
      <c r="AT549">
        <v>-192</v>
      </c>
      <c r="BB549" t="str">
        <f t="shared" si="46"/>
        <v>1200</v>
      </c>
      <c r="BC549">
        <v>1</v>
      </c>
      <c r="BD549" t="str">
        <f t="shared" si="47"/>
        <v xml:space="preserve">N445JS  </v>
      </c>
      <c r="BE549">
        <v>7</v>
      </c>
      <c r="BG549">
        <v>0</v>
      </c>
      <c r="BH549">
        <v>0</v>
      </c>
      <c r="BI549">
        <v>0</v>
      </c>
      <c r="BJ549">
        <v>2950</v>
      </c>
      <c r="BK549">
        <v>-250</v>
      </c>
      <c r="BL549" t="s">
        <v>132</v>
      </c>
      <c r="BM549">
        <v>1</v>
      </c>
      <c r="BN549">
        <v>1</v>
      </c>
      <c r="BO549">
        <v>1</v>
      </c>
      <c r="BP549">
        <v>0</v>
      </c>
      <c r="BT549">
        <v>0</v>
      </c>
      <c r="BU549">
        <v>0</v>
      </c>
      <c r="CE549" t="str">
        <f>"15:39:53.159"</f>
        <v>15:39:53.159</v>
      </c>
      <c r="CF549">
        <v>159267018</v>
      </c>
      <c r="CS549">
        <v>0</v>
      </c>
      <c r="CT549">
        <v>2</v>
      </c>
      <c r="CU549">
        <v>0</v>
      </c>
      <c r="CV549">
        <v>2</v>
      </c>
      <c r="CW549">
        <v>0</v>
      </c>
      <c r="CX549">
        <v>5</v>
      </c>
      <c r="CY549">
        <v>7</v>
      </c>
      <c r="CZ549" t="s">
        <v>133</v>
      </c>
      <c r="DA549">
        <v>125</v>
      </c>
      <c r="DB549">
        <v>1</v>
      </c>
      <c r="DC549" t="s">
        <v>134</v>
      </c>
      <c r="DD549" t="s">
        <v>135</v>
      </c>
      <c r="DG549">
        <v>2582810</v>
      </c>
      <c r="DI549">
        <v>0</v>
      </c>
      <c r="DJ549">
        <v>0</v>
      </c>
      <c r="DK549">
        <v>1</v>
      </c>
      <c r="DL549">
        <v>0</v>
      </c>
      <c r="DM549">
        <v>0</v>
      </c>
      <c r="DN549">
        <v>0</v>
      </c>
      <c r="DO549">
        <v>0</v>
      </c>
      <c r="DP549">
        <v>0</v>
      </c>
      <c r="DQ549">
        <v>0</v>
      </c>
      <c r="DR549">
        <v>0</v>
      </c>
      <c r="DS549">
        <v>0</v>
      </c>
    </row>
    <row r="550" spans="1:123" x14ac:dyDescent="0.25">
      <c r="A550" t="str">
        <f>"04/17/2026 15:39:54.273"</f>
        <v>04/17/2026 15:39:54.273</v>
      </c>
      <c r="C550" t="str">
        <f t="shared" si="44"/>
        <v>FFDFD3C0</v>
      </c>
      <c r="D550" t="s">
        <v>136</v>
      </c>
      <c r="E550" t="str">
        <f>"0E"</f>
        <v>0E</v>
      </c>
      <c r="F550">
        <v>1014</v>
      </c>
      <c r="G550" t="s">
        <v>125</v>
      </c>
      <c r="J550" t="s">
        <v>137</v>
      </c>
      <c r="K550">
        <v>0</v>
      </c>
      <c r="L550">
        <v>3</v>
      </c>
      <c r="M550">
        <v>0</v>
      </c>
      <c r="N550">
        <v>2</v>
      </c>
      <c r="O550">
        <v>1</v>
      </c>
      <c r="P550">
        <v>0</v>
      </c>
      <c r="Q550">
        <v>0</v>
      </c>
      <c r="R550" t="s">
        <v>127</v>
      </c>
      <c r="S550" t="str">
        <f>"15:39:53.992"</f>
        <v>15:39:53.992</v>
      </c>
      <c r="T550" t="str">
        <f>"15:39:53.792"</f>
        <v>15:39:53.792</v>
      </c>
      <c r="U550" t="str">
        <f t="shared" si="45"/>
        <v>A55E09</v>
      </c>
      <c r="V550">
        <v>0</v>
      </c>
      <c r="W550">
        <v>0</v>
      </c>
      <c r="X550">
        <v>2</v>
      </c>
      <c r="Y550">
        <v>0</v>
      </c>
      <c r="AA550">
        <v>0</v>
      </c>
      <c r="AB550">
        <v>9</v>
      </c>
      <c r="AC550">
        <v>3</v>
      </c>
      <c r="AD550">
        <v>0</v>
      </c>
      <c r="AE550">
        <v>9</v>
      </c>
      <c r="AF550" t="s">
        <v>128</v>
      </c>
      <c r="AG550">
        <v>0</v>
      </c>
      <c r="AH550">
        <v>0</v>
      </c>
      <c r="AI550">
        <v>1</v>
      </c>
      <c r="AJ550">
        <v>0</v>
      </c>
      <c r="AK550" t="s">
        <v>392</v>
      </c>
      <c r="AL550">
        <v>33.710518</v>
      </c>
      <c r="AM550" t="s">
        <v>393</v>
      </c>
      <c r="AN550">
        <v>-101.209896</v>
      </c>
      <c r="AO550">
        <v>100</v>
      </c>
      <c r="AP550">
        <v>3200</v>
      </c>
      <c r="AQ550" t="s">
        <v>131</v>
      </c>
      <c r="AR550">
        <v>12</v>
      </c>
      <c r="AS550">
        <v>90</v>
      </c>
      <c r="AT550">
        <v>-192</v>
      </c>
      <c r="BB550" t="str">
        <f t="shared" si="46"/>
        <v>1200</v>
      </c>
      <c r="BC550">
        <v>1</v>
      </c>
      <c r="BD550" t="str">
        <f t="shared" si="47"/>
        <v xml:space="preserve">N445JS  </v>
      </c>
      <c r="BE550">
        <v>7</v>
      </c>
      <c r="BG550">
        <v>0</v>
      </c>
      <c r="BH550">
        <v>0</v>
      </c>
      <c r="BI550">
        <v>0</v>
      </c>
      <c r="BJ550">
        <v>2950</v>
      </c>
      <c r="BK550">
        <v>-250</v>
      </c>
      <c r="BL550" t="s">
        <v>132</v>
      </c>
      <c r="BM550">
        <v>1</v>
      </c>
      <c r="BN550">
        <v>1</v>
      </c>
      <c r="BO550">
        <v>1</v>
      </c>
      <c r="BP550">
        <v>0</v>
      </c>
      <c r="BT550">
        <v>0</v>
      </c>
      <c r="BU550">
        <v>0</v>
      </c>
      <c r="CE550" t="str">
        <f>"15:39:53.999"</f>
        <v>15:39:53.999</v>
      </c>
      <c r="CF550">
        <v>999184747</v>
      </c>
      <c r="CS550">
        <v>0</v>
      </c>
      <c r="CT550">
        <v>2</v>
      </c>
      <c r="CU550">
        <v>0</v>
      </c>
      <c r="CV550">
        <v>2</v>
      </c>
      <c r="CW550">
        <v>0</v>
      </c>
      <c r="CX550">
        <v>6</v>
      </c>
      <c r="CY550">
        <v>7</v>
      </c>
      <c r="CZ550" t="s">
        <v>133</v>
      </c>
      <c r="DA550">
        <v>125</v>
      </c>
      <c r="DB550">
        <v>1</v>
      </c>
      <c r="DC550" t="s">
        <v>134</v>
      </c>
      <c r="DD550" t="s">
        <v>135</v>
      </c>
      <c r="DG550">
        <v>2583630</v>
      </c>
      <c r="DI550">
        <v>0</v>
      </c>
      <c r="DJ550">
        <v>0</v>
      </c>
      <c r="DK550">
        <v>0</v>
      </c>
      <c r="DL550">
        <v>0</v>
      </c>
      <c r="DM550">
        <v>0</v>
      </c>
      <c r="DN550">
        <v>0</v>
      </c>
      <c r="DO550">
        <v>0</v>
      </c>
      <c r="DP550">
        <v>0</v>
      </c>
      <c r="DQ550">
        <v>0</v>
      </c>
      <c r="DR550">
        <v>0</v>
      </c>
      <c r="DS550">
        <v>0</v>
      </c>
    </row>
    <row r="551" spans="1:123" x14ac:dyDescent="0.25">
      <c r="A551" t="str">
        <f>"04/17/2026 15:39:54.287"</f>
        <v>04/17/2026 15:39:54.287</v>
      </c>
      <c r="C551" t="str">
        <f t="shared" si="44"/>
        <v>FFDFD3C0</v>
      </c>
      <c r="D551" t="s">
        <v>139</v>
      </c>
      <c r="E551" t="str">
        <f>"28"</f>
        <v>28</v>
      </c>
      <c r="H551">
        <v>140</v>
      </c>
      <c r="I551" t="s">
        <v>140</v>
      </c>
      <c r="J551" t="s">
        <v>141</v>
      </c>
      <c r="K551">
        <v>0</v>
      </c>
      <c r="L551">
        <v>3</v>
      </c>
      <c r="M551">
        <v>0</v>
      </c>
      <c r="N551">
        <v>2</v>
      </c>
      <c r="O551">
        <v>1</v>
      </c>
      <c r="P551">
        <v>0</v>
      </c>
      <c r="Q551">
        <v>0</v>
      </c>
      <c r="R551" t="s">
        <v>127</v>
      </c>
      <c r="S551" t="str">
        <f>"15:39:53.992"</f>
        <v>15:39:53.992</v>
      </c>
      <c r="T551" t="str">
        <f>"15:39:53.792"</f>
        <v>15:39:53.792</v>
      </c>
      <c r="U551" t="str">
        <f t="shared" si="45"/>
        <v>A55E09</v>
      </c>
      <c r="V551">
        <v>0</v>
      </c>
      <c r="W551">
        <v>0</v>
      </c>
      <c r="X551">
        <v>2</v>
      </c>
      <c r="Y551">
        <v>0</v>
      </c>
      <c r="AA551">
        <v>0</v>
      </c>
      <c r="AB551">
        <v>9</v>
      </c>
      <c r="AC551">
        <v>3</v>
      </c>
      <c r="AD551">
        <v>0</v>
      </c>
      <c r="AE551">
        <v>9</v>
      </c>
      <c r="AF551" t="s">
        <v>128</v>
      </c>
      <c r="AG551">
        <v>0</v>
      </c>
      <c r="AH551">
        <v>0</v>
      </c>
      <c r="AI551">
        <v>1</v>
      </c>
      <c r="AJ551">
        <v>0</v>
      </c>
      <c r="AK551" t="s">
        <v>392</v>
      </c>
      <c r="AL551">
        <v>33.710518</v>
      </c>
      <c r="AM551" t="s">
        <v>393</v>
      </c>
      <c r="AN551">
        <v>-101.209896</v>
      </c>
      <c r="AO551">
        <v>100</v>
      </c>
      <c r="AP551">
        <v>3200</v>
      </c>
      <c r="AQ551" t="s">
        <v>131</v>
      </c>
      <c r="AR551">
        <v>12</v>
      </c>
      <c r="AS551">
        <v>90</v>
      </c>
      <c r="AT551">
        <v>-192</v>
      </c>
      <c r="BB551" t="str">
        <f t="shared" si="46"/>
        <v>1200</v>
      </c>
      <c r="BC551">
        <v>1</v>
      </c>
      <c r="BD551" t="str">
        <f t="shared" si="47"/>
        <v xml:space="preserve">N445JS  </v>
      </c>
      <c r="BE551">
        <v>7</v>
      </c>
      <c r="BG551">
        <v>0</v>
      </c>
      <c r="BH551">
        <v>0</v>
      </c>
      <c r="BI551">
        <v>0</v>
      </c>
      <c r="BJ551">
        <v>2950</v>
      </c>
      <c r="BK551">
        <v>-250</v>
      </c>
      <c r="BL551" t="s">
        <v>132</v>
      </c>
      <c r="BM551">
        <v>1</v>
      </c>
      <c r="BN551">
        <v>1</v>
      </c>
      <c r="BO551">
        <v>1</v>
      </c>
      <c r="BP551">
        <v>0</v>
      </c>
      <c r="BT551">
        <v>0</v>
      </c>
      <c r="BU551">
        <v>0</v>
      </c>
      <c r="CE551" t="str">
        <f>"15:39:53.999"</f>
        <v>15:39:53.999</v>
      </c>
      <c r="CF551">
        <v>999184747</v>
      </c>
      <c r="CS551">
        <v>0</v>
      </c>
      <c r="CT551">
        <v>2</v>
      </c>
      <c r="CU551">
        <v>0</v>
      </c>
      <c r="CV551">
        <v>2</v>
      </c>
      <c r="CW551">
        <v>0</v>
      </c>
      <c r="CX551">
        <v>6</v>
      </c>
      <c r="CY551">
        <v>7</v>
      </c>
      <c r="CZ551" t="s">
        <v>133</v>
      </c>
      <c r="DA551">
        <v>125</v>
      </c>
      <c r="DB551">
        <v>1</v>
      </c>
      <c r="DC551" t="s">
        <v>134</v>
      </c>
      <c r="DD551" t="s">
        <v>135</v>
      </c>
      <c r="DG551">
        <v>2583630</v>
      </c>
      <c r="DI551">
        <v>0</v>
      </c>
      <c r="DJ551">
        <v>0</v>
      </c>
      <c r="DK551">
        <v>1</v>
      </c>
      <c r="DL551">
        <v>0</v>
      </c>
      <c r="DM551">
        <v>0</v>
      </c>
      <c r="DN551">
        <v>0</v>
      </c>
      <c r="DO551">
        <v>0</v>
      </c>
      <c r="DP551">
        <v>0</v>
      </c>
      <c r="DQ551">
        <v>0</v>
      </c>
      <c r="DR551">
        <v>0</v>
      </c>
      <c r="DS551">
        <v>0</v>
      </c>
    </row>
    <row r="552" spans="1:123" x14ac:dyDescent="0.25">
      <c r="A552" t="str">
        <f>"04/17/2026 15:39:54.290"</f>
        <v>04/17/2026 15:39:54.290</v>
      </c>
      <c r="C552" t="str">
        <f t="shared" si="44"/>
        <v>FFDFD3C0</v>
      </c>
      <c r="D552" t="s">
        <v>136</v>
      </c>
      <c r="E552" t="str">
        <f>"0F"</f>
        <v>0F</v>
      </c>
      <c r="F552">
        <v>1015</v>
      </c>
      <c r="G552" t="s">
        <v>138</v>
      </c>
      <c r="J552" t="s">
        <v>137</v>
      </c>
      <c r="K552">
        <v>0</v>
      </c>
      <c r="L552">
        <v>3</v>
      </c>
      <c r="M552">
        <v>0</v>
      </c>
      <c r="N552">
        <v>2</v>
      </c>
      <c r="O552">
        <v>1</v>
      </c>
      <c r="P552">
        <v>0</v>
      </c>
      <c r="Q552">
        <v>0</v>
      </c>
      <c r="R552" t="s">
        <v>127</v>
      </c>
      <c r="S552" t="str">
        <f>"15:39:53.992"</f>
        <v>15:39:53.992</v>
      </c>
      <c r="T552" t="str">
        <f>"15:39:53.792"</f>
        <v>15:39:53.792</v>
      </c>
      <c r="U552" t="str">
        <f t="shared" si="45"/>
        <v>A55E09</v>
      </c>
      <c r="V552">
        <v>0</v>
      </c>
      <c r="W552">
        <v>0</v>
      </c>
      <c r="X552">
        <v>2</v>
      </c>
      <c r="Y552">
        <v>0</v>
      </c>
      <c r="AA552">
        <v>0</v>
      </c>
      <c r="AB552">
        <v>9</v>
      </c>
      <c r="AC552">
        <v>3</v>
      </c>
      <c r="AD552">
        <v>0</v>
      </c>
      <c r="AE552">
        <v>9</v>
      </c>
      <c r="AF552" t="s">
        <v>128</v>
      </c>
      <c r="AG552">
        <v>0</v>
      </c>
      <c r="AH552">
        <v>0</v>
      </c>
      <c r="AI552">
        <v>1</v>
      </c>
      <c r="AJ552">
        <v>0</v>
      </c>
      <c r="AK552" t="s">
        <v>392</v>
      </c>
      <c r="AL552">
        <v>33.710518</v>
      </c>
      <c r="AM552" t="s">
        <v>393</v>
      </c>
      <c r="AN552">
        <v>-101.209896</v>
      </c>
      <c r="AO552">
        <v>100</v>
      </c>
      <c r="AP552">
        <v>3200</v>
      </c>
      <c r="AQ552" t="s">
        <v>131</v>
      </c>
      <c r="AR552">
        <v>12</v>
      </c>
      <c r="AS552">
        <v>90</v>
      </c>
      <c r="AT552">
        <v>-192</v>
      </c>
      <c r="BB552" t="str">
        <f t="shared" si="46"/>
        <v>1200</v>
      </c>
      <c r="BC552">
        <v>1</v>
      </c>
      <c r="BD552" t="str">
        <f t="shared" si="47"/>
        <v xml:space="preserve">N445JS  </v>
      </c>
      <c r="BE552">
        <v>7</v>
      </c>
      <c r="BG552">
        <v>0</v>
      </c>
      <c r="BH552">
        <v>0</v>
      </c>
      <c r="BI552">
        <v>0</v>
      </c>
      <c r="BJ552">
        <v>2950</v>
      </c>
      <c r="BK552">
        <v>-250</v>
      </c>
      <c r="BL552" t="s">
        <v>132</v>
      </c>
      <c r="BM552">
        <v>1</v>
      </c>
      <c r="BN552">
        <v>1</v>
      </c>
      <c r="BO552">
        <v>1</v>
      </c>
      <c r="BP552">
        <v>0</v>
      </c>
      <c r="BT552">
        <v>0</v>
      </c>
      <c r="BU552">
        <v>0</v>
      </c>
      <c r="CE552" t="str">
        <f>"15:39:53.999"</f>
        <v>15:39:53.999</v>
      </c>
      <c r="CF552">
        <v>999184747</v>
      </c>
      <c r="CS552">
        <v>0</v>
      </c>
      <c r="CT552">
        <v>2</v>
      </c>
      <c r="CU552">
        <v>0</v>
      </c>
      <c r="CV552">
        <v>2</v>
      </c>
      <c r="CW552">
        <v>0</v>
      </c>
      <c r="CX552">
        <v>6</v>
      </c>
      <c r="CY552">
        <v>7</v>
      </c>
      <c r="CZ552" t="s">
        <v>133</v>
      </c>
      <c r="DA552">
        <v>125</v>
      </c>
      <c r="DB552">
        <v>1</v>
      </c>
      <c r="DC552" t="s">
        <v>134</v>
      </c>
      <c r="DD552" t="s">
        <v>135</v>
      </c>
      <c r="DG552">
        <v>2583630</v>
      </c>
      <c r="DI552">
        <v>0</v>
      </c>
      <c r="DJ552">
        <v>0</v>
      </c>
      <c r="DK552">
        <v>1</v>
      </c>
      <c r="DL552">
        <v>0</v>
      </c>
      <c r="DM552">
        <v>0</v>
      </c>
      <c r="DN552">
        <v>0</v>
      </c>
      <c r="DO552">
        <v>0</v>
      </c>
      <c r="DP552">
        <v>0</v>
      </c>
      <c r="DQ552">
        <v>0</v>
      </c>
      <c r="DR552">
        <v>0</v>
      </c>
      <c r="DS552">
        <v>0</v>
      </c>
    </row>
    <row r="553" spans="1:123" x14ac:dyDescent="0.25">
      <c r="A553" t="str">
        <f>"04/17/2026 15:39:54.304"</f>
        <v>04/17/2026 15:39:54.304</v>
      </c>
      <c r="C553" t="str">
        <f t="shared" si="44"/>
        <v>FFDFD3C0</v>
      </c>
      <c r="D553" t="s">
        <v>124</v>
      </c>
      <c r="E553" t="str">
        <f>"03"</f>
        <v>03</v>
      </c>
      <c r="H553">
        <v>160</v>
      </c>
      <c r="I553" t="s">
        <v>125</v>
      </c>
      <c r="J553" t="s">
        <v>126</v>
      </c>
      <c r="K553">
        <v>0</v>
      </c>
      <c r="L553">
        <v>3</v>
      </c>
      <c r="M553">
        <v>0</v>
      </c>
      <c r="N553">
        <v>2</v>
      </c>
      <c r="O553">
        <v>1</v>
      </c>
      <c r="P553">
        <v>0</v>
      </c>
      <c r="Q553">
        <v>0</v>
      </c>
      <c r="R553" t="s">
        <v>127</v>
      </c>
      <c r="S553" t="str">
        <f>"15:39:53.992"</f>
        <v>15:39:53.992</v>
      </c>
      <c r="T553" t="str">
        <f>"15:39:53.792"</f>
        <v>15:39:53.792</v>
      </c>
      <c r="U553" t="str">
        <f t="shared" si="45"/>
        <v>A55E09</v>
      </c>
      <c r="V553">
        <v>0</v>
      </c>
      <c r="W553">
        <v>0</v>
      </c>
      <c r="X553">
        <v>2</v>
      </c>
      <c r="Y553">
        <v>0</v>
      </c>
      <c r="AA553">
        <v>0</v>
      </c>
      <c r="AB553">
        <v>9</v>
      </c>
      <c r="AC553">
        <v>3</v>
      </c>
      <c r="AD553">
        <v>0</v>
      </c>
      <c r="AE553">
        <v>9</v>
      </c>
      <c r="AF553" t="s">
        <v>128</v>
      </c>
      <c r="AG553">
        <v>0</v>
      </c>
      <c r="AH553">
        <v>0</v>
      </c>
      <c r="AI553">
        <v>1</v>
      </c>
      <c r="AJ553">
        <v>0</v>
      </c>
      <c r="AK553" t="s">
        <v>392</v>
      </c>
      <c r="AL553">
        <v>33.710518</v>
      </c>
      <c r="AM553" t="s">
        <v>393</v>
      </c>
      <c r="AN553">
        <v>-101.209896</v>
      </c>
      <c r="AO553">
        <v>100</v>
      </c>
      <c r="AP553">
        <v>3200</v>
      </c>
      <c r="AQ553" t="s">
        <v>131</v>
      </c>
      <c r="AR553">
        <v>12</v>
      </c>
      <c r="AS553">
        <v>90</v>
      </c>
      <c r="AT553">
        <v>-192</v>
      </c>
      <c r="BB553" t="str">
        <f t="shared" si="46"/>
        <v>1200</v>
      </c>
      <c r="BC553">
        <v>1</v>
      </c>
      <c r="BD553" t="str">
        <f t="shared" si="47"/>
        <v xml:space="preserve">N445JS  </v>
      </c>
      <c r="BE553">
        <v>7</v>
      </c>
      <c r="BG553">
        <v>0</v>
      </c>
      <c r="BH553">
        <v>0</v>
      </c>
      <c r="BI553">
        <v>0</v>
      </c>
      <c r="BJ553">
        <v>2950</v>
      </c>
      <c r="BK553">
        <v>-250</v>
      </c>
      <c r="BL553" t="s">
        <v>132</v>
      </c>
      <c r="BM553">
        <v>1</v>
      </c>
      <c r="BN553">
        <v>1</v>
      </c>
      <c r="BO553">
        <v>1</v>
      </c>
      <c r="BP553">
        <v>0</v>
      </c>
      <c r="BT553">
        <v>0</v>
      </c>
      <c r="BU553">
        <v>0</v>
      </c>
      <c r="CE553" t="str">
        <f>"15:39:53.999"</f>
        <v>15:39:53.999</v>
      </c>
      <c r="CF553">
        <v>999184747</v>
      </c>
      <c r="CS553">
        <v>0</v>
      </c>
      <c r="CT553">
        <v>2</v>
      </c>
      <c r="CU553">
        <v>0</v>
      </c>
      <c r="CV553">
        <v>2</v>
      </c>
      <c r="CW553">
        <v>0</v>
      </c>
      <c r="CX553">
        <v>6</v>
      </c>
      <c r="CY553">
        <v>7</v>
      </c>
      <c r="CZ553" t="s">
        <v>133</v>
      </c>
      <c r="DA553">
        <v>125</v>
      </c>
      <c r="DB553">
        <v>1</v>
      </c>
      <c r="DC553" t="s">
        <v>134</v>
      </c>
      <c r="DD553" t="s">
        <v>135</v>
      </c>
      <c r="DG553">
        <v>2583630</v>
      </c>
      <c r="DI553">
        <v>0</v>
      </c>
      <c r="DJ553">
        <v>0</v>
      </c>
      <c r="DK553">
        <v>1</v>
      </c>
      <c r="DL553">
        <v>0</v>
      </c>
      <c r="DM553">
        <v>0</v>
      </c>
      <c r="DN553">
        <v>0</v>
      </c>
      <c r="DO553">
        <v>0</v>
      </c>
      <c r="DP553">
        <v>0</v>
      </c>
      <c r="DQ553">
        <v>0</v>
      </c>
      <c r="DR553">
        <v>0</v>
      </c>
      <c r="DS553">
        <v>0</v>
      </c>
    </row>
    <row r="554" spans="1:123" x14ac:dyDescent="0.25">
      <c r="A554" t="str">
        <f>"04/17/2026 15:39:55.139"</f>
        <v>04/17/2026 15:39:55.139</v>
      </c>
      <c r="C554" t="str">
        <f t="shared" si="44"/>
        <v>FFDFD3C0</v>
      </c>
      <c r="D554" t="s">
        <v>139</v>
      </c>
      <c r="E554" t="str">
        <f>"28"</f>
        <v>28</v>
      </c>
      <c r="H554">
        <v>140</v>
      </c>
      <c r="I554" t="s">
        <v>140</v>
      </c>
      <c r="J554" t="s">
        <v>141</v>
      </c>
      <c r="K554">
        <v>0</v>
      </c>
      <c r="L554">
        <v>3</v>
      </c>
      <c r="M554">
        <v>0</v>
      </c>
      <c r="N554">
        <v>2</v>
      </c>
      <c r="O554">
        <v>1</v>
      </c>
      <c r="P554">
        <v>0</v>
      </c>
      <c r="Q554">
        <v>0</v>
      </c>
      <c r="R554" t="s">
        <v>127</v>
      </c>
      <c r="S554" t="str">
        <f>"15:39:54.867"</f>
        <v>15:39:54.867</v>
      </c>
      <c r="T554" t="str">
        <f>"15:39:54.767"</f>
        <v>15:39:54.767</v>
      </c>
      <c r="U554" t="str">
        <f t="shared" si="45"/>
        <v>A55E09</v>
      </c>
      <c r="V554">
        <v>0</v>
      </c>
      <c r="W554">
        <v>0</v>
      </c>
      <c r="X554">
        <v>2</v>
      </c>
      <c r="Y554">
        <v>0</v>
      </c>
      <c r="AA554">
        <v>0</v>
      </c>
      <c r="AB554">
        <v>9</v>
      </c>
      <c r="AC554">
        <v>3</v>
      </c>
      <c r="AD554">
        <v>0</v>
      </c>
      <c r="AE554">
        <v>9</v>
      </c>
      <c r="AF554" t="s">
        <v>128</v>
      </c>
      <c r="AG554">
        <v>0</v>
      </c>
      <c r="AH554">
        <v>0</v>
      </c>
      <c r="AI554">
        <v>1</v>
      </c>
      <c r="AJ554">
        <v>0</v>
      </c>
      <c r="AK554" t="s">
        <v>394</v>
      </c>
      <c r="AL554">
        <v>33.710903999999999</v>
      </c>
      <c r="AM554" t="s">
        <v>395</v>
      </c>
      <c r="AN554">
        <v>-101.20983099999999</v>
      </c>
      <c r="AO554">
        <v>100</v>
      </c>
      <c r="AP554">
        <v>3200</v>
      </c>
      <c r="AQ554" t="s">
        <v>131</v>
      </c>
      <c r="AR554">
        <v>14</v>
      </c>
      <c r="AS554">
        <v>90</v>
      </c>
      <c r="AT554">
        <v>-320</v>
      </c>
      <c r="BB554" t="str">
        <f t="shared" si="46"/>
        <v>1200</v>
      </c>
      <c r="BC554">
        <v>1</v>
      </c>
      <c r="BD554" t="str">
        <f t="shared" si="47"/>
        <v xml:space="preserve">N445JS  </v>
      </c>
      <c r="BE554">
        <v>7</v>
      </c>
      <c r="BG554">
        <v>0</v>
      </c>
      <c r="BH554">
        <v>0</v>
      </c>
      <c r="BI554">
        <v>0</v>
      </c>
      <c r="BJ554">
        <v>2950</v>
      </c>
      <c r="BK554">
        <v>-250</v>
      </c>
      <c r="BL554" t="s">
        <v>132</v>
      </c>
      <c r="BM554">
        <v>1</v>
      </c>
      <c r="BN554">
        <v>1</v>
      </c>
      <c r="BO554">
        <v>1</v>
      </c>
      <c r="BP554">
        <v>0</v>
      </c>
      <c r="BT554">
        <v>0</v>
      </c>
      <c r="BU554">
        <v>0</v>
      </c>
      <c r="CE554" t="str">
        <f>"15:39:54.869"</f>
        <v>15:39:54.869</v>
      </c>
      <c r="CF554">
        <v>869099537</v>
      </c>
      <c r="CS554">
        <v>0</v>
      </c>
      <c r="CT554">
        <v>2</v>
      </c>
      <c r="CU554">
        <v>0</v>
      </c>
      <c r="CV554">
        <v>2</v>
      </c>
      <c r="CW554">
        <v>0</v>
      </c>
      <c r="CX554">
        <v>6</v>
      </c>
      <c r="CY554">
        <v>7</v>
      </c>
      <c r="CZ554" t="s">
        <v>133</v>
      </c>
      <c r="DA554">
        <v>125</v>
      </c>
      <c r="DB554">
        <v>1</v>
      </c>
      <c r="DC554" t="s">
        <v>134</v>
      </c>
      <c r="DD554" t="s">
        <v>135</v>
      </c>
      <c r="DG554">
        <v>2584457</v>
      </c>
      <c r="DI554">
        <v>0</v>
      </c>
      <c r="DJ554">
        <v>0</v>
      </c>
      <c r="DK554">
        <v>0</v>
      </c>
      <c r="DL554">
        <v>0</v>
      </c>
      <c r="DM554">
        <v>0</v>
      </c>
      <c r="DN554">
        <v>0</v>
      </c>
      <c r="DO554">
        <v>0</v>
      </c>
      <c r="DP554">
        <v>0</v>
      </c>
      <c r="DQ554">
        <v>0</v>
      </c>
      <c r="DR554">
        <v>0</v>
      </c>
      <c r="DS554">
        <v>0</v>
      </c>
    </row>
    <row r="555" spans="1:123" x14ac:dyDescent="0.25">
      <c r="A555" t="str">
        <f>"04/17/2026 15:39:55.141"</f>
        <v>04/17/2026 15:39:55.141</v>
      </c>
      <c r="C555" t="str">
        <f t="shared" si="44"/>
        <v>FFDFD3C0</v>
      </c>
      <c r="D555" t="s">
        <v>136</v>
      </c>
      <c r="E555" t="str">
        <f>"0F"</f>
        <v>0F</v>
      </c>
      <c r="F555">
        <v>1015</v>
      </c>
      <c r="G555" t="s">
        <v>138</v>
      </c>
      <c r="J555" t="s">
        <v>137</v>
      </c>
      <c r="K555">
        <v>0</v>
      </c>
      <c r="L555">
        <v>3</v>
      </c>
      <c r="M555">
        <v>0</v>
      </c>
      <c r="N555">
        <v>2</v>
      </c>
      <c r="O555">
        <v>1</v>
      </c>
      <c r="P555">
        <v>0</v>
      </c>
      <c r="Q555">
        <v>0</v>
      </c>
      <c r="R555" t="s">
        <v>127</v>
      </c>
      <c r="S555" t="str">
        <f>"15:39:54.867"</f>
        <v>15:39:54.867</v>
      </c>
      <c r="T555" t="str">
        <f>"15:39:54.767"</f>
        <v>15:39:54.767</v>
      </c>
      <c r="U555" t="str">
        <f t="shared" si="45"/>
        <v>A55E09</v>
      </c>
      <c r="V555">
        <v>0</v>
      </c>
      <c r="W555">
        <v>0</v>
      </c>
      <c r="X555">
        <v>2</v>
      </c>
      <c r="Y555">
        <v>0</v>
      </c>
      <c r="AA555">
        <v>0</v>
      </c>
      <c r="AB555">
        <v>9</v>
      </c>
      <c r="AC555">
        <v>3</v>
      </c>
      <c r="AD555">
        <v>0</v>
      </c>
      <c r="AE555">
        <v>9</v>
      </c>
      <c r="AF555" t="s">
        <v>128</v>
      </c>
      <c r="AG555">
        <v>0</v>
      </c>
      <c r="AH555">
        <v>0</v>
      </c>
      <c r="AI555">
        <v>1</v>
      </c>
      <c r="AJ555">
        <v>0</v>
      </c>
      <c r="AK555" t="s">
        <v>394</v>
      </c>
      <c r="AL555">
        <v>33.710903999999999</v>
      </c>
      <c r="AM555" t="s">
        <v>395</v>
      </c>
      <c r="AN555">
        <v>-101.20983099999999</v>
      </c>
      <c r="AO555">
        <v>100</v>
      </c>
      <c r="AP555">
        <v>3200</v>
      </c>
      <c r="AQ555" t="s">
        <v>131</v>
      </c>
      <c r="AR555">
        <v>14</v>
      </c>
      <c r="AS555">
        <v>90</v>
      </c>
      <c r="AT555">
        <v>-320</v>
      </c>
      <c r="BB555" t="str">
        <f t="shared" si="46"/>
        <v>1200</v>
      </c>
      <c r="BC555">
        <v>1</v>
      </c>
      <c r="BD555" t="str">
        <f t="shared" si="47"/>
        <v xml:space="preserve">N445JS  </v>
      </c>
      <c r="BE555">
        <v>7</v>
      </c>
      <c r="BG555">
        <v>0</v>
      </c>
      <c r="BH555">
        <v>0</v>
      </c>
      <c r="BI555">
        <v>0</v>
      </c>
      <c r="BJ555">
        <v>2950</v>
      </c>
      <c r="BK555">
        <v>-250</v>
      </c>
      <c r="BL555" t="s">
        <v>132</v>
      </c>
      <c r="BM555">
        <v>1</v>
      </c>
      <c r="BN555">
        <v>1</v>
      </c>
      <c r="BO555">
        <v>1</v>
      </c>
      <c r="BP555">
        <v>0</v>
      </c>
      <c r="BT555">
        <v>0</v>
      </c>
      <c r="BU555">
        <v>0</v>
      </c>
      <c r="CE555" t="str">
        <f>"15:39:54.869"</f>
        <v>15:39:54.869</v>
      </c>
      <c r="CF555">
        <v>869099537</v>
      </c>
      <c r="CS555">
        <v>0</v>
      </c>
      <c r="CT555">
        <v>2</v>
      </c>
      <c r="CU555">
        <v>0</v>
      </c>
      <c r="CV555">
        <v>2</v>
      </c>
      <c r="CW555">
        <v>0</v>
      </c>
      <c r="CX555">
        <v>6</v>
      </c>
      <c r="CY555">
        <v>7</v>
      </c>
      <c r="CZ555" t="s">
        <v>133</v>
      </c>
      <c r="DA555">
        <v>125</v>
      </c>
      <c r="DB555">
        <v>1</v>
      </c>
      <c r="DC555" t="s">
        <v>134</v>
      </c>
      <c r="DD555" t="s">
        <v>135</v>
      </c>
      <c r="DG555">
        <v>2584457</v>
      </c>
      <c r="DI555">
        <v>0</v>
      </c>
      <c r="DJ555">
        <v>0</v>
      </c>
      <c r="DK555">
        <v>1</v>
      </c>
      <c r="DL555">
        <v>0</v>
      </c>
      <c r="DM555">
        <v>0</v>
      </c>
      <c r="DN555">
        <v>0</v>
      </c>
      <c r="DO555">
        <v>0</v>
      </c>
      <c r="DP555">
        <v>0</v>
      </c>
      <c r="DQ555">
        <v>0</v>
      </c>
      <c r="DR555">
        <v>0</v>
      </c>
      <c r="DS555">
        <v>0</v>
      </c>
    </row>
    <row r="556" spans="1:123" x14ac:dyDescent="0.25">
      <c r="A556" t="str">
        <f>"04/17/2026 15:39:55.155"</f>
        <v>04/17/2026 15:39:55.155</v>
      </c>
      <c r="C556" t="str">
        <f t="shared" si="44"/>
        <v>FFDFD3C0</v>
      </c>
      <c r="D556" t="s">
        <v>124</v>
      </c>
      <c r="E556" t="str">
        <f>"03"</f>
        <v>03</v>
      </c>
      <c r="H556">
        <v>160</v>
      </c>
      <c r="I556" t="s">
        <v>125</v>
      </c>
      <c r="J556" t="s">
        <v>126</v>
      </c>
      <c r="K556">
        <v>0</v>
      </c>
      <c r="L556">
        <v>3</v>
      </c>
      <c r="M556">
        <v>0</v>
      </c>
      <c r="N556">
        <v>2</v>
      </c>
      <c r="O556">
        <v>1</v>
      </c>
      <c r="P556">
        <v>0</v>
      </c>
      <c r="Q556">
        <v>0</v>
      </c>
      <c r="R556" t="s">
        <v>127</v>
      </c>
      <c r="S556" t="str">
        <f>"15:39:54.867"</f>
        <v>15:39:54.867</v>
      </c>
      <c r="T556" t="str">
        <f>"15:39:54.767"</f>
        <v>15:39:54.767</v>
      </c>
      <c r="U556" t="str">
        <f t="shared" si="45"/>
        <v>A55E09</v>
      </c>
      <c r="V556">
        <v>0</v>
      </c>
      <c r="W556">
        <v>0</v>
      </c>
      <c r="X556">
        <v>2</v>
      </c>
      <c r="Y556">
        <v>0</v>
      </c>
      <c r="AA556">
        <v>0</v>
      </c>
      <c r="AB556">
        <v>9</v>
      </c>
      <c r="AC556">
        <v>3</v>
      </c>
      <c r="AD556">
        <v>0</v>
      </c>
      <c r="AE556">
        <v>9</v>
      </c>
      <c r="AF556" t="s">
        <v>128</v>
      </c>
      <c r="AG556">
        <v>0</v>
      </c>
      <c r="AH556">
        <v>0</v>
      </c>
      <c r="AI556">
        <v>1</v>
      </c>
      <c r="AJ556">
        <v>0</v>
      </c>
      <c r="AK556" t="s">
        <v>394</v>
      </c>
      <c r="AL556">
        <v>33.710903999999999</v>
      </c>
      <c r="AM556" t="s">
        <v>395</v>
      </c>
      <c r="AN556">
        <v>-101.20983099999999</v>
      </c>
      <c r="AO556">
        <v>100</v>
      </c>
      <c r="AP556">
        <v>3200</v>
      </c>
      <c r="AQ556" t="s">
        <v>131</v>
      </c>
      <c r="AR556">
        <v>14</v>
      </c>
      <c r="AS556">
        <v>90</v>
      </c>
      <c r="AT556">
        <v>-320</v>
      </c>
      <c r="BB556" t="str">
        <f t="shared" si="46"/>
        <v>1200</v>
      </c>
      <c r="BC556">
        <v>1</v>
      </c>
      <c r="BD556" t="str">
        <f t="shared" si="47"/>
        <v xml:space="preserve">N445JS  </v>
      </c>
      <c r="BE556">
        <v>7</v>
      </c>
      <c r="BG556">
        <v>0</v>
      </c>
      <c r="BH556">
        <v>0</v>
      </c>
      <c r="BI556">
        <v>0</v>
      </c>
      <c r="BJ556">
        <v>2950</v>
      </c>
      <c r="BK556">
        <v>-250</v>
      </c>
      <c r="BL556" t="s">
        <v>132</v>
      </c>
      <c r="BM556">
        <v>1</v>
      </c>
      <c r="BN556">
        <v>1</v>
      </c>
      <c r="BO556">
        <v>1</v>
      </c>
      <c r="BP556">
        <v>0</v>
      </c>
      <c r="BT556">
        <v>0</v>
      </c>
      <c r="BU556">
        <v>0</v>
      </c>
      <c r="CE556" t="str">
        <f>"15:39:54.869"</f>
        <v>15:39:54.869</v>
      </c>
      <c r="CF556">
        <v>869099537</v>
      </c>
      <c r="CS556">
        <v>0</v>
      </c>
      <c r="CT556">
        <v>2</v>
      </c>
      <c r="CU556">
        <v>0</v>
      </c>
      <c r="CV556">
        <v>2</v>
      </c>
      <c r="CW556">
        <v>0</v>
      </c>
      <c r="CX556">
        <v>6</v>
      </c>
      <c r="CY556">
        <v>7</v>
      </c>
      <c r="CZ556" t="s">
        <v>133</v>
      </c>
      <c r="DA556">
        <v>125</v>
      </c>
      <c r="DB556">
        <v>1</v>
      </c>
      <c r="DC556" t="s">
        <v>134</v>
      </c>
      <c r="DD556" t="s">
        <v>135</v>
      </c>
      <c r="DG556">
        <v>2584457</v>
      </c>
      <c r="DI556">
        <v>0</v>
      </c>
      <c r="DJ556">
        <v>0</v>
      </c>
      <c r="DK556">
        <v>1</v>
      </c>
      <c r="DL556">
        <v>0</v>
      </c>
      <c r="DM556">
        <v>0</v>
      </c>
      <c r="DN556">
        <v>0</v>
      </c>
      <c r="DO556">
        <v>0</v>
      </c>
      <c r="DP556">
        <v>0</v>
      </c>
      <c r="DQ556">
        <v>0</v>
      </c>
      <c r="DR556">
        <v>0</v>
      </c>
      <c r="DS556">
        <v>0</v>
      </c>
    </row>
    <row r="557" spans="1:123" x14ac:dyDescent="0.25">
      <c r="A557" t="str">
        <f>"04/17/2026 15:39:55.175"</f>
        <v>04/17/2026 15:39:55.175</v>
      </c>
      <c r="C557" t="str">
        <f t="shared" si="44"/>
        <v>FFDFD3C0</v>
      </c>
      <c r="D557" t="s">
        <v>136</v>
      </c>
      <c r="E557" t="str">
        <f>"0E"</f>
        <v>0E</v>
      </c>
      <c r="F557">
        <v>1014</v>
      </c>
      <c r="G557" t="s">
        <v>125</v>
      </c>
      <c r="J557" t="s">
        <v>137</v>
      </c>
      <c r="K557">
        <v>0</v>
      </c>
      <c r="L557">
        <v>3</v>
      </c>
      <c r="M557">
        <v>0</v>
      </c>
      <c r="N557">
        <v>2</v>
      </c>
      <c r="O557">
        <v>1</v>
      </c>
      <c r="P557">
        <v>0</v>
      </c>
      <c r="Q557">
        <v>0</v>
      </c>
      <c r="R557" t="s">
        <v>127</v>
      </c>
      <c r="S557" t="str">
        <f>"15:39:54.867"</f>
        <v>15:39:54.867</v>
      </c>
      <c r="T557" t="str">
        <f>"15:39:54.767"</f>
        <v>15:39:54.767</v>
      </c>
      <c r="U557" t="str">
        <f t="shared" si="45"/>
        <v>A55E09</v>
      </c>
      <c r="V557">
        <v>0</v>
      </c>
      <c r="W557">
        <v>0</v>
      </c>
      <c r="X557">
        <v>2</v>
      </c>
      <c r="Y557">
        <v>0</v>
      </c>
      <c r="AA557">
        <v>0</v>
      </c>
      <c r="AB557">
        <v>9</v>
      </c>
      <c r="AC557">
        <v>3</v>
      </c>
      <c r="AD557">
        <v>0</v>
      </c>
      <c r="AE557">
        <v>9</v>
      </c>
      <c r="AF557" t="s">
        <v>128</v>
      </c>
      <c r="AG557">
        <v>0</v>
      </c>
      <c r="AH557">
        <v>0</v>
      </c>
      <c r="AI557">
        <v>1</v>
      </c>
      <c r="AJ557">
        <v>0</v>
      </c>
      <c r="AK557" t="s">
        <v>394</v>
      </c>
      <c r="AL557">
        <v>33.710903999999999</v>
      </c>
      <c r="AM557" t="s">
        <v>395</v>
      </c>
      <c r="AN557">
        <v>-101.20983099999999</v>
      </c>
      <c r="AO557">
        <v>100</v>
      </c>
      <c r="AP557">
        <v>3200</v>
      </c>
      <c r="AQ557" t="s">
        <v>131</v>
      </c>
      <c r="AR557">
        <v>14</v>
      </c>
      <c r="AS557">
        <v>90</v>
      </c>
      <c r="AT557">
        <v>-320</v>
      </c>
      <c r="BB557" t="str">
        <f t="shared" si="46"/>
        <v>1200</v>
      </c>
      <c r="BC557">
        <v>1</v>
      </c>
      <c r="BD557" t="str">
        <f t="shared" si="47"/>
        <v xml:space="preserve">N445JS  </v>
      </c>
      <c r="BE557">
        <v>7</v>
      </c>
      <c r="BG557">
        <v>0</v>
      </c>
      <c r="BH557">
        <v>0</v>
      </c>
      <c r="BI557">
        <v>0</v>
      </c>
      <c r="BJ557">
        <v>2950</v>
      </c>
      <c r="BK557">
        <v>-250</v>
      </c>
      <c r="BL557" t="s">
        <v>132</v>
      </c>
      <c r="BM557">
        <v>1</v>
      </c>
      <c r="BN557">
        <v>1</v>
      </c>
      <c r="BO557">
        <v>1</v>
      </c>
      <c r="BP557">
        <v>0</v>
      </c>
      <c r="BT557">
        <v>0</v>
      </c>
      <c r="BU557">
        <v>0</v>
      </c>
      <c r="CE557" t="str">
        <f>"15:39:54.869"</f>
        <v>15:39:54.869</v>
      </c>
      <c r="CF557">
        <v>869099537</v>
      </c>
      <c r="CS557">
        <v>0</v>
      </c>
      <c r="CT557">
        <v>2</v>
      </c>
      <c r="CU557">
        <v>0</v>
      </c>
      <c r="CV557">
        <v>2</v>
      </c>
      <c r="CW557">
        <v>0</v>
      </c>
      <c r="CX557">
        <v>6</v>
      </c>
      <c r="CY557">
        <v>7</v>
      </c>
      <c r="CZ557" t="s">
        <v>133</v>
      </c>
      <c r="DA557">
        <v>125</v>
      </c>
      <c r="DB557">
        <v>1</v>
      </c>
      <c r="DC557" t="s">
        <v>134</v>
      </c>
      <c r="DD557" t="s">
        <v>135</v>
      </c>
      <c r="DG557">
        <v>2584457</v>
      </c>
      <c r="DI557">
        <v>0</v>
      </c>
      <c r="DJ557">
        <v>0</v>
      </c>
      <c r="DK557">
        <v>1</v>
      </c>
      <c r="DL557">
        <v>0</v>
      </c>
      <c r="DM557">
        <v>0</v>
      </c>
      <c r="DN557">
        <v>0</v>
      </c>
      <c r="DO557">
        <v>0</v>
      </c>
      <c r="DP557">
        <v>0</v>
      </c>
      <c r="DQ557">
        <v>0</v>
      </c>
      <c r="DR557">
        <v>0</v>
      </c>
      <c r="DS557">
        <v>0</v>
      </c>
    </row>
    <row r="558" spans="1:123" x14ac:dyDescent="0.25">
      <c r="A558" t="str">
        <f>"04/17/2026 15:39:56.141"</f>
        <v>04/17/2026 15:39:56.141</v>
      </c>
      <c r="C558" t="str">
        <f t="shared" si="44"/>
        <v>FFDFD3C0</v>
      </c>
      <c r="D558" t="s">
        <v>139</v>
      </c>
      <c r="E558" t="str">
        <f>"28"</f>
        <v>28</v>
      </c>
      <c r="H558">
        <v>140</v>
      </c>
      <c r="I558" t="s">
        <v>140</v>
      </c>
      <c r="J558" t="s">
        <v>141</v>
      </c>
      <c r="K558">
        <v>0</v>
      </c>
      <c r="L558">
        <v>3</v>
      </c>
      <c r="M558">
        <v>0</v>
      </c>
      <c r="N558">
        <v>2</v>
      </c>
      <c r="O558">
        <v>1</v>
      </c>
      <c r="P558">
        <v>0</v>
      </c>
      <c r="Q558">
        <v>0</v>
      </c>
      <c r="R558" t="s">
        <v>127</v>
      </c>
      <c r="S558" t="str">
        <f>"15:39:55.898"</f>
        <v>15:39:55.898</v>
      </c>
      <c r="T558" t="str">
        <f>"15:39:55.698"</f>
        <v>15:39:55.698</v>
      </c>
      <c r="U558" t="str">
        <f t="shared" si="45"/>
        <v>A55E09</v>
      </c>
      <c r="V558">
        <v>0</v>
      </c>
      <c r="W558">
        <v>0</v>
      </c>
      <c r="X558">
        <v>2</v>
      </c>
      <c r="Y558">
        <v>0</v>
      </c>
      <c r="AA558">
        <v>0</v>
      </c>
      <c r="AB558">
        <v>9</v>
      </c>
      <c r="AC558">
        <v>3</v>
      </c>
      <c r="AD558">
        <v>0</v>
      </c>
      <c r="AE558">
        <v>9</v>
      </c>
      <c r="AF558" t="s">
        <v>128</v>
      </c>
      <c r="AG558">
        <v>0</v>
      </c>
      <c r="AH558">
        <v>0</v>
      </c>
      <c r="AI558">
        <v>1</v>
      </c>
      <c r="AJ558">
        <v>0</v>
      </c>
      <c r="AK558" t="s">
        <v>396</v>
      </c>
      <c r="AL558">
        <v>33.711312</v>
      </c>
      <c r="AM558" t="s">
        <v>339</v>
      </c>
      <c r="AN558">
        <v>-101.20970199999999</v>
      </c>
      <c r="AO558">
        <v>100</v>
      </c>
      <c r="AP558">
        <v>3200</v>
      </c>
      <c r="AQ558" t="s">
        <v>131</v>
      </c>
      <c r="AR558">
        <v>14</v>
      </c>
      <c r="AS558">
        <v>90</v>
      </c>
      <c r="AT558">
        <v>-448</v>
      </c>
      <c r="BB558" t="str">
        <f t="shared" si="46"/>
        <v>1200</v>
      </c>
      <c r="BC558">
        <v>1</v>
      </c>
      <c r="BD558" t="str">
        <f t="shared" si="47"/>
        <v xml:space="preserve">N445JS  </v>
      </c>
      <c r="BE558">
        <v>7</v>
      </c>
      <c r="BG558">
        <v>0</v>
      </c>
      <c r="BH558">
        <v>0</v>
      </c>
      <c r="BI558">
        <v>0</v>
      </c>
      <c r="BJ558">
        <v>2925</v>
      </c>
      <c r="BK558">
        <v>-275</v>
      </c>
      <c r="BL558" t="s">
        <v>132</v>
      </c>
      <c r="BM558">
        <v>1</v>
      </c>
      <c r="BN558">
        <v>1</v>
      </c>
      <c r="BO558">
        <v>1</v>
      </c>
      <c r="BP558">
        <v>0</v>
      </c>
      <c r="BT558">
        <v>0</v>
      </c>
      <c r="BU558">
        <v>0</v>
      </c>
      <c r="CE558" t="str">
        <f>"15:39:55.904"</f>
        <v>15:39:55.904</v>
      </c>
      <c r="CF558">
        <v>903998178</v>
      </c>
      <c r="CS558">
        <v>0</v>
      </c>
      <c r="CT558">
        <v>2</v>
      </c>
      <c r="CU558">
        <v>0</v>
      </c>
      <c r="CV558">
        <v>2</v>
      </c>
      <c r="CW558">
        <v>0</v>
      </c>
      <c r="CX558">
        <v>6</v>
      </c>
      <c r="CY558">
        <v>7</v>
      </c>
      <c r="CZ558" t="s">
        <v>133</v>
      </c>
      <c r="DA558">
        <v>125</v>
      </c>
      <c r="DB558">
        <v>1</v>
      </c>
      <c r="DC558" t="s">
        <v>134</v>
      </c>
      <c r="DD558" t="s">
        <v>135</v>
      </c>
      <c r="DG558">
        <v>2585503</v>
      </c>
      <c r="DI558">
        <v>0</v>
      </c>
      <c r="DJ558">
        <v>0</v>
      </c>
      <c r="DK558">
        <v>0</v>
      </c>
      <c r="DL558">
        <v>0</v>
      </c>
      <c r="DM558">
        <v>0</v>
      </c>
      <c r="DN558">
        <v>0</v>
      </c>
      <c r="DO558">
        <v>0</v>
      </c>
      <c r="DP558">
        <v>0</v>
      </c>
      <c r="DQ558">
        <v>0</v>
      </c>
      <c r="DR558">
        <v>0</v>
      </c>
      <c r="DS558">
        <v>0</v>
      </c>
    </row>
    <row r="559" spans="1:123" x14ac:dyDescent="0.25">
      <c r="A559" t="str">
        <f>"04/17/2026 15:39:56.143"</f>
        <v>04/17/2026 15:39:56.143</v>
      </c>
      <c r="C559" t="str">
        <f t="shared" si="44"/>
        <v>FFDFD3C0</v>
      </c>
      <c r="D559" t="s">
        <v>136</v>
      </c>
      <c r="E559" t="str">
        <f>"0F"</f>
        <v>0F</v>
      </c>
      <c r="F559">
        <v>1015</v>
      </c>
      <c r="G559" t="s">
        <v>138</v>
      </c>
      <c r="J559" t="s">
        <v>137</v>
      </c>
      <c r="K559">
        <v>0</v>
      </c>
      <c r="L559">
        <v>3</v>
      </c>
      <c r="M559">
        <v>0</v>
      </c>
      <c r="N559">
        <v>2</v>
      </c>
      <c r="O559">
        <v>1</v>
      </c>
      <c r="P559">
        <v>0</v>
      </c>
      <c r="Q559">
        <v>0</v>
      </c>
      <c r="R559" t="s">
        <v>127</v>
      </c>
      <c r="S559" t="str">
        <f>"15:39:55.898"</f>
        <v>15:39:55.898</v>
      </c>
      <c r="T559" t="str">
        <f>"15:39:55.698"</f>
        <v>15:39:55.698</v>
      </c>
      <c r="U559" t="str">
        <f t="shared" si="45"/>
        <v>A55E09</v>
      </c>
      <c r="V559">
        <v>0</v>
      </c>
      <c r="W559">
        <v>0</v>
      </c>
      <c r="X559">
        <v>2</v>
      </c>
      <c r="Y559">
        <v>0</v>
      </c>
      <c r="AA559">
        <v>0</v>
      </c>
      <c r="AB559">
        <v>9</v>
      </c>
      <c r="AC559">
        <v>3</v>
      </c>
      <c r="AD559">
        <v>0</v>
      </c>
      <c r="AE559">
        <v>9</v>
      </c>
      <c r="AF559" t="s">
        <v>128</v>
      </c>
      <c r="AG559">
        <v>0</v>
      </c>
      <c r="AH559">
        <v>0</v>
      </c>
      <c r="AI559">
        <v>1</v>
      </c>
      <c r="AJ559">
        <v>0</v>
      </c>
      <c r="AK559" t="s">
        <v>396</v>
      </c>
      <c r="AL559">
        <v>33.711312</v>
      </c>
      <c r="AM559" t="s">
        <v>339</v>
      </c>
      <c r="AN559">
        <v>-101.20970199999999</v>
      </c>
      <c r="AO559">
        <v>100</v>
      </c>
      <c r="AP559">
        <v>3200</v>
      </c>
      <c r="AQ559" t="s">
        <v>131</v>
      </c>
      <c r="AR559">
        <v>14</v>
      </c>
      <c r="AS559">
        <v>90</v>
      </c>
      <c r="AT559">
        <v>-448</v>
      </c>
      <c r="BB559" t="str">
        <f t="shared" si="46"/>
        <v>1200</v>
      </c>
      <c r="BC559">
        <v>1</v>
      </c>
      <c r="BD559" t="str">
        <f t="shared" si="47"/>
        <v xml:space="preserve">N445JS  </v>
      </c>
      <c r="BE559">
        <v>7</v>
      </c>
      <c r="BG559">
        <v>0</v>
      </c>
      <c r="BH559">
        <v>0</v>
      </c>
      <c r="BI559">
        <v>0</v>
      </c>
      <c r="BJ559">
        <v>2925</v>
      </c>
      <c r="BK559">
        <v>-275</v>
      </c>
      <c r="BL559" t="s">
        <v>132</v>
      </c>
      <c r="BM559">
        <v>1</v>
      </c>
      <c r="BN559">
        <v>1</v>
      </c>
      <c r="BO559">
        <v>1</v>
      </c>
      <c r="BP559">
        <v>0</v>
      </c>
      <c r="BT559">
        <v>0</v>
      </c>
      <c r="BU559">
        <v>0</v>
      </c>
      <c r="CE559" t="str">
        <f>"15:39:55.904"</f>
        <v>15:39:55.904</v>
      </c>
      <c r="CF559">
        <v>903998178</v>
      </c>
      <c r="CS559">
        <v>0</v>
      </c>
      <c r="CT559">
        <v>2</v>
      </c>
      <c r="CU559">
        <v>0</v>
      </c>
      <c r="CV559">
        <v>2</v>
      </c>
      <c r="CW559">
        <v>0</v>
      </c>
      <c r="CX559">
        <v>6</v>
      </c>
      <c r="CY559">
        <v>7</v>
      </c>
      <c r="CZ559" t="s">
        <v>133</v>
      </c>
      <c r="DA559">
        <v>125</v>
      </c>
      <c r="DB559">
        <v>1</v>
      </c>
      <c r="DC559" t="s">
        <v>134</v>
      </c>
      <c r="DD559" t="s">
        <v>135</v>
      </c>
      <c r="DG559">
        <v>2585503</v>
      </c>
      <c r="DI559">
        <v>0</v>
      </c>
      <c r="DJ559">
        <v>0</v>
      </c>
      <c r="DK559">
        <v>1</v>
      </c>
      <c r="DL559">
        <v>0</v>
      </c>
      <c r="DM559">
        <v>0</v>
      </c>
      <c r="DN559">
        <v>0</v>
      </c>
      <c r="DO559">
        <v>0</v>
      </c>
      <c r="DP559">
        <v>0</v>
      </c>
      <c r="DQ559">
        <v>0</v>
      </c>
      <c r="DR559">
        <v>0</v>
      </c>
      <c r="DS559">
        <v>0</v>
      </c>
    </row>
    <row r="560" spans="1:123" x14ac:dyDescent="0.25">
      <c r="A560" t="str">
        <f>"04/17/2026 15:39:56.157"</f>
        <v>04/17/2026 15:39:56.157</v>
      </c>
      <c r="C560" t="str">
        <f t="shared" si="44"/>
        <v>FFDFD3C0</v>
      </c>
      <c r="D560" t="s">
        <v>124</v>
      </c>
      <c r="E560" t="str">
        <f>"03"</f>
        <v>03</v>
      </c>
      <c r="H560">
        <v>160</v>
      </c>
      <c r="I560" t="s">
        <v>125</v>
      </c>
      <c r="J560" t="s">
        <v>126</v>
      </c>
      <c r="K560">
        <v>0</v>
      </c>
      <c r="L560">
        <v>3</v>
      </c>
      <c r="M560">
        <v>0</v>
      </c>
      <c r="N560">
        <v>2</v>
      </c>
      <c r="O560">
        <v>1</v>
      </c>
      <c r="P560">
        <v>0</v>
      </c>
      <c r="Q560">
        <v>0</v>
      </c>
      <c r="R560" t="s">
        <v>127</v>
      </c>
      <c r="S560" t="str">
        <f>"15:39:55.898"</f>
        <v>15:39:55.898</v>
      </c>
      <c r="T560" t="str">
        <f>"15:39:55.698"</f>
        <v>15:39:55.698</v>
      </c>
      <c r="U560" t="str">
        <f t="shared" si="45"/>
        <v>A55E09</v>
      </c>
      <c r="V560">
        <v>0</v>
      </c>
      <c r="W560">
        <v>0</v>
      </c>
      <c r="X560">
        <v>2</v>
      </c>
      <c r="Y560">
        <v>0</v>
      </c>
      <c r="AA560">
        <v>0</v>
      </c>
      <c r="AB560">
        <v>9</v>
      </c>
      <c r="AC560">
        <v>3</v>
      </c>
      <c r="AD560">
        <v>0</v>
      </c>
      <c r="AE560">
        <v>9</v>
      </c>
      <c r="AF560" t="s">
        <v>128</v>
      </c>
      <c r="AG560">
        <v>0</v>
      </c>
      <c r="AH560">
        <v>0</v>
      </c>
      <c r="AI560">
        <v>1</v>
      </c>
      <c r="AJ560">
        <v>0</v>
      </c>
      <c r="AK560" t="s">
        <v>396</v>
      </c>
      <c r="AL560">
        <v>33.711312</v>
      </c>
      <c r="AM560" t="s">
        <v>339</v>
      </c>
      <c r="AN560">
        <v>-101.20970199999999</v>
      </c>
      <c r="AO560">
        <v>100</v>
      </c>
      <c r="AP560">
        <v>3200</v>
      </c>
      <c r="AQ560" t="s">
        <v>131</v>
      </c>
      <c r="AR560">
        <v>14</v>
      </c>
      <c r="AS560">
        <v>90</v>
      </c>
      <c r="AT560">
        <v>-448</v>
      </c>
      <c r="BB560" t="str">
        <f t="shared" si="46"/>
        <v>1200</v>
      </c>
      <c r="BC560">
        <v>1</v>
      </c>
      <c r="BD560" t="str">
        <f t="shared" si="47"/>
        <v xml:space="preserve">N445JS  </v>
      </c>
      <c r="BE560">
        <v>7</v>
      </c>
      <c r="BG560">
        <v>0</v>
      </c>
      <c r="BH560">
        <v>0</v>
      </c>
      <c r="BI560">
        <v>0</v>
      </c>
      <c r="BJ560">
        <v>2925</v>
      </c>
      <c r="BK560">
        <v>-275</v>
      </c>
      <c r="BL560" t="s">
        <v>132</v>
      </c>
      <c r="BM560">
        <v>1</v>
      </c>
      <c r="BN560">
        <v>1</v>
      </c>
      <c r="BO560">
        <v>1</v>
      </c>
      <c r="BP560">
        <v>0</v>
      </c>
      <c r="BT560">
        <v>0</v>
      </c>
      <c r="BU560">
        <v>0</v>
      </c>
      <c r="CE560" t="str">
        <f>"15:39:55.904"</f>
        <v>15:39:55.904</v>
      </c>
      <c r="CF560">
        <v>903998178</v>
      </c>
      <c r="CS560">
        <v>0</v>
      </c>
      <c r="CT560">
        <v>2</v>
      </c>
      <c r="CU560">
        <v>0</v>
      </c>
      <c r="CV560">
        <v>2</v>
      </c>
      <c r="CW560">
        <v>0</v>
      </c>
      <c r="CX560">
        <v>6</v>
      </c>
      <c r="CY560">
        <v>7</v>
      </c>
      <c r="CZ560" t="s">
        <v>133</v>
      </c>
      <c r="DA560">
        <v>125</v>
      </c>
      <c r="DB560">
        <v>1</v>
      </c>
      <c r="DC560" t="s">
        <v>134</v>
      </c>
      <c r="DD560" t="s">
        <v>135</v>
      </c>
      <c r="DG560">
        <v>2585503</v>
      </c>
      <c r="DI560">
        <v>0</v>
      </c>
      <c r="DJ560">
        <v>0</v>
      </c>
      <c r="DK560">
        <v>1</v>
      </c>
      <c r="DL560">
        <v>0</v>
      </c>
      <c r="DM560">
        <v>0</v>
      </c>
      <c r="DN560">
        <v>0</v>
      </c>
      <c r="DO560">
        <v>0</v>
      </c>
      <c r="DP560">
        <v>0</v>
      </c>
      <c r="DQ560">
        <v>0</v>
      </c>
      <c r="DR560">
        <v>0</v>
      </c>
      <c r="DS560">
        <v>0</v>
      </c>
    </row>
    <row r="561" spans="1:123" x14ac:dyDescent="0.25">
      <c r="A561" t="str">
        <f>"04/17/2026 15:39:56.177"</f>
        <v>04/17/2026 15:39:56.177</v>
      </c>
      <c r="C561" t="str">
        <f t="shared" si="44"/>
        <v>FFDFD3C0</v>
      </c>
      <c r="D561" t="s">
        <v>136</v>
      </c>
      <c r="E561" t="str">
        <f>"0E"</f>
        <v>0E</v>
      </c>
      <c r="F561">
        <v>1014</v>
      </c>
      <c r="G561" t="s">
        <v>125</v>
      </c>
      <c r="J561" t="s">
        <v>137</v>
      </c>
      <c r="K561">
        <v>0</v>
      </c>
      <c r="L561">
        <v>3</v>
      </c>
      <c r="M561">
        <v>0</v>
      </c>
      <c r="N561">
        <v>2</v>
      </c>
      <c r="O561">
        <v>1</v>
      </c>
      <c r="P561">
        <v>0</v>
      </c>
      <c r="Q561">
        <v>0</v>
      </c>
      <c r="R561" t="s">
        <v>127</v>
      </c>
      <c r="S561" t="str">
        <f>"15:39:55.898"</f>
        <v>15:39:55.898</v>
      </c>
      <c r="T561" t="str">
        <f>"15:39:55.698"</f>
        <v>15:39:55.698</v>
      </c>
      <c r="U561" t="str">
        <f t="shared" si="45"/>
        <v>A55E09</v>
      </c>
      <c r="V561">
        <v>0</v>
      </c>
      <c r="W561">
        <v>0</v>
      </c>
      <c r="X561">
        <v>2</v>
      </c>
      <c r="Y561">
        <v>0</v>
      </c>
      <c r="AA561">
        <v>0</v>
      </c>
      <c r="AB561">
        <v>9</v>
      </c>
      <c r="AC561">
        <v>3</v>
      </c>
      <c r="AD561">
        <v>0</v>
      </c>
      <c r="AE561">
        <v>9</v>
      </c>
      <c r="AF561" t="s">
        <v>128</v>
      </c>
      <c r="AG561">
        <v>0</v>
      </c>
      <c r="AH561">
        <v>0</v>
      </c>
      <c r="AI561">
        <v>1</v>
      </c>
      <c r="AJ561">
        <v>0</v>
      </c>
      <c r="AK561" t="s">
        <v>396</v>
      </c>
      <c r="AL561">
        <v>33.711312</v>
      </c>
      <c r="AM561" t="s">
        <v>339</v>
      </c>
      <c r="AN561">
        <v>-101.20970199999999</v>
      </c>
      <c r="AO561">
        <v>100</v>
      </c>
      <c r="AP561">
        <v>3200</v>
      </c>
      <c r="AQ561" t="s">
        <v>131</v>
      </c>
      <c r="AR561">
        <v>14</v>
      </c>
      <c r="AS561">
        <v>90</v>
      </c>
      <c r="AT561">
        <v>-448</v>
      </c>
      <c r="BB561" t="str">
        <f t="shared" si="46"/>
        <v>1200</v>
      </c>
      <c r="BC561">
        <v>1</v>
      </c>
      <c r="BD561" t="str">
        <f t="shared" si="47"/>
        <v xml:space="preserve">N445JS  </v>
      </c>
      <c r="BE561">
        <v>7</v>
      </c>
      <c r="BG561">
        <v>0</v>
      </c>
      <c r="BH561">
        <v>0</v>
      </c>
      <c r="BI561">
        <v>0</v>
      </c>
      <c r="BJ561">
        <v>2925</v>
      </c>
      <c r="BK561">
        <v>-275</v>
      </c>
      <c r="BL561" t="s">
        <v>132</v>
      </c>
      <c r="BM561">
        <v>1</v>
      </c>
      <c r="BN561">
        <v>1</v>
      </c>
      <c r="BO561">
        <v>1</v>
      </c>
      <c r="BP561">
        <v>0</v>
      </c>
      <c r="BT561">
        <v>0</v>
      </c>
      <c r="BU561">
        <v>0</v>
      </c>
      <c r="CE561" t="str">
        <f>"15:39:55.904"</f>
        <v>15:39:55.904</v>
      </c>
      <c r="CF561">
        <v>903998178</v>
      </c>
      <c r="CS561">
        <v>0</v>
      </c>
      <c r="CT561">
        <v>2</v>
      </c>
      <c r="CU561">
        <v>0</v>
      </c>
      <c r="CV561">
        <v>2</v>
      </c>
      <c r="CW561">
        <v>0</v>
      </c>
      <c r="CX561">
        <v>6</v>
      </c>
      <c r="CY561">
        <v>7</v>
      </c>
      <c r="CZ561" t="s">
        <v>133</v>
      </c>
      <c r="DA561">
        <v>125</v>
      </c>
      <c r="DB561">
        <v>1</v>
      </c>
      <c r="DC561" t="s">
        <v>134</v>
      </c>
      <c r="DD561" t="s">
        <v>135</v>
      </c>
      <c r="DG561">
        <v>2585503</v>
      </c>
      <c r="DI561">
        <v>0</v>
      </c>
      <c r="DJ561">
        <v>0</v>
      </c>
      <c r="DK561">
        <v>1</v>
      </c>
      <c r="DL561">
        <v>0</v>
      </c>
      <c r="DM561">
        <v>0</v>
      </c>
      <c r="DN561">
        <v>0</v>
      </c>
      <c r="DO561">
        <v>0</v>
      </c>
      <c r="DP561">
        <v>0</v>
      </c>
      <c r="DQ561">
        <v>0</v>
      </c>
      <c r="DR561">
        <v>0</v>
      </c>
      <c r="DS561">
        <v>0</v>
      </c>
    </row>
    <row r="562" spans="1:123" x14ac:dyDescent="0.25">
      <c r="A562" t="str">
        <f>"04/17/2026 15:39:57.309"</f>
        <v>04/17/2026 15:39:57.309</v>
      </c>
      <c r="C562" t="str">
        <f t="shared" si="44"/>
        <v>FFDFD3C0</v>
      </c>
      <c r="D562" t="s">
        <v>124</v>
      </c>
      <c r="E562" t="str">
        <f>"03"</f>
        <v>03</v>
      </c>
      <c r="H562">
        <v>160</v>
      </c>
      <c r="I562" t="s">
        <v>125</v>
      </c>
      <c r="J562" t="s">
        <v>126</v>
      </c>
      <c r="K562">
        <v>0</v>
      </c>
      <c r="L562">
        <v>3</v>
      </c>
      <c r="M562">
        <v>0</v>
      </c>
      <c r="N562">
        <v>2</v>
      </c>
      <c r="O562">
        <v>1</v>
      </c>
      <c r="P562">
        <v>0</v>
      </c>
      <c r="Q562">
        <v>0</v>
      </c>
      <c r="R562" t="s">
        <v>127</v>
      </c>
      <c r="S562" t="str">
        <f t="shared" ref="S562:T565" si="49">"15:39:57.039"</f>
        <v>15:39:57.039</v>
      </c>
      <c r="T562" t="str">
        <f t="shared" si="49"/>
        <v>15:39:57.039</v>
      </c>
      <c r="U562" t="str">
        <f t="shared" si="45"/>
        <v>A55E09</v>
      </c>
      <c r="V562">
        <v>0</v>
      </c>
      <c r="W562">
        <v>0</v>
      </c>
      <c r="X562">
        <v>2</v>
      </c>
      <c r="Y562">
        <v>0</v>
      </c>
      <c r="AA562">
        <v>0</v>
      </c>
      <c r="AB562">
        <v>9</v>
      </c>
      <c r="AC562">
        <v>3</v>
      </c>
      <c r="AD562">
        <v>0</v>
      </c>
      <c r="AE562">
        <v>9</v>
      </c>
      <c r="AF562" t="s">
        <v>128</v>
      </c>
      <c r="AG562">
        <v>0</v>
      </c>
      <c r="AH562">
        <v>0</v>
      </c>
      <c r="AI562">
        <v>1</v>
      </c>
      <c r="AJ562">
        <v>0</v>
      </c>
      <c r="AK562" t="s">
        <v>397</v>
      </c>
      <c r="AL562">
        <v>33.711784000000002</v>
      </c>
      <c r="AM562" t="s">
        <v>337</v>
      </c>
      <c r="AN562">
        <v>-101.20959499999999</v>
      </c>
      <c r="AO562">
        <v>100</v>
      </c>
      <c r="AP562">
        <v>3200</v>
      </c>
      <c r="AQ562" t="s">
        <v>131</v>
      </c>
      <c r="AR562">
        <v>18</v>
      </c>
      <c r="AS562">
        <v>90</v>
      </c>
      <c r="AT562">
        <v>-384</v>
      </c>
      <c r="BB562" t="str">
        <f t="shared" si="46"/>
        <v>1200</v>
      </c>
      <c r="BC562">
        <v>1</v>
      </c>
      <c r="BD562" t="str">
        <f t="shared" si="47"/>
        <v xml:space="preserve">N445JS  </v>
      </c>
      <c r="BE562">
        <v>7</v>
      </c>
      <c r="BG562">
        <v>0</v>
      </c>
      <c r="BH562">
        <v>0</v>
      </c>
      <c r="BI562">
        <v>0</v>
      </c>
      <c r="BJ562">
        <v>2925</v>
      </c>
      <c r="BK562">
        <v>-275</v>
      </c>
      <c r="BL562" t="s">
        <v>132</v>
      </c>
      <c r="BM562">
        <v>1</v>
      </c>
      <c r="BN562">
        <v>1</v>
      </c>
      <c r="BO562">
        <v>1</v>
      </c>
      <c r="BP562">
        <v>0</v>
      </c>
      <c r="BT562">
        <v>0</v>
      </c>
      <c r="BU562">
        <v>0</v>
      </c>
      <c r="CE562" t="str">
        <f>"15:39:57.044"</f>
        <v>15:39:57.044</v>
      </c>
      <c r="CF562">
        <v>43886520</v>
      </c>
      <c r="CS562">
        <v>0</v>
      </c>
      <c r="CT562">
        <v>2</v>
      </c>
      <c r="CU562">
        <v>0</v>
      </c>
      <c r="CV562">
        <v>2</v>
      </c>
      <c r="CW562">
        <v>0</v>
      </c>
      <c r="CX562">
        <v>5</v>
      </c>
      <c r="CY562">
        <v>7</v>
      </c>
      <c r="CZ562" t="s">
        <v>133</v>
      </c>
      <c r="DA562">
        <v>125</v>
      </c>
      <c r="DB562">
        <v>1</v>
      </c>
      <c r="DC562" t="s">
        <v>134</v>
      </c>
      <c r="DD562" t="s">
        <v>135</v>
      </c>
      <c r="DG562">
        <v>2586731</v>
      </c>
      <c r="DI562">
        <v>0</v>
      </c>
      <c r="DJ562">
        <v>0</v>
      </c>
      <c r="DK562">
        <v>0</v>
      </c>
      <c r="DL562">
        <v>0</v>
      </c>
      <c r="DM562">
        <v>0</v>
      </c>
      <c r="DN562">
        <v>0</v>
      </c>
      <c r="DO562">
        <v>0</v>
      </c>
      <c r="DP562">
        <v>0</v>
      </c>
      <c r="DQ562">
        <v>0</v>
      </c>
      <c r="DR562">
        <v>0</v>
      </c>
      <c r="DS562">
        <v>0</v>
      </c>
    </row>
    <row r="563" spans="1:123" x14ac:dyDescent="0.25">
      <c r="A563" t="str">
        <f>"04/17/2026 15:39:57.329"</f>
        <v>04/17/2026 15:39:57.329</v>
      </c>
      <c r="C563" t="str">
        <f t="shared" si="44"/>
        <v>FFDFD3C0</v>
      </c>
      <c r="D563" t="s">
        <v>136</v>
      </c>
      <c r="E563" t="str">
        <f>"0E"</f>
        <v>0E</v>
      </c>
      <c r="F563">
        <v>1014</v>
      </c>
      <c r="G563" t="s">
        <v>125</v>
      </c>
      <c r="J563" t="s">
        <v>137</v>
      </c>
      <c r="K563">
        <v>0</v>
      </c>
      <c r="L563">
        <v>3</v>
      </c>
      <c r="M563">
        <v>0</v>
      </c>
      <c r="N563">
        <v>2</v>
      </c>
      <c r="O563">
        <v>1</v>
      </c>
      <c r="P563">
        <v>0</v>
      </c>
      <c r="Q563">
        <v>0</v>
      </c>
      <c r="R563" t="s">
        <v>127</v>
      </c>
      <c r="S563" t="str">
        <f t="shared" si="49"/>
        <v>15:39:57.039</v>
      </c>
      <c r="T563" t="str">
        <f t="shared" si="49"/>
        <v>15:39:57.039</v>
      </c>
      <c r="U563" t="str">
        <f t="shared" si="45"/>
        <v>A55E09</v>
      </c>
      <c r="V563">
        <v>0</v>
      </c>
      <c r="W563">
        <v>0</v>
      </c>
      <c r="X563">
        <v>2</v>
      </c>
      <c r="Y563">
        <v>0</v>
      </c>
      <c r="AA563">
        <v>0</v>
      </c>
      <c r="AB563">
        <v>9</v>
      </c>
      <c r="AC563">
        <v>3</v>
      </c>
      <c r="AD563">
        <v>0</v>
      </c>
      <c r="AE563">
        <v>9</v>
      </c>
      <c r="AF563" t="s">
        <v>128</v>
      </c>
      <c r="AG563">
        <v>0</v>
      </c>
      <c r="AH563">
        <v>0</v>
      </c>
      <c r="AI563">
        <v>1</v>
      </c>
      <c r="AJ563">
        <v>0</v>
      </c>
      <c r="AK563" t="s">
        <v>397</v>
      </c>
      <c r="AL563">
        <v>33.711784000000002</v>
      </c>
      <c r="AM563" t="s">
        <v>337</v>
      </c>
      <c r="AN563">
        <v>-101.20959499999999</v>
      </c>
      <c r="AO563">
        <v>100</v>
      </c>
      <c r="AP563">
        <v>3200</v>
      </c>
      <c r="AQ563" t="s">
        <v>131</v>
      </c>
      <c r="AR563">
        <v>18</v>
      </c>
      <c r="AS563">
        <v>90</v>
      </c>
      <c r="AT563">
        <v>-384</v>
      </c>
      <c r="BB563" t="str">
        <f t="shared" si="46"/>
        <v>1200</v>
      </c>
      <c r="BC563">
        <v>1</v>
      </c>
      <c r="BD563" t="str">
        <f t="shared" si="47"/>
        <v xml:space="preserve">N445JS  </v>
      </c>
      <c r="BE563">
        <v>7</v>
      </c>
      <c r="BG563">
        <v>0</v>
      </c>
      <c r="BH563">
        <v>0</v>
      </c>
      <c r="BI563">
        <v>0</v>
      </c>
      <c r="BJ563">
        <v>2925</v>
      </c>
      <c r="BK563">
        <v>-275</v>
      </c>
      <c r="BL563" t="s">
        <v>132</v>
      </c>
      <c r="BM563">
        <v>1</v>
      </c>
      <c r="BN563">
        <v>1</v>
      </c>
      <c r="BO563">
        <v>1</v>
      </c>
      <c r="BP563">
        <v>0</v>
      </c>
      <c r="BT563">
        <v>0</v>
      </c>
      <c r="BU563">
        <v>0</v>
      </c>
      <c r="CE563" t="str">
        <f>"15:39:57.044"</f>
        <v>15:39:57.044</v>
      </c>
      <c r="CF563">
        <v>43886520</v>
      </c>
      <c r="CS563">
        <v>0</v>
      </c>
      <c r="CT563">
        <v>2</v>
      </c>
      <c r="CU563">
        <v>0</v>
      </c>
      <c r="CV563">
        <v>2</v>
      </c>
      <c r="CW563">
        <v>0</v>
      </c>
      <c r="CX563">
        <v>5</v>
      </c>
      <c r="CY563">
        <v>7</v>
      </c>
      <c r="CZ563" t="s">
        <v>133</v>
      </c>
      <c r="DA563">
        <v>125</v>
      </c>
      <c r="DB563">
        <v>1</v>
      </c>
      <c r="DC563" t="s">
        <v>134</v>
      </c>
      <c r="DD563" t="s">
        <v>135</v>
      </c>
      <c r="DG563">
        <v>2586731</v>
      </c>
      <c r="DI563">
        <v>0</v>
      </c>
      <c r="DJ563">
        <v>0</v>
      </c>
      <c r="DK563">
        <v>1</v>
      </c>
      <c r="DL563">
        <v>0</v>
      </c>
      <c r="DM563">
        <v>0</v>
      </c>
      <c r="DN563">
        <v>0</v>
      </c>
      <c r="DO563">
        <v>0</v>
      </c>
      <c r="DP563">
        <v>0</v>
      </c>
      <c r="DQ563">
        <v>0</v>
      </c>
      <c r="DR563">
        <v>0</v>
      </c>
      <c r="DS563">
        <v>0</v>
      </c>
    </row>
    <row r="564" spans="1:123" x14ac:dyDescent="0.25">
      <c r="A564" t="str">
        <f>"04/17/2026 15:39:57.343"</f>
        <v>04/17/2026 15:39:57.343</v>
      </c>
      <c r="C564" t="str">
        <f t="shared" si="44"/>
        <v>FFDFD3C0</v>
      </c>
      <c r="D564" t="s">
        <v>139</v>
      </c>
      <c r="E564" t="str">
        <f>"28"</f>
        <v>28</v>
      </c>
      <c r="H564">
        <v>140</v>
      </c>
      <c r="I564" t="s">
        <v>140</v>
      </c>
      <c r="J564" t="s">
        <v>141</v>
      </c>
      <c r="K564">
        <v>0</v>
      </c>
      <c r="L564">
        <v>3</v>
      </c>
      <c r="M564">
        <v>0</v>
      </c>
      <c r="N564">
        <v>2</v>
      </c>
      <c r="O564">
        <v>1</v>
      </c>
      <c r="P564">
        <v>0</v>
      </c>
      <c r="Q564">
        <v>0</v>
      </c>
      <c r="R564" t="s">
        <v>127</v>
      </c>
      <c r="S564" t="str">
        <f t="shared" si="49"/>
        <v>15:39:57.039</v>
      </c>
      <c r="T564" t="str">
        <f t="shared" si="49"/>
        <v>15:39:57.039</v>
      </c>
      <c r="U564" t="str">
        <f t="shared" si="45"/>
        <v>A55E09</v>
      </c>
      <c r="V564">
        <v>0</v>
      </c>
      <c r="W564">
        <v>0</v>
      </c>
      <c r="X564">
        <v>2</v>
      </c>
      <c r="Y564">
        <v>0</v>
      </c>
      <c r="AA564">
        <v>0</v>
      </c>
      <c r="AB564">
        <v>9</v>
      </c>
      <c r="AC564">
        <v>3</v>
      </c>
      <c r="AD564">
        <v>0</v>
      </c>
      <c r="AE564">
        <v>9</v>
      </c>
      <c r="AF564" t="s">
        <v>128</v>
      </c>
      <c r="AG564">
        <v>0</v>
      </c>
      <c r="AH564">
        <v>0</v>
      </c>
      <c r="AI564">
        <v>1</v>
      </c>
      <c r="AJ564">
        <v>0</v>
      </c>
      <c r="AK564" t="s">
        <v>397</v>
      </c>
      <c r="AL564">
        <v>33.711784000000002</v>
      </c>
      <c r="AM564" t="s">
        <v>337</v>
      </c>
      <c r="AN564">
        <v>-101.20959499999999</v>
      </c>
      <c r="AO564">
        <v>100</v>
      </c>
      <c r="AP564">
        <v>3200</v>
      </c>
      <c r="AQ564" t="s">
        <v>131</v>
      </c>
      <c r="AR564">
        <v>18</v>
      </c>
      <c r="AS564">
        <v>90</v>
      </c>
      <c r="AT564">
        <v>-384</v>
      </c>
      <c r="BB564" t="str">
        <f t="shared" si="46"/>
        <v>1200</v>
      </c>
      <c r="BC564">
        <v>1</v>
      </c>
      <c r="BD564" t="str">
        <f t="shared" si="47"/>
        <v xml:space="preserve">N445JS  </v>
      </c>
      <c r="BE564">
        <v>7</v>
      </c>
      <c r="BG564">
        <v>0</v>
      </c>
      <c r="BH564">
        <v>0</v>
      </c>
      <c r="BI564">
        <v>0</v>
      </c>
      <c r="BJ564">
        <v>2925</v>
      </c>
      <c r="BK564">
        <v>-275</v>
      </c>
      <c r="BL564" t="s">
        <v>132</v>
      </c>
      <c r="BM564">
        <v>1</v>
      </c>
      <c r="BN564">
        <v>1</v>
      </c>
      <c r="BO564">
        <v>1</v>
      </c>
      <c r="BP564">
        <v>0</v>
      </c>
      <c r="BT564">
        <v>0</v>
      </c>
      <c r="BU564">
        <v>0</v>
      </c>
      <c r="CE564" t="str">
        <f>"15:39:57.044"</f>
        <v>15:39:57.044</v>
      </c>
      <c r="CF564">
        <v>43886520</v>
      </c>
      <c r="CS564">
        <v>0</v>
      </c>
      <c r="CT564">
        <v>2</v>
      </c>
      <c r="CU564">
        <v>0</v>
      </c>
      <c r="CV564">
        <v>2</v>
      </c>
      <c r="CW564">
        <v>0</v>
      </c>
      <c r="CX564">
        <v>5</v>
      </c>
      <c r="CY564">
        <v>7</v>
      </c>
      <c r="CZ564" t="s">
        <v>133</v>
      </c>
      <c r="DA564">
        <v>125</v>
      </c>
      <c r="DB564">
        <v>1</v>
      </c>
      <c r="DC564" t="s">
        <v>134</v>
      </c>
      <c r="DD564" t="s">
        <v>135</v>
      </c>
      <c r="DG564">
        <v>2586731</v>
      </c>
      <c r="DI564">
        <v>0</v>
      </c>
      <c r="DJ564">
        <v>0</v>
      </c>
      <c r="DK564">
        <v>1</v>
      </c>
      <c r="DL564">
        <v>0</v>
      </c>
      <c r="DM564">
        <v>0</v>
      </c>
      <c r="DN564">
        <v>0</v>
      </c>
      <c r="DO564">
        <v>0</v>
      </c>
      <c r="DP564">
        <v>0</v>
      </c>
      <c r="DQ564">
        <v>0</v>
      </c>
      <c r="DR564">
        <v>0</v>
      </c>
      <c r="DS564">
        <v>0</v>
      </c>
    </row>
    <row r="565" spans="1:123" x14ac:dyDescent="0.25">
      <c r="A565" t="str">
        <f>"04/17/2026 15:39:57.345"</f>
        <v>04/17/2026 15:39:57.345</v>
      </c>
      <c r="C565" t="str">
        <f t="shared" si="44"/>
        <v>FFDFD3C0</v>
      </c>
      <c r="D565" t="s">
        <v>136</v>
      </c>
      <c r="E565" t="str">
        <f>"0F"</f>
        <v>0F</v>
      </c>
      <c r="F565">
        <v>1015</v>
      </c>
      <c r="G565" t="s">
        <v>138</v>
      </c>
      <c r="J565" t="s">
        <v>137</v>
      </c>
      <c r="K565">
        <v>0</v>
      </c>
      <c r="L565">
        <v>3</v>
      </c>
      <c r="M565">
        <v>0</v>
      </c>
      <c r="N565">
        <v>2</v>
      </c>
      <c r="O565">
        <v>1</v>
      </c>
      <c r="P565">
        <v>0</v>
      </c>
      <c r="Q565">
        <v>0</v>
      </c>
      <c r="R565" t="s">
        <v>127</v>
      </c>
      <c r="S565" t="str">
        <f t="shared" si="49"/>
        <v>15:39:57.039</v>
      </c>
      <c r="T565" t="str">
        <f t="shared" si="49"/>
        <v>15:39:57.039</v>
      </c>
      <c r="U565" t="str">
        <f t="shared" si="45"/>
        <v>A55E09</v>
      </c>
      <c r="V565">
        <v>0</v>
      </c>
      <c r="W565">
        <v>0</v>
      </c>
      <c r="X565">
        <v>2</v>
      </c>
      <c r="Y565">
        <v>0</v>
      </c>
      <c r="AA565">
        <v>0</v>
      </c>
      <c r="AB565">
        <v>9</v>
      </c>
      <c r="AC565">
        <v>3</v>
      </c>
      <c r="AD565">
        <v>0</v>
      </c>
      <c r="AE565">
        <v>9</v>
      </c>
      <c r="AF565" t="s">
        <v>128</v>
      </c>
      <c r="AG565">
        <v>0</v>
      </c>
      <c r="AH565">
        <v>0</v>
      </c>
      <c r="AI565">
        <v>1</v>
      </c>
      <c r="AJ565">
        <v>0</v>
      </c>
      <c r="AK565" t="s">
        <v>397</v>
      </c>
      <c r="AL565">
        <v>33.711784000000002</v>
      </c>
      <c r="AM565" t="s">
        <v>337</v>
      </c>
      <c r="AN565">
        <v>-101.20959499999999</v>
      </c>
      <c r="AO565">
        <v>100</v>
      </c>
      <c r="AP565">
        <v>3200</v>
      </c>
      <c r="AQ565" t="s">
        <v>131</v>
      </c>
      <c r="AR565">
        <v>18</v>
      </c>
      <c r="AS565">
        <v>90</v>
      </c>
      <c r="AT565">
        <v>-384</v>
      </c>
      <c r="BB565" t="str">
        <f t="shared" si="46"/>
        <v>1200</v>
      </c>
      <c r="BC565">
        <v>1</v>
      </c>
      <c r="BD565" t="str">
        <f t="shared" si="47"/>
        <v xml:space="preserve">N445JS  </v>
      </c>
      <c r="BE565">
        <v>7</v>
      </c>
      <c r="BG565">
        <v>0</v>
      </c>
      <c r="BH565">
        <v>0</v>
      </c>
      <c r="BI565">
        <v>0</v>
      </c>
      <c r="BJ565">
        <v>2925</v>
      </c>
      <c r="BK565">
        <v>-275</v>
      </c>
      <c r="BL565" t="s">
        <v>132</v>
      </c>
      <c r="BM565">
        <v>1</v>
      </c>
      <c r="BN565">
        <v>1</v>
      </c>
      <c r="BO565">
        <v>1</v>
      </c>
      <c r="BP565">
        <v>0</v>
      </c>
      <c r="BT565">
        <v>0</v>
      </c>
      <c r="BU565">
        <v>0</v>
      </c>
      <c r="CE565" t="str">
        <f>"15:39:57.044"</f>
        <v>15:39:57.044</v>
      </c>
      <c r="CF565">
        <v>43886520</v>
      </c>
      <c r="CS565">
        <v>0</v>
      </c>
      <c r="CT565">
        <v>2</v>
      </c>
      <c r="CU565">
        <v>0</v>
      </c>
      <c r="CV565">
        <v>2</v>
      </c>
      <c r="CW565">
        <v>0</v>
      </c>
      <c r="CX565">
        <v>5</v>
      </c>
      <c r="CY565">
        <v>7</v>
      </c>
      <c r="CZ565" t="s">
        <v>133</v>
      </c>
      <c r="DA565">
        <v>125</v>
      </c>
      <c r="DB565">
        <v>1</v>
      </c>
      <c r="DC565" t="s">
        <v>134</v>
      </c>
      <c r="DD565" t="s">
        <v>135</v>
      </c>
      <c r="DG565">
        <v>2586731</v>
      </c>
      <c r="DI565">
        <v>0</v>
      </c>
      <c r="DJ565">
        <v>0</v>
      </c>
      <c r="DK565">
        <v>1</v>
      </c>
      <c r="DL565">
        <v>0</v>
      </c>
      <c r="DM565">
        <v>0</v>
      </c>
      <c r="DN565">
        <v>0</v>
      </c>
      <c r="DO565">
        <v>0</v>
      </c>
      <c r="DP565">
        <v>0</v>
      </c>
      <c r="DQ565">
        <v>0</v>
      </c>
      <c r="DR565">
        <v>0</v>
      </c>
      <c r="DS565">
        <v>0</v>
      </c>
    </row>
    <row r="566" spans="1:123" x14ac:dyDescent="0.25">
      <c r="A566" t="str">
        <f>"04/17/2026 15:39:58.781"</f>
        <v>04/17/2026 15:39:58.781</v>
      </c>
      <c r="C566" t="str">
        <f t="shared" si="44"/>
        <v>FFDFD3C0</v>
      </c>
      <c r="D566" t="s">
        <v>136</v>
      </c>
      <c r="E566" t="str">
        <f>"0E"</f>
        <v>0E</v>
      </c>
      <c r="F566">
        <v>1014</v>
      </c>
      <c r="G566" t="s">
        <v>125</v>
      </c>
      <c r="J566" t="s">
        <v>137</v>
      </c>
      <c r="K566">
        <v>0</v>
      </c>
      <c r="L566">
        <v>3</v>
      </c>
      <c r="M566">
        <v>0</v>
      </c>
      <c r="N566">
        <v>2</v>
      </c>
      <c r="O566">
        <v>1</v>
      </c>
      <c r="P566">
        <v>0</v>
      </c>
      <c r="Q566">
        <v>0</v>
      </c>
      <c r="R566" t="s">
        <v>127</v>
      </c>
      <c r="S566" t="str">
        <f>"15:39:58.555"</f>
        <v>15:39:58.555</v>
      </c>
      <c r="T566" t="str">
        <f>"15:39:58.055"</f>
        <v>15:39:58.055</v>
      </c>
      <c r="U566" t="str">
        <f t="shared" si="45"/>
        <v>A55E09</v>
      </c>
      <c r="V566">
        <v>0</v>
      </c>
      <c r="W566">
        <v>0</v>
      </c>
      <c r="X566">
        <v>2</v>
      </c>
      <c r="Y566">
        <v>0</v>
      </c>
      <c r="AA566">
        <v>0</v>
      </c>
      <c r="AB566">
        <v>9</v>
      </c>
      <c r="AC566">
        <v>3</v>
      </c>
      <c r="AD566">
        <v>0</v>
      </c>
      <c r="AE566">
        <v>9</v>
      </c>
      <c r="AF566" t="s">
        <v>128</v>
      </c>
      <c r="AG566">
        <v>0</v>
      </c>
      <c r="AH566">
        <v>0</v>
      </c>
      <c r="AI566">
        <v>1</v>
      </c>
      <c r="AJ566">
        <v>0</v>
      </c>
      <c r="AK566" t="s">
        <v>398</v>
      </c>
      <c r="AL566">
        <v>33.712428000000003</v>
      </c>
      <c r="AM566" t="s">
        <v>399</v>
      </c>
      <c r="AN566">
        <v>-101.209424</v>
      </c>
      <c r="AO566">
        <v>100</v>
      </c>
      <c r="AP566">
        <v>3100</v>
      </c>
      <c r="AQ566" t="s">
        <v>131</v>
      </c>
      <c r="AR566">
        <v>21</v>
      </c>
      <c r="AS566">
        <v>90</v>
      </c>
      <c r="AT566">
        <v>-256</v>
      </c>
      <c r="BB566" t="str">
        <f t="shared" si="46"/>
        <v>1200</v>
      </c>
      <c r="BC566">
        <v>1</v>
      </c>
      <c r="BD566" t="str">
        <f t="shared" si="47"/>
        <v xml:space="preserve">N445JS  </v>
      </c>
      <c r="BE566">
        <v>7</v>
      </c>
      <c r="BG566">
        <v>0</v>
      </c>
      <c r="BH566">
        <v>0</v>
      </c>
      <c r="BI566">
        <v>0</v>
      </c>
      <c r="BJ566">
        <v>3025</v>
      </c>
      <c r="BK566">
        <v>-75</v>
      </c>
      <c r="BL566" t="s">
        <v>132</v>
      </c>
      <c r="BM566">
        <v>1</v>
      </c>
      <c r="BN566">
        <v>1</v>
      </c>
      <c r="BO566">
        <v>1</v>
      </c>
      <c r="BP566">
        <v>0</v>
      </c>
      <c r="BT566">
        <v>0</v>
      </c>
      <c r="BU566">
        <v>0</v>
      </c>
      <c r="CE566" t="str">
        <f>"15:39:58.559"</f>
        <v>15:39:58.559</v>
      </c>
      <c r="CF566">
        <v>558737949</v>
      </c>
      <c r="CS566">
        <v>0</v>
      </c>
      <c r="CT566">
        <v>2</v>
      </c>
      <c r="CU566">
        <v>0</v>
      </c>
      <c r="CV566">
        <v>2</v>
      </c>
      <c r="CW566">
        <v>0</v>
      </c>
      <c r="CX566">
        <v>6</v>
      </c>
      <c r="CY566">
        <v>7</v>
      </c>
      <c r="CZ566" t="s">
        <v>133</v>
      </c>
      <c r="DA566">
        <v>125</v>
      </c>
      <c r="DB566">
        <v>1</v>
      </c>
      <c r="DC566" t="s">
        <v>134</v>
      </c>
      <c r="DD566" t="s">
        <v>135</v>
      </c>
      <c r="DG566">
        <v>2588227</v>
      </c>
      <c r="DI566">
        <v>0</v>
      </c>
      <c r="DJ566">
        <v>0</v>
      </c>
      <c r="DK566">
        <v>0</v>
      </c>
      <c r="DL566">
        <v>0</v>
      </c>
      <c r="DM566">
        <v>0</v>
      </c>
      <c r="DN566">
        <v>0</v>
      </c>
      <c r="DO566">
        <v>0</v>
      </c>
      <c r="DP566">
        <v>0</v>
      </c>
      <c r="DQ566">
        <v>0</v>
      </c>
      <c r="DR566">
        <v>0</v>
      </c>
      <c r="DS566">
        <v>0</v>
      </c>
    </row>
    <row r="567" spans="1:123" x14ac:dyDescent="0.25">
      <c r="A567" t="str">
        <f>"04/17/2026 15:39:58.795"</f>
        <v>04/17/2026 15:39:58.795</v>
      </c>
      <c r="C567" t="str">
        <f t="shared" si="44"/>
        <v>FFDFD3C0</v>
      </c>
      <c r="D567" t="s">
        <v>139</v>
      </c>
      <c r="E567" t="str">
        <f>"28"</f>
        <v>28</v>
      </c>
      <c r="H567">
        <v>140</v>
      </c>
      <c r="I567" t="s">
        <v>140</v>
      </c>
      <c r="J567" t="s">
        <v>141</v>
      </c>
      <c r="K567">
        <v>0</v>
      </c>
      <c r="L567">
        <v>3</v>
      </c>
      <c r="M567">
        <v>0</v>
      </c>
      <c r="N567">
        <v>2</v>
      </c>
      <c r="O567">
        <v>1</v>
      </c>
      <c r="P567">
        <v>0</v>
      </c>
      <c r="Q567">
        <v>0</v>
      </c>
      <c r="R567" t="s">
        <v>127</v>
      </c>
      <c r="S567" t="str">
        <f>"15:39:58.555"</f>
        <v>15:39:58.555</v>
      </c>
      <c r="T567" t="str">
        <f>"15:39:58.055"</f>
        <v>15:39:58.055</v>
      </c>
      <c r="U567" t="str">
        <f t="shared" si="45"/>
        <v>A55E09</v>
      </c>
      <c r="V567">
        <v>0</v>
      </c>
      <c r="W567">
        <v>0</v>
      </c>
      <c r="X567">
        <v>2</v>
      </c>
      <c r="Y567">
        <v>0</v>
      </c>
      <c r="AA567">
        <v>0</v>
      </c>
      <c r="AB567">
        <v>9</v>
      </c>
      <c r="AC567">
        <v>3</v>
      </c>
      <c r="AD567">
        <v>0</v>
      </c>
      <c r="AE567">
        <v>9</v>
      </c>
      <c r="AF567" t="s">
        <v>128</v>
      </c>
      <c r="AG567">
        <v>0</v>
      </c>
      <c r="AH567">
        <v>0</v>
      </c>
      <c r="AI567">
        <v>1</v>
      </c>
      <c r="AJ567">
        <v>0</v>
      </c>
      <c r="AK567" t="s">
        <v>398</v>
      </c>
      <c r="AL567">
        <v>33.712428000000003</v>
      </c>
      <c r="AM567" t="s">
        <v>399</v>
      </c>
      <c r="AN567">
        <v>-101.209424</v>
      </c>
      <c r="AO567">
        <v>100</v>
      </c>
      <c r="AP567">
        <v>3100</v>
      </c>
      <c r="AQ567" t="s">
        <v>131</v>
      </c>
      <c r="AR567">
        <v>21</v>
      </c>
      <c r="AS567">
        <v>90</v>
      </c>
      <c r="AT567">
        <v>-256</v>
      </c>
      <c r="BB567" t="str">
        <f t="shared" si="46"/>
        <v>1200</v>
      </c>
      <c r="BC567">
        <v>1</v>
      </c>
      <c r="BD567" t="str">
        <f t="shared" si="47"/>
        <v xml:space="preserve">N445JS  </v>
      </c>
      <c r="BE567">
        <v>7</v>
      </c>
      <c r="BG567">
        <v>0</v>
      </c>
      <c r="BH567">
        <v>0</v>
      </c>
      <c r="BI567">
        <v>0</v>
      </c>
      <c r="BJ567">
        <v>3025</v>
      </c>
      <c r="BK567">
        <v>-75</v>
      </c>
      <c r="BL567" t="s">
        <v>132</v>
      </c>
      <c r="BM567">
        <v>1</v>
      </c>
      <c r="BN567">
        <v>1</v>
      </c>
      <c r="BO567">
        <v>1</v>
      </c>
      <c r="BP567">
        <v>0</v>
      </c>
      <c r="BT567">
        <v>0</v>
      </c>
      <c r="BU567">
        <v>0</v>
      </c>
      <c r="CE567" t="str">
        <f>"15:39:58.559"</f>
        <v>15:39:58.559</v>
      </c>
      <c r="CF567">
        <v>558737949</v>
      </c>
      <c r="CS567">
        <v>0</v>
      </c>
      <c r="CT567">
        <v>2</v>
      </c>
      <c r="CU567">
        <v>0</v>
      </c>
      <c r="CV567">
        <v>2</v>
      </c>
      <c r="CW567">
        <v>0</v>
      </c>
      <c r="CX567">
        <v>6</v>
      </c>
      <c r="CY567">
        <v>7</v>
      </c>
      <c r="CZ567" t="s">
        <v>133</v>
      </c>
      <c r="DA567">
        <v>125</v>
      </c>
      <c r="DB567">
        <v>1</v>
      </c>
      <c r="DC567" t="s">
        <v>134</v>
      </c>
      <c r="DD567" t="s">
        <v>135</v>
      </c>
      <c r="DG567">
        <v>2588227</v>
      </c>
      <c r="DI567">
        <v>0</v>
      </c>
      <c r="DJ567">
        <v>0</v>
      </c>
      <c r="DK567">
        <v>1</v>
      </c>
      <c r="DL567">
        <v>0</v>
      </c>
      <c r="DM567">
        <v>0</v>
      </c>
      <c r="DN567">
        <v>0</v>
      </c>
      <c r="DO567">
        <v>0</v>
      </c>
      <c r="DP567">
        <v>0</v>
      </c>
      <c r="DQ567">
        <v>0</v>
      </c>
      <c r="DR567">
        <v>0</v>
      </c>
      <c r="DS567">
        <v>0</v>
      </c>
    </row>
    <row r="568" spans="1:123" x14ac:dyDescent="0.25">
      <c r="A568" t="str">
        <f>"04/17/2026 15:39:58.797"</f>
        <v>04/17/2026 15:39:58.797</v>
      </c>
      <c r="C568" t="str">
        <f t="shared" si="44"/>
        <v>FFDFD3C0</v>
      </c>
      <c r="D568" t="s">
        <v>136</v>
      </c>
      <c r="E568" t="str">
        <f>"0F"</f>
        <v>0F</v>
      </c>
      <c r="F568">
        <v>1015</v>
      </c>
      <c r="G568" t="s">
        <v>138</v>
      </c>
      <c r="J568" t="s">
        <v>137</v>
      </c>
      <c r="K568">
        <v>0</v>
      </c>
      <c r="L568">
        <v>3</v>
      </c>
      <c r="M568">
        <v>0</v>
      </c>
      <c r="N568">
        <v>2</v>
      </c>
      <c r="O568">
        <v>1</v>
      </c>
      <c r="P568">
        <v>0</v>
      </c>
      <c r="Q568">
        <v>0</v>
      </c>
      <c r="R568" t="s">
        <v>127</v>
      </c>
      <c r="S568" t="str">
        <f>"15:39:58.555"</f>
        <v>15:39:58.555</v>
      </c>
      <c r="T568" t="str">
        <f>"15:39:58.055"</f>
        <v>15:39:58.055</v>
      </c>
      <c r="U568" t="str">
        <f t="shared" si="45"/>
        <v>A55E09</v>
      </c>
      <c r="V568">
        <v>0</v>
      </c>
      <c r="W568">
        <v>0</v>
      </c>
      <c r="X568">
        <v>2</v>
      </c>
      <c r="Y568">
        <v>0</v>
      </c>
      <c r="AA568">
        <v>0</v>
      </c>
      <c r="AB568">
        <v>9</v>
      </c>
      <c r="AC568">
        <v>3</v>
      </c>
      <c r="AD568">
        <v>0</v>
      </c>
      <c r="AE568">
        <v>9</v>
      </c>
      <c r="AF568" t="s">
        <v>128</v>
      </c>
      <c r="AG568">
        <v>0</v>
      </c>
      <c r="AH568">
        <v>0</v>
      </c>
      <c r="AI568">
        <v>1</v>
      </c>
      <c r="AJ568">
        <v>0</v>
      </c>
      <c r="AK568" t="s">
        <v>398</v>
      </c>
      <c r="AL568">
        <v>33.712428000000003</v>
      </c>
      <c r="AM568" t="s">
        <v>399</v>
      </c>
      <c r="AN568">
        <v>-101.209424</v>
      </c>
      <c r="AO568">
        <v>100</v>
      </c>
      <c r="AP568">
        <v>3100</v>
      </c>
      <c r="AQ568" t="s">
        <v>131</v>
      </c>
      <c r="AR568">
        <v>21</v>
      </c>
      <c r="AS568">
        <v>90</v>
      </c>
      <c r="AT568">
        <v>-256</v>
      </c>
      <c r="BB568" t="str">
        <f t="shared" si="46"/>
        <v>1200</v>
      </c>
      <c r="BC568">
        <v>1</v>
      </c>
      <c r="BD568" t="str">
        <f t="shared" si="47"/>
        <v xml:space="preserve">N445JS  </v>
      </c>
      <c r="BE568">
        <v>7</v>
      </c>
      <c r="BG568">
        <v>0</v>
      </c>
      <c r="BH568">
        <v>0</v>
      </c>
      <c r="BI568">
        <v>0</v>
      </c>
      <c r="BJ568">
        <v>3025</v>
      </c>
      <c r="BK568">
        <v>-75</v>
      </c>
      <c r="BL568" t="s">
        <v>132</v>
      </c>
      <c r="BM568">
        <v>1</v>
      </c>
      <c r="BN568">
        <v>1</v>
      </c>
      <c r="BO568">
        <v>1</v>
      </c>
      <c r="BP568">
        <v>0</v>
      </c>
      <c r="BT568">
        <v>0</v>
      </c>
      <c r="BU568">
        <v>0</v>
      </c>
      <c r="CE568" t="str">
        <f>"15:39:58.559"</f>
        <v>15:39:58.559</v>
      </c>
      <c r="CF568">
        <v>558737949</v>
      </c>
      <c r="CS568">
        <v>0</v>
      </c>
      <c r="CT568">
        <v>2</v>
      </c>
      <c r="CU568">
        <v>0</v>
      </c>
      <c r="CV568">
        <v>2</v>
      </c>
      <c r="CW568">
        <v>0</v>
      </c>
      <c r="CX568">
        <v>6</v>
      </c>
      <c r="CY568">
        <v>7</v>
      </c>
      <c r="CZ568" t="s">
        <v>133</v>
      </c>
      <c r="DA568">
        <v>125</v>
      </c>
      <c r="DB568">
        <v>1</v>
      </c>
      <c r="DC568" t="s">
        <v>134</v>
      </c>
      <c r="DD568" t="s">
        <v>135</v>
      </c>
      <c r="DG568">
        <v>2588227</v>
      </c>
      <c r="DI568">
        <v>0</v>
      </c>
      <c r="DJ568">
        <v>0</v>
      </c>
      <c r="DK568">
        <v>1</v>
      </c>
      <c r="DL568">
        <v>0</v>
      </c>
      <c r="DM568">
        <v>0</v>
      </c>
      <c r="DN568">
        <v>0</v>
      </c>
      <c r="DO568">
        <v>0</v>
      </c>
      <c r="DP568">
        <v>0</v>
      </c>
      <c r="DQ568">
        <v>0</v>
      </c>
      <c r="DR568">
        <v>0</v>
      </c>
      <c r="DS568">
        <v>0</v>
      </c>
    </row>
    <row r="569" spans="1:123" x14ac:dyDescent="0.25">
      <c r="A569" t="str">
        <f>"04/17/2026 15:39:58.812"</f>
        <v>04/17/2026 15:39:58.812</v>
      </c>
      <c r="C569" t="str">
        <f t="shared" si="44"/>
        <v>FFDFD3C0</v>
      </c>
      <c r="D569" t="s">
        <v>124</v>
      </c>
      <c r="E569" t="str">
        <f>"03"</f>
        <v>03</v>
      </c>
      <c r="H569">
        <v>160</v>
      </c>
      <c r="I569" t="s">
        <v>125</v>
      </c>
      <c r="J569" t="s">
        <v>126</v>
      </c>
      <c r="K569">
        <v>0</v>
      </c>
      <c r="L569">
        <v>3</v>
      </c>
      <c r="M569">
        <v>0</v>
      </c>
      <c r="N569">
        <v>2</v>
      </c>
      <c r="O569">
        <v>1</v>
      </c>
      <c r="P569">
        <v>0</v>
      </c>
      <c r="Q569">
        <v>0</v>
      </c>
      <c r="R569" t="s">
        <v>127</v>
      </c>
      <c r="S569" t="str">
        <f>"15:39:58.555"</f>
        <v>15:39:58.555</v>
      </c>
      <c r="T569" t="str">
        <f>"15:39:58.055"</f>
        <v>15:39:58.055</v>
      </c>
      <c r="U569" t="str">
        <f t="shared" si="45"/>
        <v>A55E09</v>
      </c>
      <c r="V569">
        <v>0</v>
      </c>
      <c r="W569">
        <v>0</v>
      </c>
      <c r="X569">
        <v>2</v>
      </c>
      <c r="Y569">
        <v>0</v>
      </c>
      <c r="AA569">
        <v>0</v>
      </c>
      <c r="AB569">
        <v>9</v>
      </c>
      <c r="AC569">
        <v>3</v>
      </c>
      <c r="AD569">
        <v>0</v>
      </c>
      <c r="AE569">
        <v>9</v>
      </c>
      <c r="AF569" t="s">
        <v>128</v>
      </c>
      <c r="AG569">
        <v>0</v>
      </c>
      <c r="AH569">
        <v>0</v>
      </c>
      <c r="AI569">
        <v>1</v>
      </c>
      <c r="AJ569">
        <v>0</v>
      </c>
      <c r="AK569" t="s">
        <v>398</v>
      </c>
      <c r="AL569">
        <v>33.712428000000003</v>
      </c>
      <c r="AM569" t="s">
        <v>399</v>
      </c>
      <c r="AN569">
        <v>-101.209424</v>
      </c>
      <c r="AO569">
        <v>100</v>
      </c>
      <c r="AP569">
        <v>3100</v>
      </c>
      <c r="AQ569" t="s">
        <v>131</v>
      </c>
      <c r="AR569">
        <v>21</v>
      </c>
      <c r="AS569">
        <v>90</v>
      </c>
      <c r="AT569">
        <v>-256</v>
      </c>
      <c r="BB569" t="str">
        <f t="shared" si="46"/>
        <v>1200</v>
      </c>
      <c r="BC569">
        <v>1</v>
      </c>
      <c r="BD569" t="str">
        <f t="shared" si="47"/>
        <v xml:space="preserve">N445JS  </v>
      </c>
      <c r="BE569">
        <v>7</v>
      </c>
      <c r="BG569">
        <v>0</v>
      </c>
      <c r="BH569">
        <v>0</v>
      </c>
      <c r="BI569">
        <v>0</v>
      </c>
      <c r="BJ569">
        <v>3025</v>
      </c>
      <c r="BK569">
        <v>-75</v>
      </c>
      <c r="BL569" t="s">
        <v>132</v>
      </c>
      <c r="BM569">
        <v>1</v>
      </c>
      <c r="BN569">
        <v>1</v>
      </c>
      <c r="BO569">
        <v>1</v>
      </c>
      <c r="BP569">
        <v>0</v>
      </c>
      <c r="BT569">
        <v>0</v>
      </c>
      <c r="BU569">
        <v>0</v>
      </c>
      <c r="CE569" t="str">
        <f>"15:39:58.559"</f>
        <v>15:39:58.559</v>
      </c>
      <c r="CF569">
        <v>558737949</v>
      </c>
      <c r="CS569">
        <v>0</v>
      </c>
      <c r="CT569">
        <v>2</v>
      </c>
      <c r="CU569">
        <v>0</v>
      </c>
      <c r="CV569">
        <v>2</v>
      </c>
      <c r="CW569">
        <v>0</v>
      </c>
      <c r="CX569">
        <v>6</v>
      </c>
      <c r="CY569">
        <v>7</v>
      </c>
      <c r="CZ569" t="s">
        <v>133</v>
      </c>
      <c r="DA569">
        <v>125</v>
      </c>
      <c r="DB569">
        <v>1</v>
      </c>
      <c r="DC569" t="s">
        <v>134</v>
      </c>
      <c r="DD569" t="s">
        <v>135</v>
      </c>
      <c r="DG569">
        <v>2588227</v>
      </c>
      <c r="DI569">
        <v>0</v>
      </c>
      <c r="DJ569">
        <v>0</v>
      </c>
      <c r="DK569">
        <v>1</v>
      </c>
      <c r="DL569">
        <v>0</v>
      </c>
      <c r="DM569">
        <v>0</v>
      </c>
      <c r="DN569">
        <v>0</v>
      </c>
      <c r="DO569">
        <v>0</v>
      </c>
      <c r="DP569">
        <v>0</v>
      </c>
      <c r="DQ569">
        <v>0</v>
      </c>
      <c r="DR569">
        <v>0</v>
      </c>
      <c r="DS569">
        <v>0</v>
      </c>
    </row>
    <row r="570" spans="1:123" x14ac:dyDescent="0.25">
      <c r="A570" t="str">
        <f>"04/17/2026 15:39:59.864"</f>
        <v>04/17/2026 15:39:59.864</v>
      </c>
      <c r="C570" t="str">
        <f t="shared" si="44"/>
        <v>FFDFD3C0</v>
      </c>
      <c r="D570" t="s">
        <v>124</v>
      </c>
      <c r="E570" t="str">
        <f>"03"</f>
        <v>03</v>
      </c>
      <c r="H570">
        <v>160</v>
      </c>
      <c r="I570" t="s">
        <v>125</v>
      </c>
      <c r="J570" t="s">
        <v>126</v>
      </c>
      <c r="K570">
        <v>0</v>
      </c>
      <c r="L570">
        <v>3</v>
      </c>
      <c r="M570">
        <v>0</v>
      </c>
      <c r="N570">
        <v>2</v>
      </c>
      <c r="O570">
        <v>1</v>
      </c>
      <c r="P570">
        <v>0</v>
      </c>
      <c r="Q570">
        <v>0</v>
      </c>
      <c r="R570" t="s">
        <v>127</v>
      </c>
      <c r="S570" t="str">
        <f>"15:39:59.633"</f>
        <v>15:39:59.633</v>
      </c>
      <c r="T570" t="str">
        <f>"15:39:59.233"</f>
        <v>15:39:59.233</v>
      </c>
      <c r="U570" t="str">
        <f t="shared" si="45"/>
        <v>A55E09</v>
      </c>
      <c r="V570">
        <v>0</v>
      </c>
      <c r="W570">
        <v>0</v>
      </c>
      <c r="X570">
        <v>2</v>
      </c>
      <c r="Y570">
        <v>0</v>
      </c>
      <c r="AA570">
        <v>0</v>
      </c>
      <c r="AB570">
        <v>9</v>
      </c>
      <c r="AC570">
        <v>3</v>
      </c>
      <c r="AD570">
        <v>0</v>
      </c>
      <c r="AE570">
        <v>9</v>
      </c>
      <c r="AF570" t="s">
        <v>128</v>
      </c>
      <c r="AG570">
        <v>0</v>
      </c>
      <c r="AH570">
        <v>0</v>
      </c>
      <c r="AI570">
        <v>1</v>
      </c>
      <c r="AJ570">
        <v>0</v>
      </c>
      <c r="AK570" t="s">
        <v>400</v>
      </c>
      <c r="AL570">
        <v>33.712899999999998</v>
      </c>
      <c r="AM570" t="s">
        <v>331</v>
      </c>
      <c r="AN570">
        <v>-101.209316</v>
      </c>
      <c r="AO570">
        <v>100</v>
      </c>
      <c r="AP570">
        <v>3100</v>
      </c>
      <c r="AQ570" t="s">
        <v>131</v>
      </c>
      <c r="AR570">
        <v>22</v>
      </c>
      <c r="AS570">
        <v>90</v>
      </c>
      <c r="AT570">
        <v>-192</v>
      </c>
      <c r="BB570" t="str">
        <f t="shared" si="46"/>
        <v>1200</v>
      </c>
      <c r="BC570">
        <v>1</v>
      </c>
      <c r="BD570" t="str">
        <f t="shared" si="47"/>
        <v xml:space="preserve">N445JS  </v>
      </c>
      <c r="BE570">
        <v>7</v>
      </c>
      <c r="BG570">
        <v>0</v>
      </c>
      <c r="BH570">
        <v>0</v>
      </c>
      <c r="BI570">
        <v>0</v>
      </c>
      <c r="BJ570">
        <v>2925</v>
      </c>
      <c r="BK570">
        <v>-175</v>
      </c>
      <c r="BL570" t="s">
        <v>132</v>
      </c>
      <c r="BM570">
        <v>1</v>
      </c>
      <c r="BN570">
        <v>1</v>
      </c>
      <c r="BO570">
        <v>1</v>
      </c>
      <c r="BP570">
        <v>0</v>
      </c>
      <c r="BT570">
        <v>0</v>
      </c>
      <c r="BU570">
        <v>0</v>
      </c>
      <c r="CE570" t="str">
        <f>"15:39:59.639"</f>
        <v>15:39:59.639</v>
      </c>
      <c r="CF570">
        <v>638632395</v>
      </c>
      <c r="CS570">
        <v>0</v>
      </c>
      <c r="CT570">
        <v>2</v>
      </c>
      <c r="CU570">
        <v>0</v>
      </c>
      <c r="CV570">
        <v>2</v>
      </c>
      <c r="CW570">
        <v>0</v>
      </c>
      <c r="CX570">
        <v>5</v>
      </c>
      <c r="CY570">
        <v>7</v>
      </c>
      <c r="CZ570" t="s">
        <v>133</v>
      </c>
      <c r="DA570">
        <v>125</v>
      </c>
      <c r="DB570">
        <v>1</v>
      </c>
      <c r="DC570" t="s">
        <v>134</v>
      </c>
      <c r="DD570" t="s">
        <v>135</v>
      </c>
      <c r="DG570">
        <v>2589300</v>
      </c>
      <c r="DI570">
        <v>0</v>
      </c>
      <c r="DJ570">
        <v>0</v>
      </c>
      <c r="DK570">
        <v>0</v>
      </c>
      <c r="DL570">
        <v>0</v>
      </c>
      <c r="DM570">
        <v>0</v>
      </c>
      <c r="DN570">
        <v>0</v>
      </c>
      <c r="DO570">
        <v>0</v>
      </c>
      <c r="DP570">
        <v>0</v>
      </c>
      <c r="DQ570">
        <v>0</v>
      </c>
      <c r="DR570">
        <v>0</v>
      </c>
      <c r="DS570">
        <v>0</v>
      </c>
    </row>
    <row r="571" spans="1:123" x14ac:dyDescent="0.25">
      <c r="A571" t="str">
        <f>"04/17/2026 15:39:59.883"</f>
        <v>04/17/2026 15:39:59.883</v>
      </c>
      <c r="C571" t="str">
        <f t="shared" si="44"/>
        <v>FFDFD3C0</v>
      </c>
      <c r="D571" t="s">
        <v>136</v>
      </c>
      <c r="E571" t="str">
        <f>"0E"</f>
        <v>0E</v>
      </c>
      <c r="F571">
        <v>1014</v>
      </c>
      <c r="G571" t="s">
        <v>125</v>
      </c>
      <c r="J571" t="s">
        <v>137</v>
      </c>
      <c r="K571">
        <v>0</v>
      </c>
      <c r="L571">
        <v>3</v>
      </c>
      <c r="M571">
        <v>0</v>
      </c>
      <c r="N571">
        <v>2</v>
      </c>
      <c r="O571">
        <v>1</v>
      </c>
      <c r="P571">
        <v>0</v>
      </c>
      <c r="Q571">
        <v>0</v>
      </c>
      <c r="R571" t="s">
        <v>127</v>
      </c>
      <c r="S571" t="str">
        <f>"15:39:59.633"</f>
        <v>15:39:59.633</v>
      </c>
      <c r="T571" t="str">
        <f>"15:39:59.233"</f>
        <v>15:39:59.233</v>
      </c>
      <c r="U571" t="str">
        <f t="shared" si="45"/>
        <v>A55E09</v>
      </c>
      <c r="V571">
        <v>0</v>
      </c>
      <c r="W571">
        <v>0</v>
      </c>
      <c r="X571">
        <v>2</v>
      </c>
      <c r="Y571">
        <v>0</v>
      </c>
      <c r="AA571">
        <v>0</v>
      </c>
      <c r="AB571">
        <v>9</v>
      </c>
      <c r="AC571">
        <v>3</v>
      </c>
      <c r="AD571">
        <v>0</v>
      </c>
      <c r="AE571">
        <v>9</v>
      </c>
      <c r="AF571" t="s">
        <v>128</v>
      </c>
      <c r="AG571">
        <v>0</v>
      </c>
      <c r="AH571">
        <v>0</v>
      </c>
      <c r="AI571">
        <v>1</v>
      </c>
      <c r="AJ571">
        <v>0</v>
      </c>
      <c r="AK571" t="s">
        <v>400</v>
      </c>
      <c r="AL571">
        <v>33.712899999999998</v>
      </c>
      <c r="AM571" t="s">
        <v>331</v>
      </c>
      <c r="AN571">
        <v>-101.209316</v>
      </c>
      <c r="AO571">
        <v>100</v>
      </c>
      <c r="AP571">
        <v>3100</v>
      </c>
      <c r="AQ571" t="s">
        <v>131</v>
      </c>
      <c r="AR571">
        <v>22</v>
      </c>
      <c r="AS571">
        <v>90</v>
      </c>
      <c r="AT571">
        <v>-192</v>
      </c>
      <c r="BB571" t="str">
        <f t="shared" si="46"/>
        <v>1200</v>
      </c>
      <c r="BC571">
        <v>1</v>
      </c>
      <c r="BD571" t="str">
        <f t="shared" si="47"/>
        <v xml:space="preserve">N445JS  </v>
      </c>
      <c r="BE571">
        <v>7</v>
      </c>
      <c r="BG571">
        <v>0</v>
      </c>
      <c r="BH571">
        <v>0</v>
      </c>
      <c r="BI571">
        <v>0</v>
      </c>
      <c r="BJ571">
        <v>2925</v>
      </c>
      <c r="BK571">
        <v>-175</v>
      </c>
      <c r="BL571" t="s">
        <v>132</v>
      </c>
      <c r="BM571">
        <v>1</v>
      </c>
      <c r="BN571">
        <v>1</v>
      </c>
      <c r="BO571">
        <v>1</v>
      </c>
      <c r="BP571">
        <v>0</v>
      </c>
      <c r="BT571">
        <v>0</v>
      </c>
      <c r="BU571">
        <v>0</v>
      </c>
      <c r="CE571" t="str">
        <f>"15:39:59.639"</f>
        <v>15:39:59.639</v>
      </c>
      <c r="CF571">
        <v>638632395</v>
      </c>
      <c r="CS571">
        <v>0</v>
      </c>
      <c r="CT571">
        <v>2</v>
      </c>
      <c r="CU571">
        <v>0</v>
      </c>
      <c r="CV571">
        <v>2</v>
      </c>
      <c r="CW571">
        <v>0</v>
      </c>
      <c r="CX571">
        <v>5</v>
      </c>
      <c r="CY571">
        <v>7</v>
      </c>
      <c r="CZ571" t="s">
        <v>133</v>
      </c>
      <c r="DA571">
        <v>125</v>
      </c>
      <c r="DB571">
        <v>1</v>
      </c>
      <c r="DC571" t="s">
        <v>134</v>
      </c>
      <c r="DD571" t="s">
        <v>135</v>
      </c>
      <c r="DG571">
        <v>2589300</v>
      </c>
      <c r="DI571">
        <v>0</v>
      </c>
      <c r="DJ571">
        <v>0</v>
      </c>
      <c r="DK571">
        <v>1</v>
      </c>
      <c r="DL571">
        <v>0</v>
      </c>
      <c r="DM571">
        <v>0</v>
      </c>
      <c r="DN571">
        <v>0</v>
      </c>
      <c r="DO571">
        <v>0</v>
      </c>
      <c r="DP571">
        <v>0</v>
      </c>
      <c r="DQ571">
        <v>0</v>
      </c>
      <c r="DR571">
        <v>0</v>
      </c>
      <c r="DS571">
        <v>0</v>
      </c>
    </row>
    <row r="572" spans="1:123" x14ac:dyDescent="0.25">
      <c r="A572" t="str">
        <f>"04/17/2026 15:39:59.897"</f>
        <v>04/17/2026 15:39:59.897</v>
      </c>
      <c r="C572" t="str">
        <f t="shared" si="44"/>
        <v>FFDFD3C0</v>
      </c>
      <c r="D572" t="s">
        <v>139</v>
      </c>
      <c r="E572" t="str">
        <f>"28"</f>
        <v>28</v>
      </c>
      <c r="H572">
        <v>140</v>
      </c>
      <c r="I572" t="s">
        <v>140</v>
      </c>
      <c r="J572" t="s">
        <v>141</v>
      </c>
      <c r="K572">
        <v>0</v>
      </c>
      <c r="L572">
        <v>3</v>
      </c>
      <c r="M572">
        <v>0</v>
      </c>
      <c r="N572">
        <v>2</v>
      </c>
      <c r="O572">
        <v>1</v>
      </c>
      <c r="P572">
        <v>0</v>
      </c>
      <c r="Q572">
        <v>0</v>
      </c>
      <c r="R572" t="s">
        <v>127</v>
      </c>
      <c r="S572" t="str">
        <f>"15:39:59.633"</f>
        <v>15:39:59.633</v>
      </c>
      <c r="T572" t="str">
        <f>"15:39:59.233"</f>
        <v>15:39:59.233</v>
      </c>
      <c r="U572" t="str">
        <f t="shared" si="45"/>
        <v>A55E09</v>
      </c>
      <c r="V572">
        <v>0</v>
      </c>
      <c r="W572">
        <v>0</v>
      </c>
      <c r="X572">
        <v>2</v>
      </c>
      <c r="Y572">
        <v>0</v>
      </c>
      <c r="AA572">
        <v>0</v>
      </c>
      <c r="AB572">
        <v>9</v>
      </c>
      <c r="AC572">
        <v>3</v>
      </c>
      <c r="AD572">
        <v>0</v>
      </c>
      <c r="AE572">
        <v>9</v>
      </c>
      <c r="AF572" t="s">
        <v>128</v>
      </c>
      <c r="AG572">
        <v>0</v>
      </c>
      <c r="AH572">
        <v>0</v>
      </c>
      <c r="AI572">
        <v>1</v>
      </c>
      <c r="AJ572">
        <v>0</v>
      </c>
      <c r="AK572" t="s">
        <v>400</v>
      </c>
      <c r="AL572">
        <v>33.712899999999998</v>
      </c>
      <c r="AM572" t="s">
        <v>331</v>
      </c>
      <c r="AN572">
        <v>-101.209316</v>
      </c>
      <c r="AO572">
        <v>100</v>
      </c>
      <c r="AP572">
        <v>3100</v>
      </c>
      <c r="AQ572" t="s">
        <v>131</v>
      </c>
      <c r="AR572">
        <v>22</v>
      </c>
      <c r="AS572">
        <v>90</v>
      </c>
      <c r="AT572">
        <v>-192</v>
      </c>
      <c r="BB572" t="str">
        <f t="shared" si="46"/>
        <v>1200</v>
      </c>
      <c r="BC572">
        <v>1</v>
      </c>
      <c r="BD572" t="str">
        <f t="shared" si="47"/>
        <v xml:space="preserve">N445JS  </v>
      </c>
      <c r="BE572">
        <v>7</v>
      </c>
      <c r="BG572">
        <v>0</v>
      </c>
      <c r="BH572">
        <v>0</v>
      </c>
      <c r="BI572">
        <v>0</v>
      </c>
      <c r="BJ572">
        <v>2925</v>
      </c>
      <c r="BK572">
        <v>-175</v>
      </c>
      <c r="BL572" t="s">
        <v>132</v>
      </c>
      <c r="BM572">
        <v>1</v>
      </c>
      <c r="BN572">
        <v>1</v>
      </c>
      <c r="BO572">
        <v>1</v>
      </c>
      <c r="BP572">
        <v>0</v>
      </c>
      <c r="BT572">
        <v>0</v>
      </c>
      <c r="BU572">
        <v>0</v>
      </c>
      <c r="CE572" t="str">
        <f>"15:39:59.639"</f>
        <v>15:39:59.639</v>
      </c>
      <c r="CF572">
        <v>638632395</v>
      </c>
      <c r="CS572">
        <v>0</v>
      </c>
      <c r="CT572">
        <v>2</v>
      </c>
      <c r="CU572">
        <v>0</v>
      </c>
      <c r="CV572">
        <v>2</v>
      </c>
      <c r="CW572">
        <v>0</v>
      </c>
      <c r="CX572">
        <v>5</v>
      </c>
      <c r="CY572">
        <v>7</v>
      </c>
      <c r="CZ572" t="s">
        <v>133</v>
      </c>
      <c r="DA572">
        <v>125</v>
      </c>
      <c r="DB572">
        <v>1</v>
      </c>
      <c r="DC572" t="s">
        <v>134</v>
      </c>
      <c r="DD572" t="s">
        <v>135</v>
      </c>
      <c r="DG572">
        <v>2589300</v>
      </c>
      <c r="DI572">
        <v>0</v>
      </c>
      <c r="DJ572">
        <v>0</v>
      </c>
      <c r="DK572">
        <v>1</v>
      </c>
      <c r="DL572">
        <v>0</v>
      </c>
      <c r="DM572">
        <v>0</v>
      </c>
      <c r="DN572">
        <v>0</v>
      </c>
      <c r="DO572">
        <v>0</v>
      </c>
      <c r="DP572">
        <v>0</v>
      </c>
      <c r="DQ572">
        <v>0</v>
      </c>
      <c r="DR572">
        <v>0</v>
      </c>
      <c r="DS572">
        <v>0</v>
      </c>
    </row>
    <row r="573" spans="1:123" x14ac:dyDescent="0.25">
      <c r="A573" t="str">
        <f>"04/17/2026 15:39:59.899"</f>
        <v>04/17/2026 15:39:59.899</v>
      </c>
      <c r="C573" t="str">
        <f t="shared" si="44"/>
        <v>FFDFD3C0</v>
      </c>
      <c r="D573" t="s">
        <v>136</v>
      </c>
      <c r="E573" t="str">
        <f>"0F"</f>
        <v>0F</v>
      </c>
      <c r="F573">
        <v>1015</v>
      </c>
      <c r="G573" t="s">
        <v>138</v>
      </c>
      <c r="J573" t="s">
        <v>137</v>
      </c>
      <c r="K573">
        <v>0</v>
      </c>
      <c r="L573">
        <v>3</v>
      </c>
      <c r="M573">
        <v>0</v>
      </c>
      <c r="N573">
        <v>2</v>
      </c>
      <c r="O573">
        <v>1</v>
      </c>
      <c r="P573">
        <v>0</v>
      </c>
      <c r="Q573">
        <v>0</v>
      </c>
      <c r="R573" t="s">
        <v>127</v>
      </c>
      <c r="S573" t="str">
        <f>"15:39:59.633"</f>
        <v>15:39:59.633</v>
      </c>
      <c r="T573" t="str">
        <f>"15:39:59.233"</f>
        <v>15:39:59.233</v>
      </c>
      <c r="U573" t="str">
        <f t="shared" si="45"/>
        <v>A55E09</v>
      </c>
      <c r="V573">
        <v>0</v>
      </c>
      <c r="W573">
        <v>0</v>
      </c>
      <c r="X573">
        <v>2</v>
      </c>
      <c r="Y573">
        <v>0</v>
      </c>
      <c r="AA573">
        <v>0</v>
      </c>
      <c r="AB573">
        <v>9</v>
      </c>
      <c r="AC573">
        <v>3</v>
      </c>
      <c r="AD573">
        <v>0</v>
      </c>
      <c r="AE573">
        <v>9</v>
      </c>
      <c r="AF573" t="s">
        <v>128</v>
      </c>
      <c r="AG573">
        <v>0</v>
      </c>
      <c r="AH573">
        <v>0</v>
      </c>
      <c r="AI573">
        <v>1</v>
      </c>
      <c r="AJ573">
        <v>0</v>
      </c>
      <c r="AK573" t="s">
        <v>400</v>
      </c>
      <c r="AL573">
        <v>33.712899999999998</v>
      </c>
      <c r="AM573" t="s">
        <v>331</v>
      </c>
      <c r="AN573">
        <v>-101.209316</v>
      </c>
      <c r="AO573">
        <v>100</v>
      </c>
      <c r="AP573">
        <v>3100</v>
      </c>
      <c r="AQ573" t="s">
        <v>131</v>
      </c>
      <c r="AR573">
        <v>22</v>
      </c>
      <c r="AS573">
        <v>90</v>
      </c>
      <c r="AT573">
        <v>-192</v>
      </c>
      <c r="BB573" t="str">
        <f t="shared" si="46"/>
        <v>1200</v>
      </c>
      <c r="BC573">
        <v>1</v>
      </c>
      <c r="BD573" t="str">
        <f t="shared" si="47"/>
        <v xml:space="preserve">N445JS  </v>
      </c>
      <c r="BE573">
        <v>7</v>
      </c>
      <c r="BG573">
        <v>0</v>
      </c>
      <c r="BH573">
        <v>0</v>
      </c>
      <c r="BI573">
        <v>0</v>
      </c>
      <c r="BJ573">
        <v>2925</v>
      </c>
      <c r="BK573">
        <v>-175</v>
      </c>
      <c r="BL573" t="s">
        <v>132</v>
      </c>
      <c r="BM573">
        <v>1</v>
      </c>
      <c r="BN573">
        <v>1</v>
      </c>
      <c r="BO573">
        <v>1</v>
      </c>
      <c r="BP573">
        <v>0</v>
      </c>
      <c r="BT573">
        <v>0</v>
      </c>
      <c r="BU573">
        <v>0</v>
      </c>
      <c r="CE573" t="str">
        <f>"15:39:59.639"</f>
        <v>15:39:59.639</v>
      </c>
      <c r="CF573">
        <v>638632395</v>
      </c>
      <c r="CS573">
        <v>0</v>
      </c>
      <c r="CT573">
        <v>2</v>
      </c>
      <c r="CU573">
        <v>0</v>
      </c>
      <c r="CV573">
        <v>2</v>
      </c>
      <c r="CW573">
        <v>0</v>
      </c>
      <c r="CX573">
        <v>5</v>
      </c>
      <c r="CY573">
        <v>7</v>
      </c>
      <c r="CZ573" t="s">
        <v>133</v>
      </c>
      <c r="DA573">
        <v>125</v>
      </c>
      <c r="DB573">
        <v>1</v>
      </c>
      <c r="DC573" t="s">
        <v>134</v>
      </c>
      <c r="DD573" t="s">
        <v>135</v>
      </c>
      <c r="DG573">
        <v>2589300</v>
      </c>
      <c r="DI573">
        <v>0</v>
      </c>
      <c r="DJ573">
        <v>0</v>
      </c>
      <c r="DK573">
        <v>1</v>
      </c>
      <c r="DL573">
        <v>0</v>
      </c>
      <c r="DM573">
        <v>0</v>
      </c>
      <c r="DN573">
        <v>0</v>
      </c>
      <c r="DO573">
        <v>0</v>
      </c>
      <c r="DP573">
        <v>0</v>
      </c>
      <c r="DQ573">
        <v>0</v>
      </c>
      <c r="DR573">
        <v>0</v>
      </c>
      <c r="DS573">
        <v>0</v>
      </c>
    </row>
    <row r="574" spans="1:123" x14ac:dyDescent="0.25">
      <c r="A574" t="str">
        <f>"04/17/2026 15:40:01.385"</f>
        <v>04/17/2026 15:40:01.385</v>
      </c>
      <c r="C574" t="str">
        <f t="shared" si="44"/>
        <v>FFDFD3C0</v>
      </c>
      <c r="D574" t="s">
        <v>136</v>
      </c>
      <c r="E574" t="str">
        <f>"0E"</f>
        <v>0E</v>
      </c>
      <c r="F574">
        <v>1014</v>
      </c>
      <c r="G574" t="s">
        <v>125</v>
      </c>
      <c r="J574" t="s">
        <v>137</v>
      </c>
      <c r="K574">
        <v>0</v>
      </c>
      <c r="L574">
        <v>3</v>
      </c>
      <c r="M574">
        <v>0</v>
      </c>
      <c r="N574">
        <v>2</v>
      </c>
      <c r="O574">
        <v>1</v>
      </c>
      <c r="P574">
        <v>0</v>
      </c>
      <c r="Q574">
        <v>0</v>
      </c>
      <c r="R574" t="s">
        <v>127</v>
      </c>
      <c r="S574" t="str">
        <f>"15:40:01.148"</f>
        <v>15:40:01.148</v>
      </c>
      <c r="T574" t="str">
        <f>"15:40:00.948"</f>
        <v>15:40:00.948</v>
      </c>
      <c r="U574" t="str">
        <f t="shared" si="45"/>
        <v>A55E09</v>
      </c>
      <c r="V574">
        <v>0</v>
      </c>
      <c r="W574">
        <v>0</v>
      </c>
      <c r="X574">
        <v>2</v>
      </c>
      <c r="Y574">
        <v>0</v>
      </c>
      <c r="AA574">
        <v>0</v>
      </c>
      <c r="AB574">
        <v>9</v>
      </c>
      <c r="AC574">
        <v>3</v>
      </c>
      <c r="AD574">
        <v>0</v>
      </c>
      <c r="AE574">
        <v>9</v>
      </c>
      <c r="AF574" t="s">
        <v>128</v>
      </c>
      <c r="AG574">
        <v>0</v>
      </c>
      <c r="AH574">
        <v>0</v>
      </c>
      <c r="AI574">
        <v>1</v>
      </c>
      <c r="AJ574">
        <v>0</v>
      </c>
      <c r="AK574" t="s">
        <v>401</v>
      </c>
      <c r="AL574">
        <v>33.713500000000003</v>
      </c>
      <c r="AM574" t="s">
        <v>402</v>
      </c>
      <c r="AN574">
        <v>-101.20908</v>
      </c>
      <c r="AO574">
        <v>100</v>
      </c>
      <c r="AP574">
        <v>3100</v>
      </c>
      <c r="AQ574" t="s">
        <v>131</v>
      </c>
      <c r="AR574">
        <v>24</v>
      </c>
      <c r="AS574">
        <v>89</v>
      </c>
      <c r="AT574">
        <v>-128</v>
      </c>
      <c r="BB574" t="str">
        <f t="shared" si="46"/>
        <v>1200</v>
      </c>
      <c r="BC574">
        <v>1</v>
      </c>
      <c r="BD574" t="str">
        <f t="shared" si="47"/>
        <v xml:space="preserve">N445JS  </v>
      </c>
      <c r="BE574">
        <v>7</v>
      </c>
      <c r="BG574">
        <v>0</v>
      </c>
      <c r="BH574">
        <v>0</v>
      </c>
      <c r="BI574">
        <v>0</v>
      </c>
      <c r="BJ574">
        <v>2925</v>
      </c>
      <c r="BK574">
        <v>-175</v>
      </c>
      <c r="BL574" t="s">
        <v>132</v>
      </c>
      <c r="BM574">
        <v>1</v>
      </c>
      <c r="BN574">
        <v>1</v>
      </c>
      <c r="BO574">
        <v>1</v>
      </c>
      <c r="BP574">
        <v>0</v>
      </c>
      <c r="BT574">
        <v>0</v>
      </c>
      <c r="BU574">
        <v>0</v>
      </c>
      <c r="CE574" t="str">
        <f>"15:40:01.153"</f>
        <v>15:40:01.153</v>
      </c>
      <c r="CF574">
        <v>153484059</v>
      </c>
      <c r="CS574">
        <v>0</v>
      </c>
      <c r="CT574">
        <v>2</v>
      </c>
      <c r="CU574">
        <v>0</v>
      </c>
      <c r="CV574">
        <v>2</v>
      </c>
      <c r="CW574">
        <v>0</v>
      </c>
      <c r="CX574">
        <v>5</v>
      </c>
      <c r="CY574">
        <v>7</v>
      </c>
      <c r="CZ574" t="s">
        <v>133</v>
      </c>
      <c r="DA574">
        <v>125</v>
      </c>
      <c r="DB574">
        <v>1</v>
      </c>
      <c r="DC574" t="s">
        <v>134</v>
      </c>
      <c r="DD574" t="s">
        <v>135</v>
      </c>
      <c r="DG574">
        <v>2590870</v>
      </c>
      <c r="DI574">
        <v>0</v>
      </c>
      <c r="DJ574">
        <v>0</v>
      </c>
      <c r="DK574">
        <v>0</v>
      </c>
      <c r="DL574">
        <v>0</v>
      </c>
      <c r="DM574">
        <v>0</v>
      </c>
      <c r="DN574">
        <v>0</v>
      </c>
      <c r="DO574">
        <v>0</v>
      </c>
      <c r="DP574">
        <v>0</v>
      </c>
      <c r="DQ574">
        <v>0</v>
      </c>
      <c r="DR574">
        <v>0</v>
      </c>
      <c r="DS574">
        <v>0</v>
      </c>
    </row>
    <row r="575" spans="1:123" x14ac:dyDescent="0.25">
      <c r="A575" t="str">
        <f>"04/17/2026 15:40:01.401"</f>
        <v>04/17/2026 15:40:01.401</v>
      </c>
      <c r="C575" t="str">
        <f t="shared" si="44"/>
        <v>FFDFD3C0</v>
      </c>
      <c r="D575" t="s">
        <v>139</v>
      </c>
      <c r="E575" t="str">
        <f>"28"</f>
        <v>28</v>
      </c>
      <c r="H575">
        <v>140</v>
      </c>
      <c r="I575" t="s">
        <v>140</v>
      </c>
      <c r="J575" t="s">
        <v>141</v>
      </c>
      <c r="K575">
        <v>0</v>
      </c>
      <c r="L575">
        <v>3</v>
      </c>
      <c r="M575">
        <v>0</v>
      </c>
      <c r="N575">
        <v>2</v>
      </c>
      <c r="O575">
        <v>1</v>
      </c>
      <c r="P575">
        <v>0</v>
      </c>
      <c r="Q575">
        <v>0</v>
      </c>
      <c r="R575" t="s">
        <v>127</v>
      </c>
      <c r="S575" t="str">
        <f>"15:40:01.148"</f>
        <v>15:40:01.148</v>
      </c>
      <c r="T575" t="str">
        <f>"15:40:00.948"</f>
        <v>15:40:00.948</v>
      </c>
      <c r="U575" t="str">
        <f t="shared" si="45"/>
        <v>A55E09</v>
      </c>
      <c r="V575">
        <v>0</v>
      </c>
      <c r="W575">
        <v>0</v>
      </c>
      <c r="X575">
        <v>2</v>
      </c>
      <c r="Y575">
        <v>0</v>
      </c>
      <c r="AA575">
        <v>0</v>
      </c>
      <c r="AB575">
        <v>9</v>
      </c>
      <c r="AC575">
        <v>3</v>
      </c>
      <c r="AD575">
        <v>0</v>
      </c>
      <c r="AE575">
        <v>9</v>
      </c>
      <c r="AF575" t="s">
        <v>128</v>
      </c>
      <c r="AG575">
        <v>0</v>
      </c>
      <c r="AH575">
        <v>0</v>
      </c>
      <c r="AI575">
        <v>1</v>
      </c>
      <c r="AJ575">
        <v>0</v>
      </c>
      <c r="AK575" t="s">
        <v>401</v>
      </c>
      <c r="AL575">
        <v>33.713500000000003</v>
      </c>
      <c r="AM575" t="s">
        <v>402</v>
      </c>
      <c r="AN575">
        <v>-101.20908</v>
      </c>
      <c r="AO575">
        <v>100</v>
      </c>
      <c r="AP575">
        <v>3100</v>
      </c>
      <c r="AQ575" t="s">
        <v>131</v>
      </c>
      <c r="AR575">
        <v>24</v>
      </c>
      <c r="AS575">
        <v>89</v>
      </c>
      <c r="AT575">
        <v>-128</v>
      </c>
      <c r="BB575" t="str">
        <f t="shared" si="46"/>
        <v>1200</v>
      </c>
      <c r="BC575">
        <v>1</v>
      </c>
      <c r="BD575" t="str">
        <f t="shared" si="47"/>
        <v xml:space="preserve">N445JS  </v>
      </c>
      <c r="BE575">
        <v>7</v>
      </c>
      <c r="BG575">
        <v>0</v>
      </c>
      <c r="BH575">
        <v>0</v>
      </c>
      <c r="BI575">
        <v>0</v>
      </c>
      <c r="BJ575">
        <v>2925</v>
      </c>
      <c r="BK575">
        <v>-175</v>
      </c>
      <c r="BL575" t="s">
        <v>132</v>
      </c>
      <c r="BM575">
        <v>1</v>
      </c>
      <c r="BN575">
        <v>1</v>
      </c>
      <c r="BO575">
        <v>1</v>
      </c>
      <c r="BP575">
        <v>0</v>
      </c>
      <c r="BT575">
        <v>0</v>
      </c>
      <c r="BU575">
        <v>0</v>
      </c>
      <c r="CE575" t="str">
        <f>"15:40:01.153"</f>
        <v>15:40:01.153</v>
      </c>
      <c r="CF575">
        <v>153484059</v>
      </c>
      <c r="CS575">
        <v>0</v>
      </c>
      <c r="CT575">
        <v>2</v>
      </c>
      <c r="CU575">
        <v>0</v>
      </c>
      <c r="CV575">
        <v>2</v>
      </c>
      <c r="CW575">
        <v>0</v>
      </c>
      <c r="CX575">
        <v>5</v>
      </c>
      <c r="CY575">
        <v>7</v>
      </c>
      <c r="CZ575" t="s">
        <v>133</v>
      </c>
      <c r="DA575">
        <v>125</v>
      </c>
      <c r="DB575">
        <v>1</v>
      </c>
      <c r="DC575" t="s">
        <v>134</v>
      </c>
      <c r="DD575" t="s">
        <v>135</v>
      </c>
      <c r="DG575">
        <v>2590870</v>
      </c>
      <c r="DI575">
        <v>0</v>
      </c>
      <c r="DJ575">
        <v>0</v>
      </c>
      <c r="DK575">
        <v>1</v>
      </c>
      <c r="DL575">
        <v>0</v>
      </c>
      <c r="DM575">
        <v>0</v>
      </c>
      <c r="DN575">
        <v>0</v>
      </c>
      <c r="DO575">
        <v>0</v>
      </c>
      <c r="DP575">
        <v>0</v>
      </c>
      <c r="DQ575">
        <v>0</v>
      </c>
      <c r="DR575">
        <v>0</v>
      </c>
      <c r="DS575">
        <v>0</v>
      </c>
    </row>
    <row r="576" spans="1:123" x14ac:dyDescent="0.25">
      <c r="A576" t="str">
        <f>"04/17/2026 15:40:01.402"</f>
        <v>04/17/2026 15:40:01.402</v>
      </c>
      <c r="C576" t="str">
        <f t="shared" si="44"/>
        <v>FFDFD3C0</v>
      </c>
      <c r="D576" t="s">
        <v>136</v>
      </c>
      <c r="E576" t="str">
        <f>"0F"</f>
        <v>0F</v>
      </c>
      <c r="F576">
        <v>1015</v>
      </c>
      <c r="G576" t="s">
        <v>138</v>
      </c>
      <c r="J576" t="s">
        <v>137</v>
      </c>
      <c r="K576">
        <v>0</v>
      </c>
      <c r="L576">
        <v>3</v>
      </c>
      <c r="M576">
        <v>0</v>
      </c>
      <c r="N576">
        <v>2</v>
      </c>
      <c r="O576">
        <v>1</v>
      </c>
      <c r="P576">
        <v>0</v>
      </c>
      <c r="Q576">
        <v>0</v>
      </c>
      <c r="R576" t="s">
        <v>127</v>
      </c>
      <c r="S576" t="str">
        <f>"15:40:01.148"</f>
        <v>15:40:01.148</v>
      </c>
      <c r="T576" t="str">
        <f>"15:40:00.948"</f>
        <v>15:40:00.948</v>
      </c>
      <c r="U576" t="str">
        <f t="shared" si="45"/>
        <v>A55E09</v>
      </c>
      <c r="V576">
        <v>0</v>
      </c>
      <c r="W576">
        <v>0</v>
      </c>
      <c r="X576">
        <v>2</v>
      </c>
      <c r="Y576">
        <v>0</v>
      </c>
      <c r="AA576">
        <v>0</v>
      </c>
      <c r="AB576">
        <v>9</v>
      </c>
      <c r="AC576">
        <v>3</v>
      </c>
      <c r="AD576">
        <v>0</v>
      </c>
      <c r="AE576">
        <v>9</v>
      </c>
      <c r="AF576" t="s">
        <v>128</v>
      </c>
      <c r="AG576">
        <v>0</v>
      </c>
      <c r="AH576">
        <v>0</v>
      </c>
      <c r="AI576">
        <v>1</v>
      </c>
      <c r="AJ576">
        <v>0</v>
      </c>
      <c r="AK576" t="s">
        <v>401</v>
      </c>
      <c r="AL576">
        <v>33.713500000000003</v>
      </c>
      <c r="AM576" t="s">
        <v>402</v>
      </c>
      <c r="AN576">
        <v>-101.20908</v>
      </c>
      <c r="AO576">
        <v>100</v>
      </c>
      <c r="AP576">
        <v>3100</v>
      </c>
      <c r="AQ576" t="s">
        <v>131</v>
      </c>
      <c r="AR576">
        <v>24</v>
      </c>
      <c r="AS576">
        <v>89</v>
      </c>
      <c r="AT576">
        <v>-128</v>
      </c>
      <c r="BB576" t="str">
        <f t="shared" si="46"/>
        <v>1200</v>
      </c>
      <c r="BC576">
        <v>1</v>
      </c>
      <c r="BD576" t="str">
        <f t="shared" si="47"/>
        <v xml:space="preserve">N445JS  </v>
      </c>
      <c r="BE576">
        <v>7</v>
      </c>
      <c r="BG576">
        <v>0</v>
      </c>
      <c r="BH576">
        <v>0</v>
      </c>
      <c r="BI576">
        <v>0</v>
      </c>
      <c r="BJ576">
        <v>2925</v>
      </c>
      <c r="BK576">
        <v>-175</v>
      </c>
      <c r="BL576" t="s">
        <v>132</v>
      </c>
      <c r="BM576">
        <v>1</v>
      </c>
      <c r="BN576">
        <v>1</v>
      </c>
      <c r="BO576">
        <v>1</v>
      </c>
      <c r="BP576">
        <v>0</v>
      </c>
      <c r="BT576">
        <v>0</v>
      </c>
      <c r="BU576">
        <v>0</v>
      </c>
      <c r="CE576" t="str">
        <f>"15:40:01.153"</f>
        <v>15:40:01.153</v>
      </c>
      <c r="CF576">
        <v>153484059</v>
      </c>
      <c r="CS576">
        <v>0</v>
      </c>
      <c r="CT576">
        <v>2</v>
      </c>
      <c r="CU576">
        <v>0</v>
      </c>
      <c r="CV576">
        <v>2</v>
      </c>
      <c r="CW576">
        <v>0</v>
      </c>
      <c r="CX576">
        <v>5</v>
      </c>
      <c r="CY576">
        <v>7</v>
      </c>
      <c r="CZ576" t="s">
        <v>133</v>
      </c>
      <c r="DA576">
        <v>125</v>
      </c>
      <c r="DB576">
        <v>1</v>
      </c>
      <c r="DC576" t="s">
        <v>134</v>
      </c>
      <c r="DD576" t="s">
        <v>135</v>
      </c>
      <c r="DG576">
        <v>2590870</v>
      </c>
      <c r="DI576">
        <v>0</v>
      </c>
      <c r="DJ576">
        <v>0</v>
      </c>
      <c r="DK576">
        <v>1</v>
      </c>
      <c r="DL576">
        <v>0</v>
      </c>
      <c r="DM576">
        <v>0</v>
      </c>
      <c r="DN576">
        <v>0</v>
      </c>
      <c r="DO576">
        <v>0</v>
      </c>
      <c r="DP576">
        <v>0</v>
      </c>
      <c r="DQ576">
        <v>0</v>
      </c>
      <c r="DR576">
        <v>0</v>
      </c>
      <c r="DS576">
        <v>0</v>
      </c>
    </row>
    <row r="577" spans="1:123" x14ac:dyDescent="0.25">
      <c r="A577" t="str">
        <f>"04/17/2026 15:40:01.417"</f>
        <v>04/17/2026 15:40:01.417</v>
      </c>
      <c r="C577" t="str">
        <f t="shared" si="44"/>
        <v>FFDFD3C0</v>
      </c>
      <c r="D577" t="s">
        <v>124</v>
      </c>
      <c r="E577" t="str">
        <f>"03"</f>
        <v>03</v>
      </c>
      <c r="H577">
        <v>160</v>
      </c>
      <c r="I577" t="s">
        <v>125</v>
      </c>
      <c r="J577" t="s">
        <v>126</v>
      </c>
      <c r="K577">
        <v>0</v>
      </c>
      <c r="L577">
        <v>3</v>
      </c>
      <c r="M577">
        <v>0</v>
      </c>
      <c r="N577">
        <v>2</v>
      </c>
      <c r="O577">
        <v>1</v>
      </c>
      <c r="P577">
        <v>0</v>
      </c>
      <c r="Q577">
        <v>0</v>
      </c>
      <c r="R577" t="s">
        <v>127</v>
      </c>
      <c r="S577" t="str">
        <f>"15:40:01.148"</f>
        <v>15:40:01.148</v>
      </c>
      <c r="T577" t="str">
        <f>"15:40:00.948"</f>
        <v>15:40:00.948</v>
      </c>
      <c r="U577" t="str">
        <f t="shared" si="45"/>
        <v>A55E09</v>
      </c>
      <c r="V577">
        <v>0</v>
      </c>
      <c r="W577">
        <v>0</v>
      </c>
      <c r="X577">
        <v>2</v>
      </c>
      <c r="Y577">
        <v>0</v>
      </c>
      <c r="AA577">
        <v>0</v>
      </c>
      <c r="AB577">
        <v>9</v>
      </c>
      <c r="AC577">
        <v>3</v>
      </c>
      <c r="AD577">
        <v>0</v>
      </c>
      <c r="AE577">
        <v>9</v>
      </c>
      <c r="AF577" t="s">
        <v>128</v>
      </c>
      <c r="AG577">
        <v>0</v>
      </c>
      <c r="AH577">
        <v>0</v>
      </c>
      <c r="AI577">
        <v>1</v>
      </c>
      <c r="AJ577">
        <v>0</v>
      </c>
      <c r="AK577" t="s">
        <v>401</v>
      </c>
      <c r="AL577">
        <v>33.713500000000003</v>
      </c>
      <c r="AM577" t="s">
        <v>402</v>
      </c>
      <c r="AN577">
        <v>-101.20908</v>
      </c>
      <c r="AO577">
        <v>100</v>
      </c>
      <c r="AP577">
        <v>3100</v>
      </c>
      <c r="AQ577" t="s">
        <v>131</v>
      </c>
      <c r="AR577">
        <v>24</v>
      </c>
      <c r="AS577">
        <v>89</v>
      </c>
      <c r="AT577">
        <v>-128</v>
      </c>
      <c r="BB577" t="str">
        <f t="shared" si="46"/>
        <v>1200</v>
      </c>
      <c r="BC577">
        <v>1</v>
      </c>
      <c r="BD577" t="str">
        <f t="shared" si="47"/>
        <v xml:space="preserve">N445JS  </v>
      </c>
      <c r="BE577">
        <v>7</v>
      </c>
      <c r="BG577">
        <v>0</v>
      </c>
      <c r="BH577">
        <v>0</v>
      </c>
      <c r="BI577">
        <v>0</v>
      </c>
      <c r="BJ577">
        <v>2925</v>
      </c>
      <c r="BK577">
        <v>-175</v>
      </c>
      <c r="BL577" t="s">
        <v>132</v>
      </c>
      <c r="BM577">
        <v>1</v>
      </c>
      <c r="BN577">
        <v>1</v>
      </c>
      <c r="BO577">
        <v>1</v>
      </c>
      <c r="BP577">
        <v>0</v>
      </c>
      <c r="BT577">
        <v>0</v>
      </c>
      <c r="BU577">
        <v>0</v>
      </c>
      <c r="CE577" t="str">
        <f>"15:40:01.153"</f>
        <v>15:40:01.153</v>
      </c>
      <c r="CF577">
        <v>153484059</v>
      </c>
      <c r="CS577">
        <v>0</v>
      </c>
      <c r="CT577">
        <v>2</v>
      </c>
      <c r="CU577">
        <v>0</v>
      </c>
      <c r="CV577">
        <v>2</v>
      </c>
      <c r="CW577">
        <v>0</v>
      </c>
      <c r="CX577">
        <v>5</v>
      </c>
      <c r="CY577">
        <v>7</v>
      </c>
      <c r="CZ577" t="s">
        <v>133</v>
      </c>
      <c r="DA577">
        <v>125</v>
      </c>
      <c r="DB577">
        <v>1</v>
      </c>
      <c r="DC577" t="s">
        <v>134</v>
      </c>
      <c r="DD577" t="s">
        <v>135</v>
      </c>
      <c r="DG577">
        <v>2590870</v>
      </c>
      <c r="DI577">
        <v>0</v>
      </c>
      <c r="DJ577">
        <v>0</v>
      </c>
      <c r="DK577">
        <v>1</v>
      </c>
      <c r="DL577">
        <v>0</v>
      </c>
      <c r="DM577">
        <v>0</v>
      </c>
      <c r="DN577">
        <v>0</v>
      </c>
      <c r="DO577">
        <v>0</v>
      </c>
      <c r="DP577">
        <v>0</v>
      </c>
      <c r="DQ577">
        <v>0</v>
      </c>
      <c r="DR577">
        <v>0</v>
      </c>
      <c r="DS577">
        <v>0</v>
      </c>
    </row>
    <row r="578" spans="1:123" x14ac:dyDescent="0.25">
      <c r="A578" t="str">
        <f>"04/17/2026 15:40:02.453"</f>
        <v>04/17/2026 15:40:02.453</v>
      </c>
      <c r="C578" t="str">
        <f t="shared" ref="C578:C641" si="50">"FFDFD3C0"</f>
        <v>FFDFD3C0</v>
      </c>
      <c r="D578" t="s">
        <v>136</v>
      </c>
      <c r="E578" t="str">
        <f>"0F"</f>
        <v>0F</v>
      </c>
      <c r="F578">
        <v>1015</v>
      </c>
      <c r="G578" t="s">
        <v>138</v>
      </c>
      <c r="J578" t="s">
        <v>137</v>
      </c>
      <c r="K578">
        <v>0</v>
      </c>
      <c r="L578">
        <v>3</v>
      </c>
      <c r="M578">
        <v>0</v>
      </c>
      <c r="N578">
        <v>2</v>
      </c>
      <c r="O578">
        <v>1</v>
      </c>
      <c r="P578">
        <v>0</v>
      </c>
      <c r="Q578">
        <v>0</v>
      </c>
      <c r="R578" t="s">
        <v>127</v>
      </c>
      <c r="S578" t="str">
        <f t="shared" ref="S578:T581" si="51">"15:40:02.203"</f>
        <v>15:40:02.203</v>
      </c>
      <c r="T578" t="str">
        <f t="shared" si="51"/>
        <v>15:40:02.203</v>
      </c>
      <c r="U578" t="str">
        <f t="shared" ref="U578:U641" si="52">"A55E09"</f>
        <v>A55E09</v>
      </c>
      <c r="V578">
        <v>0</v>
      </c>
      <c r="W578">
        <v>0</v>
      </c>
      <c r="X578">
        <v>2</v>
      </c>
      <c r="Y578">
        <v>0</v>
      </c>
      <c r="AA578">
        <v>0</v>
      </c>
      <c r="AB578">
        <v>9</v>
      </c>
      <c r="AC578">
        <v>3</v>
      </c>
      <c r="AD578">
        <v>0</v>
      </c>
      <c r="AE578">
        <v>9</v>
      </c>
      <c r="AF578" t="s">
        <v>128</v>
      </c>
      <c r="AG578">
        <v>0</v>
      </c>
      <c r="AH578">
        <v>0</v>
      </c>
      <c r="AI578">
        <v>1</v>
      </c>
      <c r="AJ578">
        <v>0</v>
      </c>
      <c r="AK578" t="s">
        <v>403</v>
      </c>
      <c r="AL578">
        <v>33.713929999999998</v>
      </c>
      <c r="AM578" t="s">
        <v>404</v>
      </c>
      <c r="AN578">
        <v>-101.20890900000001</v>
      </c>
      <c r="AO578">
        <v>100</v>
      </c>
      <c r="AP578">
        <v>3100</v>
      </c>
      <c r="AQ578" t="s">
        <v>131</v>
      </c>
      <c r="AR578">
        <v>26</v>
      </c>
      <c r="AS578">
        <v>89</v>
      </c>
      <c r="AT578">
        <v>-128</v>
      </c>
      <c r="BB578" t="str">
        <f t="shared" ref="BB578:BB641" si="53">"1200"</f>
        <v>1200</v>
      </c>
      <c r="BC578">
        <v>1</v>
      </c>
      <c r="BD578" t="str">
        <f t="shared" ref="BD578:BD641" si="54">"N445JS  "</f>
        <v xml:space="preserve">N445JS  </v>
      </c>
      <c r="BE578">
        <v>7</v>
      </c>
      <c r="BG578">
        <v>0</v>
      </c>
      <c r="BH578">
        <v>0</v>
      </c>
      <c r="BI578">
        <v>0</v>
      </c>
      <c r="BJ578">
        <v>2925</v>
      </c>
      <c r="BK578">
        <v>-175</v>
      </c>
      <c r="BL578" t="s">
        <v>132</v>
      </c>
      <c r="BM578">
        <v>1</v>
      </c>
      <c r="BN578">
        <v>1</v>
      </c>
      <c r="BO578">
        <v>1</v>
      </c>
      <c r="BP578">
        <v>0</v>
      </c>
      <c r="BT578">
        <v>0</v>
      </c>
      <c r="BU578">
        <v>0</v>
      </c>
      <c r="CE578" t="str">
        <f>"15:40:02.203"</f>
        <v>15:40:02.203</v>
      </c>
      <c r="CF578">
        <v>203381238</v>
      </c>
      <c r="CS578">
        <v>0</v>
      </c>
      <c r="CT578">
        <v>2</v>
      </c>
      <c r="CU578">
        <v>0</v>
      </c>
      <c r="CV578">
        <v>2</v>
      </c>
      <c r="CW578">
        <v>0</v>
      </c>
      <c r="CX578">
        <v>5</v>
      </c>
      <c r="CY578">
        <v>7</v>
      </c>
      <c r="CZ578" t="s">
        <v>133</v>
      </c>
      <c r="DA578">
        <v>125</v>
      </c>
      <c r="DB578">
        <v>1</v>
      </c>
      <c r="DC578" t="s">
        <v>134</v>
      </c>
      <c r="DD578" t="s">
        <v>135</v>
      </c>
      <c r="DG578">
        <v>2592023</v>
      </c>
      <c r="DI578">
        <v>0</v>
      </c>
      <c r="DJ578">
        <v>0</v>
      </c>
      <c r="DK578">
        <v>0</v>
      </c>
      <c r="DL578">
        <v>0</v>
      </c>
      <c r="DM578">
        <v>0</v>
      </c>
      <c r="DN578">
        <v>0</v>
      </c>
      <c r="DO578">
        <v>0</v>
      </c>
      <c r="DP578">
        <v>0</v>
      </c>
      <c r="DQ578">
        <v>0</v>
      </c>
      <c r="DR578">
        <v>0</v>
      </c>
      <c r="DS578">
        <v>0</v>
      </c>
    </row>
    <row r="579" spans="1:123" x14ac:dyDescent="0.25">
      <c r="A579" t="str">
        <f>"04/17/2026 15:40:02.453"</f>
        <v>04/17/2026 15:40:02.453</v>
      </c>
      <c r="C579" t="str">
        <f t="shared" si="50"/>
        <v>FFDFD3C0</v>
      </c>
      <c r="D579" t="s">
        <v>139</v>
      </c>
      <c r="E579" t="str">
        <f>"28"</f>
        <v>28</v>
      </c>
      <c r="H579">
        <v>140</v>
      </c>
      <c r="I579" t="s">
        <v>140</v>
      </c>
      <c r="J579" t="s">
        <v>141</v>
      </c>
      <c r="K579">
        <v>0</v>
      </c>
      <c r="L579">
        <v>3</v>
      </c>
      <c r="M579">
        <v>0</v>
      </c>
      <c r="N579">
        <v>2</v>
      </c>
      <c r="O579">
        <v>1</v>
      </c>
      <c r="P579">
        <v>0</v>
      </c>
      <c r="Q579">
        <v>0</v>
      </c>
      <c r="R579" t="s">
        <v>127</v>
      </c>
      <c r="S579" t="str">
        <f t="shared" si="51"/>
        <v>15:40:02.203</v>
      </c>
      <c r="T579" t="str">
        <f t="shared" si="51"/>
        <v>15:40:02.203</v>
      </c>
      <c r="U579" t="str">
        <f t="shared" si="52"/>
        <v>A55E09</v>
      </c>
      <c r="V579">
        <v>0</v>
      </c>
      <c r="W579">
        <v>0</v>
      </c>
      <c r="X579">
        <v>2</v>
      </c>
      <c r="Y579">
        <v>0</v>
      </c>
      <c r="AA579">
        <v>0</v>
      </c>
      <c r="AB579">
        <v>9</v>
      </c>
      <c r="AC579">
        <v>3</v>
      </c>
      <c r="AD579">
        <v>0</v>
      </c>
      <c r="AE579">
        <v>9</v>
      </c>
      <c r="AF579" t="s">
        <v>128</v>
      </c>
      <c r="AG579">
        <v>0</v>
      </c>
      <c r="AH579">
        <v>0</v>
      </c>
      <c r="AI579">
        <v>1</v>
      </c>
      <c r="AJ579">
        <v>0</v>
      </c>
      <c r="AK579" t="s">
        <v>403</v>
      </c>
      <c r="AL579">
        <v>33.713929999999998</v>
      </c>
      <c r="AM579" t="s">
        <v>404</v>
      </c>
      <c r="AN579">
        <v>-101.20890900000001</v>
      </c>
      <c r="AO579">
        <v>100</v>
      </c>
      <c r="AP579">
        <v>3100</v>
      </c>
      <c r="AQ579" t="s">
        <v>131</v>
      </c>
      <c r="AR579">
        <v>26</v>
      </c>
      <c r="AS579">
        <v>89</v>
      </c>
      <c r="AT579">
        <v>-128</v>
      </c>
      <c r="BB579" t="str">
        <f t="shared" si="53"/>
        <v>1200</v>
      </c>
      <c r="BC579">
        <v>1</v>
      </c>
      <c r="BD579" t="str">
        <f t="shared" si="54"/>
        <v xml:space="preserve">N445JS  </v>
      </c>
      <c r="BE579">
        <v>7</v>
      </c>
      <c r="BG579">
        <v>0</v>
      </c>
      <c r="BH579">
        <v>0</v>
      </c>
      <c r="BI579">
        <v>0</v>
      </c>
      <c r="BJ579">
        <v>2925</v>
      </c>
      <c r="BK579">
        <v>-175</v>
      </c>
      <c r="BL579" t="s">
        <v>132</v>
      </c>
      <c r="BM579">
        <v>1</v>
      </c>
      <c r="BN579">
        <v>1</v>
      </c>
      <c r="BO579">
        <v>1</v>
      </c>
      <c r="BP579">
        <v>0</v>
      </c>
      <c r="BT579">
        <v>0</v>
      </c>
      <c r="BU579">
        <v>0</v>
      </c>
      <c r="CE579" t="str">
        <f>"15:40:02.203"</f>
        <v>15:40:02.203</v>
      </c>
      <c r="CF579">
        <v>203381238</v>
      </c>
      <c r="CS579">
        <v>0</v>
      </c>
      <c r="CT579">
        <v>2</v>
      </c>
      <c r="CU579">
        <v>0</v>
      </c>
      <c r="CV579">
        <v>2</v>
      </c>
      <c r="CW579">
        <v>0</v>
      </c>
      <c r="CX579">
        <v>5</v>
      </c>
      <c r="CY579">
        <v>7</v>
      </c>
      <c r="CZ579" t="s">
        <v>133</v>
      </c>
      <c r="DA579">
        <v>125</v>
      </c>
      <c r="DB579">
        <v>1</v>
      </c>
      <c r="DC579" t="s">
        <v>134</v>
      </c>
      <c r="DD579" t="s">
        <v>135</v>
      </c>
      <c r="DG579">
        <v>2592023</v>
      </c>
      <c r="DI579">
        <v>0</v>
      </c>
      <c r="DJ579">
        <v>0</v>
      </c>
      <c r="DK579">
        <v>1</v>
      </c>
      <c r="DL579">
        <v>0</v>
      </c>
      <c r="DM579">
        <v>0</v>
      </c>
      <c r="DN579">
        <v>0</v>
      </c>
      <c r="DO579">
        <v>0</v>
      </c>
      <c r="DP579">
        <v>0</v>
      </c>
      <c r="DQ579">
        <v>0</v>
      </c>
      <c r="DR579">
        <v>0</v>
      </c>
      <c r="DS579">
        <v>0</v>
      </c>
    </row>
    <row r="580" spans="1:123" x14ac:dyDescent="0.25">
      <c r="A580" t="str">
        <f>"04/17/2026 15:40:02.469"</f>
        <v>04/17/2026 15:40:02.469</v>
      </c>
      <c r="C580" t="str">
        <f t="shared" si="50"/>
        <v>FFDFD3C0</v>
      </c>
      <c r="D580" t="s">
        <v>124</v>
      </c>
      <c r="E580" t="str">
        <f>"03"</f>
        <v>03</v>
      </c>
      <c r="H580">
        <v>160</v>
      </c>
      <c r="I580" t="s">
        <v>125</v>
      </c>
      <c r="J580" t="s">
        <v>126</v>
      </c>
      <c r="K580">
        <v>0</v>
      </c>
      <c r="L580">
        <v>3</v>
      </c>
      <c r="M580">
        <v>0</v>
      </c>
      <c r="N580">
        <v>2</v>
      </c>
      <c r="O580">
        <v>1</v>
      </c>
      <c r="P580">
        <v>0</v>
      </c>
      <c r="Q580">
        <v>0</v>
      </c>
      <c r="R580" t="s">
        <v>127</v>
      </c>
      <c r="S580" t="str">
        <f t="shared" si="51"/>
        <v>15:40:02.203</v>
      </c>
      <c r="T580" t="str">
        <f t="shared" si="51"/>
        <v>15:40:02.203</v>
      </c>
      <c r="U580" t="str">
        <f t="shared" si="52"/>
        <v>A55E09</v>
      </c>
      <c r="V580">
        <v>0</v>
      </c>
      <c r="W580">
        <v>0</v>
      </c>
      <c r="X580">
        <v>2</v>
      </c>
      <c r="Y580">
        <v>0</v>
      </c>
      <c r="AA580">
        <v>0</v>
      </c>
      <c r="AB580">
        <v>9</v>
      </c>
      <c r="AC580">
        <v>3</v>
      </c>
      <c r="AD580">
        <v>0</v>
      </c>
      <c r="AE580">
        <v>9</v>
      </c>
      <c r="AF580" t="s">
        <v>128</v>
      </c>
      <c r="AG580">
        <v>0</v>
      </c>
      <c r="AH580">
        <v>0</v>
      </c>
      <c r="AI580">
        <v>1</v>
      </c>
      <c r="AJ580">
        <v>0</v>
      </c>
      <c r="AK580" t="s">
        <v>403</v>
      </c>
      <c r="AL580">
        <v>33.713929999999998</v>
      </c>
      <c r="AM580" t="s">
        <v>404</v>
      </c>
      <c r="AN580">
        <v>-101.20890900000001</v>
      </c>
      <c r="AO580">
        <v>100</v>
      </c>
      <c r="AP580">
        <v>3100</v>
      </c>
      <c r="AQ580" t="s">
        <v>131</v>
      </c>
      <c r="AR580">
        <v>26</v>
      </c>
      <c r="AS580">
        <v>89</v>
      </c>
      <c r="AT580">
        <v>-128</v>
      </c>
      <c r="BB580" t="str">
        <f t="shared" si="53"/>
        <v>1200</v>
      </c>
      <c r="BC580">
        <v>1</v>
      </c>
      <c r="BD580" t="str">
        <f t="shared" si="54"/>
        <v xml:space="preserve">N445JS  </v>
      </c>
      <c r="BE580">
        <v>7</v>
      </c>
      <c r="BG580">
        <v>0</v>
      </c>
      <c r="BH580">
        <v>0</v>
      </c>
      <c r="BI580">
        <v>0</v>
      </c>
      <c r="BJ580">
        <v>2925</v>
      </c>
      <c r="BK580">
        <v>-175</v>
      </c>
      <c r="BL580" t="s">
        <v>132</v>
      </c>
      <c r="BM580">
        <v>1</v>
      </c>
      <c r="BN580">
        <v>1</v>
      </c>
      <c r="BO580">
        <v>1</v>
      </c>
      <c r="BP580">
        <v>0</v>
      </c>
      <c r="BT580">
        <v>0</v>
      </c>
      <c r="BU580">
        <v>0</v>
      </c>
      <c r="CE580" t="str">
        <f>"15:40:02.203"</f>
        <v>15:40:02.203</v>
      </c>
      <c r="CF580">
        <v>203381238</v>
      </c>
      <c r="CS580">
        <v>0</v>
      </c>
      <c r="CT580">
        <v>2</v>
      </c>
      <c r="CU580">
        <v>0</v>
      </c>
      <c r="CV580">
        <v>2</v>
      </c>
      <c r="CW580">
        <v>0</v>
      </c>
      <c r="CX580">
        <v>5</v>
      </c>
      <c r="CY580">
        <v>7</v>
      </c>
      <c r="CZ580" t="s">
        <v>133</v>
      </c>
      <c r="DA580">
        <v>125</v>
      </c>
      <c r="DB580">
        <v>1</v>
      </c>
      <c r="DC580" t="s">
        <v>134</v>
      </c>
      <c r="DD580" t="s">
        <v>135</v>
      </c>
      <c r="DG580">
        <v>2592023</v>
      </c>
      <c r="DI580">
        <v>0</v>
      </c>
      <c r="DJ580">
        <v>0</v>
      </c>
      <c r="DK580">
        <v>1</v>
      </c>
      <c r="DL580">
        <v>0</v>
      </c>
      <c r="DM580">
        <v>0</v>
      </c>
      <c r="DN580">
        <v>0</v>
      </c>
      <c r="DO580">
        <v>0</v>
      </c>
      <c r="DP580">
        <v>0</v>
      </c>
      <c r="DQ580">
        <v>0</v>
      </c>
      <c r="DR580">
        <v>0</v>
      </c>
      <c r="DS580">
        <v>0</v>
      </c>
    </row>
    <row r="581" spans="1:123" x14ac:dyDescent="0.25">
      <c r="A581" t="str">
        <f>"04/17/2026 15:40:02.487"</f>
        <v>04/17/2026 15:40:02.487</v>
      </c>
      <c r="C581" t="str">
        <f t="shared" si="50"/>
        <v>FFDFD3C0</v>
      </c>
      <c r="D581" t="s">
        <v>136</v>
      </c>
      <c r="E581" t="str">
        <f>"0E"</f>
        <v>0E</v>
      </c>
      <c r="F581">
        <v>1014</v>
      </c>
      <c r="G581" t="s">
        <v>125</v>
      </c>
      <c r="J581" t="s">
        <v>137</v>
      </c>
      <c r="K581">
        <v>0</v>
      </c>
      <c r="L581">
        <v>3</v>
      </c>
      <c r="M581">
        <v>0</v>
      </c>
      <c r="N581">
        <v>2</v>
      </c>
      <c r="O581">
        <v>1</v>
      </c>
      <c r="P581">
        <v>0</v>
      </c>
      <c r="Q581">
        <v>0</v>
      </c>
      <c r="R581" t="s">
        <v>127</v>
      </c>
      <c r="S581" t="str">
        <f t="shared" si="51"/>
        <v>15:40:02.203</v>
      </c>
      <c r="T581" t="str">
        <f t="shared" si="51"/>
        <v>15:40:02.203</v>
      </c>
      <c r="U581" t="str">
        <f t="shared" si="52"/>
        <v>A55E09</v>
      </c>
      <c r="V581">
        <v>0</v>
      </c>
      <c r="W581">
        <v>0</v>
      </c>
      <c r="X581">
        <v>2</v>
      </c>
      <c r="Y581">
        <v>0</v>
      </c>
      <c r="AA581">
        <v>0</v>
      </c>
      <c r="AB581">
        <v>9</v>
      </c>
      <c r="AC581">
        <v>3</v>
      </c>
      <c r="AD581">
        <v>0</v>
      </c>
      <c r="AE581">
        <v>9</v>
      </c>
      <c r="AF581" t="s">
        <v>128</v>
      </c>
      <c r="AG581">
        <v>0</v>
      </c>
      <c r="AH581">
        <v>0</v>
      </c>
      <c r="AI581">
        <v>1</v>
      </c>
      <c r="AJ581">
        <v>0</v>
      </c>
      <c r="AK581" t="s">
        <v>403</v>
      </c>
      <c r="AL581">
        <v>33.713929999999998</v>
      </c>
      <c r="AM581" t="s">
        <v>404</v>
      </c>
      <c r="AN581">
        <v>-101.20890900000001</v>
      </c>
      <c r="AO581">
        <v>100</v>
      </c>
      <c r="AP581">
        <v>3100</v>
      </c>
      <c r="AQ581" t="s">
        <v>131</v>
      </c>
      <c r="AR581">
        <v>26</v>
      </c>
      <c r="AS581">
        <v>89</v>
      </c>
      <c r="AT581">
        <v>-128</v>
      </c>
      <c r="BB581" t="str">
        <f t="shared" si="53"/>
        <v>1200</v>
      </c>
      <c r="BC581">
        <v>1</v>
      </c>
      <c r="BD581" t="str">
        <f t="shared" si="54"/>
        <v xml:space="preserve">N445JS  </v>
      </c>
      <c r="BE581">
        <v>7</v>
      </c>
      <c r="BG581">
        <v>0</v>
      </c>
      <c r="BH581">
        <v>0</v>
      </c>
      <c r="BI581">
        <v>0</v>
      </c>
      <c r="BJ581">
        <v>2925</v>
      </c>
      <c r="BK581">
        <v>-175</v>
      </c>
      <c r="BL581" t="s">
        <v>132</v>
      </c>
      <c r="BM581">
        <v>1</v>
      </c>
      <c r="BN581">
        <v>1</v>
      </c>
      <c r="BO581">
        <v>1</v>
      </c>
      <c r="BP581">
        <v>0</v>
      </c>
      <c r="BT581">
        <v>0</v>
      </c>
      <c r="BU581">
        <v>0</v>
      </c>
      <c r="CE581" t="str">
        <f>"15:40:02.203"</f>
        <v>15:40:02.203</v>
      </c>
      <c r="CF581">
        <v>203381238</v>
      </c>
      <c r="CS581">
        <v>0</v>
      </c>
      <c r="CT581">
        <v>2</v>
      </c>
      <c r="CU581">
        <v>0</v>
      </c>
      <c r="CV581">
        <v>2</v>
      </c>
      <c r="CW581">
        <v>0</v>
      </c>
      <c r="CX581">
        <v>5</v>
      </c>
      <c r="CY581">
        <v>7</v>
      </c>
      <c r="CZ581" t="s">
        <v>133</v>
      </c>
      <c r="DA581">
        <v>125</v>
      </c>
      <c r="DB581">
        <v>1</v>
      </c>
      <c r="DC581" t="s">
        <v>134</v>
      </c>
      <c r="DD581" t="s">
        <v>135</v>
      </c>
      <c r="DG581">
        <v>2592023</v>
      </c>
      <c r="DI581">
        <v>0</v>
      </c>
      <c r="DJ581">
        <v>0</v>
      </c>
      <c r="DK581">
        <v>1</v>
      </c>
      <c r="DL581">
        <v>0</v>
      </c>
      <c r="DM581">
        <v>0</v>
      </c>
      <c r="DN581">
        <v>0</v>
      </c>
      <c r="DO581">
        <v>0</v>
      </c>
      <c r="DP581">
        <v>0</v>
      </c>
      <c r="DQ581">
        <v>0</v>
      </c>
      <c r="DR581">
        <v>0</v>
      </c>
      <c r="DS581">
        <v>0</v>
      </c>
    </row>
    <row r="582" spans="1:123" x14ac:dyDescent="0.25">
      <c r="A582" t="str">
        <f>"04/17/2026 15:40:03.304"</f>
        <v>04/17/2026 15:40:03.304</v>
      </c>
      <c r="C582" t="str">
        <f t="shared" si="50"/>
        <v>FFDFD3C0</v>
      </c>
      <c r="D582" t="s">
        <v>139</v>
      </c>
      <c r="E582" t="str">
        <f>"28"</f>
        <v>28</v>
      </c>
      <c r="H582">
        <v>140</v>
      </c>
      <c r="I582" t="s">
        <v>140</v>
      </c>
      <c r="J582" t="s">
        <v>141</v>
      </c>
      <c r="K582">
        <v>0</v>
      </c>
      <c r="L582">
        <v>3</v>
      </c>
      <c r="M582">
        <v>0</v>
      </c>
      <c r="N582">
        <v>2</v>
      </c>
      <c r="O582">
        <v>1</v>
      </c>
      <c r="P582">
        <v>0</v>
      </c>
      <c r="Q582">
        <v>0</v>
      </c>
      <c r="R582" t="s">
        <v>127</v>
      </c>
      <c r="S582" t="str">
        <f>"15:40:03.055"</f>
        <v>15:40:03.055</v>
      </c>
      <c r="T582" t="str">
        <f>"15:40:02.755"</f>
        <v>15:40:02.755</v>
      </c>
      <c r="U582" t="str">
        <f t="shared" si="52"/>
        <v>A55E09</v>
      </c>
      <c r="V582">
        <v>0</v>
      </c>
      <c r="W582">
        <v>0</v>
      </c>
      <c r="X582">
        <v>2</v>
      </c>
      <c r="Y582">
        <v>0</v>
      </c>
      <c r="AA582">
        <v>0</v>
      </c>
      <c r="AB582">
        <v>9</v>
      </c>
      <c r="AC582">
        <v>3</v>
      </c>
      <c r="AD582">
        <v>0</v>
      </c>
      <c r="AE582">
        <v>9</v>
      </c>
      <c r="AF582" t="s">
        <v>128</v>
      </c>
      <c r="AG582">
        <v>0</v>
      </c>
      <c r="AH582">
        <v>0</v>
      </c>
      <c r="AI582">
        <v>1</v>
      </c>
      <c r="AJ582">
        <v>0</v>
      </c>
      <c r="AK582" t="s">
        <v>405</v>
      </c>
      <c r="AL582">
        <v>33.714294000000002</v>
      </c>
      <c r="AM582" t="s">
        <v>323</v>
      </c>
      <c r="AN582">
        <v>-101.20880099999999</v>
      </c>
      <c r="AO582">
        <v>100</v>
      </c>
      <c r="AP582">
        <v>3100</v>
      </c>
      <c r="AQ582" t="s">
        <v>131</v>
      </c>
      <c r="AR582">
        <v>27</v>
      </c>
      <c r="AS582">
        <v>89</v>
      </c>
      <c r="AT582">
        <v>-64</v>
      </c>
      <c r="BB582" t="str">
        <f t="shared" si="53"/>
        <v>1200</v>
      </c>
      <c r="BC582">
        <v>1</v>
      </c>
      <c r="BD582" t="str">
        <f t="shared" si="54"/>
        <v xml:space="preserve">N445JS  </v>
      </c>
      <c r="BE582">
        <v>7</v>
      </c>
      <c r="BG582">
        <v>0</v>
      </c>
      <c r="BH582">
        <v>0</v>
      </c>
      <c r="BI582">
        <v>0</v>
      </c>
      <c r="BJ582">
        <v>2925</v>
      </c>
      <c r="BK582">
        <v>-175</v>
      </c>
      <c r="BL582" t="s">
        <v>132</v>
      </c>
      <c r="BM582">
        <v>1</v>
      </c>
      <c r="BN582">
        <v>1</v>
      </c>
      <c r="BO582">
        <v>1</v>
      </c>
      <c r="BP582">
        <v>0</v>
      </c>
      <c r="BT582">
        <v>0</v>
      </c>
      <c r="BU582">
        <v>0</v>
      </c>
      <c r="CE582" t="str">
        <f>"15:40:03.058"</f>
        <v>15:40:03.058</v>
      </c>
      <c r="CF582">
        <v>58297486</v>
      </c>
      <c r="CS582">
        <v>0</v>
      </c>
      <c r="CT582">
        <v>2</v>
      </c>
      <c r="CU582">
        <v>0</v>
      </c>
      <c r="CV582">
        <v>2</v>
      </c>
      <c r="CW582">
        <v>0</v>
      </c>
      <c r="CX582">
        <v>5</v>
      </c>
      <c r="CY582">
        <v>7</v>
      </c>
      <c r="CZ582" t="s">
        <v>133</v>
      </c>
      <c r="DA582">
        <v>125</v>
      </c>
      <c r="DB582">
        <v>1</v>
      </c>
      <c r="DC582" t="s">
        <v>134</v>
      </c>
      <c r="DD582" t="s">
        <v>135</v>
      </c>
      <c r="DG582">
        <v>2592883</v>
      </c>
      <c r="DI582">
        <v>0</v>
      </c>
      <c r="DJ582">
        <v>0</v>
      </c>
      <c r="DK582">
        <v>0</v>
      </c>
      <c r="DL582">
        <v>0</v>
      </c>
      <c r="DM582">
        <v>0</v>
      </c>
      <c r="DN582">
        <v>0</v>
      </c>
      <c r="DO582">
        <v>0</v>
      </c>
      <c r="DP582">
        <v>0</v>
      </c>
      <c r="DQ582">
        <v>0</v>
      </c>
      <c r="DR582">
        <v>0</v>
      </c>
      <c r="DS582">
        <v>0</v>
      </c>
    </row>
    <row r="583" spans="1:123" x14ac:dyDescent="0.25">
      <c r="A583" t="str">
        <f>"04/17/2026 15:40:03.305"</f>
        <v>04/17/2026 15:40:03.305</v>
      </c>
      <c r="C583" t="str">
        <f t="shared" si="50"/>
        <v>FFDFD3C0</v>
      </c>
      <c r="D583" t="s">
        <v>136</v>
      </c>
      <c r="E583" t="str">
        <f>"0F"</f>
        <v>0F</v>
      </c>
      <c r="F583">
        <v>1015</v>
      </c>
      <c r="G583" t="s">
        <v>138</v>
      </c>
      <c r="J583" t="s">
        <v>137</v>
      </c>
      <c r="K583">
        <v>0</v>
      </c>
      <c r="L583">
        <v>3</v>
      </c>
      <c r="M583">
        <v>0</v>
      </c>
      <c r="N583">
        <v>2</v>
      </c>
      <c r="O583">
        <v>1</v>
      </c>
      <c r="P583">
        <v>0</v>
      </c>
      <c r="Q583">
        <v>0</v>
      </c>
      <c r="R583" t="s">
        <v>127</v>
      </c>
      <c r="S583" t="str">
        <f>"15:40:03.055"</f>
        <v>15:40:03.055</v>
      </c>
      <c r="T583" t="str">
        <f>"15:40:02.755"</f>
        <v>15:40:02.755</v>
      </c>
      <c r="U583" t="str">
        <f t="shared" si="52"/>
        <v>A55E09</v>
      </c>
      <c r="V583">
        <v>0</v>
      </c>
      <c r="W583">
        <v>0</v>
      </c>
      <c r="X583">
        <v>2</v>
      </c>
      <c r="Y583">
        <v>0</v>
      </c>
      <c r="AA583">
        <v>0</v>
      </c>
      <c r="AB583">
        <v>9</v>
      </c>
      <c r="AC583">
        <v>3</v>
      </c>
      <c r="AD583">
        <v>0</v>
      </c>
      <c r="AE583">
        <v>9</v>
      </c>
      <c r="AF583" t="s">
        <v>128</v>
      </c>
      <c r="AG583">
        <v>0</v>
      </c>
      <c r="AH583">
        <v>0</v>
      </c>
      <c r="AI583">
        <v>1</v>
      </c>
      <c r="AJ583">
        <v>0</v>
      </c>
      <c r="AK583" t="s">
        <v>405</v>
      </c>
      <c r="AL583">
        <v>33.714294000000002</v>
      </c>
      <c r="AM583" t="s">
        <v>323</v>
      </c>
      <c r="AN583">
        <v>-101.20880099999999</v>
      </c>
      <c r="AO583">
        <v>100</v>
      </c>
      <c r="AP583">
        <v>3100</v>
      </c>
      <c r="AQ583" t="s">
        <v>131</v>
      </c>
      <c r="AR583">
        <v>27</v>
      </c>
      <c r="AS583">
        <v>89</v>
      </c>
      <c r="AT583">
        <v>-64</v>
      </c>
      <c r="BB583" t="str">
        <f t="shared" si="53"/>
        <v>1200</v>
      </c>
      <c r="BC583">
        <v>1</v>
      </c>
      <c r="BD583" t="str">
        <f t="shared" si="54"/>
        <v xml:space="preserve">N445JS  </v>
      </c>
      <c r="BE583">
        <v>7</v>
      </c>
      <c r="BG583">
        <v>0</v>
      </c>
      <c r="BH583">
        <v>0</v>
      </c>
      <c r="BI583">
        <v>0</v>
      </c>
      <c r="BJ583">
        <v>2925</v>
      </c>
      <c r="BK583">
        <v>-175</v>
      </c>
      <c r="BL583" t="s">
        <v>132</v>
      </c>
      <c r="BM583">
        <v>1</v>
      </c>
      <c r="BN583">
        <v>1</v>
      </c>
      <c r="BO583">
        <v>1</v>
      </c>
      <c r="BP583">
        <v>0</v>
      </c>
      <c r="BT583">
        <v>0</v>
      </c>
      <c r="BU583">
        <v>0</v>
      </c>
      <c r="CE583" t="str">
        <f>"15:40:03.058"</f>
        <v>15:40:03.058</v>
      </c>
      <c r="CF583">
        <v>58297486</v>
      </c>
      <c r="CS583">
        <v>0</v>
      </c>
      <c r="CT583">
        <v>2</v>
      </c>
      <c r="CU583">
        <v>0</v>
      </c>
      <c r="CV583">
        <v>2</v>
      </c>
      <c r="CW583">
        <v>0</v>
      </c>
      <c r="CX583">
        <v>5</v>
      </c>
      <c r="CY583">
        <v>7</v>
      </c>
      <c r="CZ583" t="s">
        <v>133</v>
      </c>
      <c r="DA583">
        <v>125</v>
      </c>
      <c r="DB583">
        <v>1</v>
      </c>
      <c r="DC583" t="s">
        <v>134</v>
      </c>
      <c r="DD583" t="s">
        <v>135</v>
      </c>
      <c r="DG583">
        <v>2592883</v>
      </c>
      <c r="DI583">
        <v>0</v>
      </c>
      <c r="DJ583">
        <v>0</v>
      </c>
      <c r="DK583">
        <v>1</v>
      </c>
      <c r="DL583">
        <v>0</v>
      </c>
      <c r="DM583">
        <v>0</v>
      </c>
      <c r="DN583">
        <v>0</v>
      </c>
      <c r="DO583">
        <v>0</v>
      </c>
      <c r="DP583">
        <v>0</v>
      </c>
      <c r="DQ583">
        <v>0</v>
      </c>
      <c r="DR583">
        <v>0</v>
      </c>
      <c r="DS583">
        <v>0</v>
      </c>
    </row>
    <row r="584" spans="1:123" x14ac:dyDescent="0.25">
      <c r="A584" t="str">
        <f>"04/17/2026 15:40:03.321"</f>
        <v>04/17/2026 15:40:03.321</v>
      </c>
      <c r="C584" t="str">
        <f t="shared" si="50"/>
        <v>FFDFD3C0</v>
      </c>
      <c r="D584" t="s">
        <v>124</v>
      </c>
      <c r="E584" t="str">
        <f>"03"</f>
        <v>03</v>
      </c>
      <c r="H584">
        <v>160</v>
      </c>
      <c r="I584" t="s">
        <v>125</v>
      </c>
      <c r="J584" t="s">
        <v>126</v>
      </c>
      <c r="K584">
        <v>0</v>
      </c>
      <c r="L584">
        <v>3</v>
      </c>
      <c r="M584">
        <v>0</v>
      </c>
      <c r="N584">
        <v>2</v>
      </c>
      <c r="O584">
        <v>1</v>
      </c>
      <c r="P584">
        <v>0</v>
      </c>
      <c r="Q584">
        <v>0</v>
      </c>
      <c r="R584" t="s">
        <v>127</v>
      </c>
      <c r="S584" t="str">
        <f>"15:40:03.055"</f>
        <v>15:40:03.055</v>
      </c>
      <c r="T584" t="str">
        <f>"15:40:02.755"</f>
        <v>15:40:02.755</v>
      </c>
      <c r="U584" t="str">
        <f t="shared" si="52"/>
        <v>A55E09</v>
      </c>
      <c r="V584">
        <v>0</v>
      </c>
      <c r="W584">
        <v>0</v>
      </c>
      <c r="X584">
        <v>2</v>
      </c>
      <c r="Y584">
        <v>0</v>
      </c>
      <c r="AA584">
        <v>0</v>
      </c>
      <c r="AB584">
        <v>9</v>
      </c>
      <c r="AC584">
        <v>3</v>
      </c>
      <c r="AD584">
        <v>0</v>
      </c>
      <c r="AE584">
        <v>9</v>
      </c>
      <c r="AF584" t="s">
        <v>128</v>
      </c>
      <c r="AG584">
        <v>0</v>
      </c>
      <c r="AH584">
        <v>0</v>
      </c>
      <c r="AI584">
        <v>1</v>
      </c>
      <c r="AJ584">
        <v>0</v>
      </c>
      <c r="AK584" t="s">
        <v>405</v>
      </c>
      <c r="AL584">
        <v>33.714294000000002</v>
      </c>
      <c r="AM584" t="s">
        <v>323</v>
      </c>
      <c r="AN584">
        <v>-101.20880099999999</v>
      </c>
      <c r="AO584">
        <v>100</v>
      </c>
      <c r="AP584">
        <v>3100</v>
      </c>
      <c r="AQ584" t="s">
        <v>131</v>
      </c>
      <c r="AR584">
        <v>27</v>
      </c>
      <c r="AS584">
        <v>89</v>
      </c>
      <c r="AT584">
        <v>-64</v>
      </c>
      <c r="BB584" t="str">
        <f t="shared" si="53"/>
        <v>1200</v>
      </c>
      <c r="BC584">
        <v>1</v>
      </c>
      <c r="BD584" t="str">
        <f t="shared" si="54"/>
        <v xml:space="preserve">N445JS  </v>
      </c>
      <c r="BE584">
        <v>7</v>
      </c>
      <c r="BG584">
        <v>0</v>
      </c>
      <c r="BH584">
        <v>0</v>
      </c>
      <c r="BI584">
        <v>0</v>
      </c>
      <c r="BJ584">
        <v>2925</v>
      </c>
      <c r="BK584">
        <v>-175</v>
      </c>
      <c r="BL584" t="s">
        <v>132</v>
      </c>
      <c r="BM584">
        <v>1</v>
      </c>
      <c r="BN584">
        <v>1</v>
      </c>
      <c r="BO584">
        <v>1</v>
      </c>
      <c r="BP584">
        <v>0</v>
      </c>
      <c r="BT584">
        <v>0</v>
      </c>
      <c r="BU584">
        <v>0</v>
      </c>
      <c r="CE584" t="str">
        <f>"15:40:03.058"</f>
        <v>15:40:03.058</v>
      </c>
      <c r="CF584">
        <v>58297486</v>
      </c>
      <c r="CS584">
        <v>0</v>
      </c>
      <c r="CT584">
        <v>2</v>
      </c>
      <c r="CU584">
        <v>0</v>
      </c>
      <c r="CV584">
        <v>2</v>
      </c>
      <c r="CW584">
        <v>0</v>
      </c>
      <c r="CX584">
        <v>5</v>
      </c>
      <c r="CY584">
        <v>7</v>
      </c>
      <c r="CZ584" t="s">
        <v>133</v>
      </c>
      <c r="DA584">
        <v>125</v>
      </c>
      <c r="DB584">
        <v>1</v>
      </c>
      <c r="DC584" t="s">
        <v>134</v>
      </c>
      <c r="DD584" t="s">
        <v>135</v>
      </c>
      <c r="DG584">
        <v>2592883</v>
      </c>
      <c r="DI584">
        <v>0</v>
      </c>
      <c r="DJ584">
        <v>0</v>
      </c>
      <c r="DK584">
        <v>1</v>
      </c>
      <c r="DL584">
        <v>0</v>
      </c>
      <c r="DM584">
        <v>0</v>
      </c>
      <c r="DN584">
        <v>0</v>
      </c>
      <c r="DO584">
        <v>0</v>
      </c>
      <c r="DP584">
        <v>0</v>
      </c>
      <c r="DQ584">
        <v>0</v>
      </c>
      <c r="DR584">
        <v>0</v>
      </c>
      <c r="DS584">
        <v>0</v>
      </c>
    </row>
    <row r="585" spans="1:123" x14ac:dyDescent="0.25">
      <c r="A585" t="str">
        <f>"04/17/2026 15:40:03.339"</f>
        <v>04/17/2026 15:40:03.339</v>
      </c>
      <c r="C585" t="str">
        <f t="shared" si="50"/>
        <v>FFDFD3C0</v>
      </c>
      <c r="D585" t="s">
        <v>136</v>
      </c>
      <c r="E585" t="str">
        <f>"0E"</f>
        <v>0E</v>
      </c>
      <c r="F585">
        <v>1014</v>
      </c>
      <c r="G585" t="s">
        <v>125</v>
      </c>
      <c r="J585" t="s">
        <v>137</v>
      </c>
      <c r="K585">
        <v>0</v>
      </c>
      <c r="L585">
        <v>3</v>
      </c>
      <c r="M585">
        <v>0</v>
      </c>
      <c r="N585">
        <v>2</v>
      </c>
      <c r="O585">
        <v>1</v>
      </c>
      <c r="P585">
        <v>0</v>
      </c>
      <c r="Q585">
        <v>0</v>
      </c>
      <c r="R585" t="s">
        <v>127</v>
      </c>
      <c r="S585" t="str">
        <f>"15:40:03.055"</f>
        <v>15:40:03.055</v>
      </c>
      <c r="T585" t="str">
        <f>"15:40:02.755"</f>
        <v>15:40:02.755</v>
      </c>
      <c r="U585" t="str">
        <f t="shared" si="52"/>
        <v>A55E09</v>
      </c>
      <c r="V585">
        <v>0</v>
      </c>
      <c r="W585">
        <v>0</v>
      </c>
      <c r="X585">
        <v>2</v>
      </c>
      <c r="Y585">
        <v>0</v>
      </c>
      <c r="AA585">
        <v>0</v>
      </c>
      <c r="AB585">
        <v>9</v>
      </c>
      <c r="AC585">
        <v>3</v>
      </c>
      <c r="AD585">
        <v>0</v>
      </c>
      <c r="AE585">
        <v>9</v>
      </c>
      <c r="AF585" t="s">
        <v>128</v>
      </c>
      <c r="AG585">
        <v>0</v>
      </c>
      <c r="AH585">
        <v>0</v>
      </c>
      <c r="AI585">
        <v>1</v>
      </c>
      <c r="AJ585">
        <v>0</v>
      </c>
      <c r="AK585" t="s">
        <v>405</v>
      </c>
      <c r="AL585">
        <v>33.714294000000002</v>
      </c>
      <c r="AM585" t="s">
        <v>323</v>
      </c>
      <c r="AN585">
        <v>-101.20880099999999</v>
      </c>
      <c r="AO585">
        <v>100</v>
      </c>
      <c r="AP585">
        <v>3100</v>
      </c>
      <c r="AQ585" t="s">
        <v>131</v>
      </c>
      <c r="AR585">
        <v>27</v>
      </c>
      <c r="AS585">
        <v>89</v>
      </c>
      <c r="AT585">
        <v>-64</v>
      </c>
      <c r="BB585" t="str">
        <f t="shared" si="53"/>
        <v>1200</v>
      </c>
      <c r="BC585">
        <v>1</v>
      </c>
      <c r="BD585" t="str">
        <f t="shared" si="54"/>
        <v xml:space="preserve">N445JS  </v>
      </c>
      <c r="BE585">
        <v>7</v>
      </c>
      <c r="BG585">
        <v>0</v>
      </c>
      <c r="BH585">
        <v>0</v>
      </c>
      <c r="BI585">
        <v>0</v>
      </c>
      <c r="BJ585">
        <v>2925</v>
      </c>
      <c r="BK585">
        <v>-175</v>
      </c>
      <c r="BL585" t="s">
        <v>132</v>
      </c>
      <c r="BM585">
        <v>1</v>
      </c>
      <c r="BN585">
        <v>1</v>
      </c>
      <c r="BO585">
        <v>1</v>
      </c>
      <c r="BP585">
        <v>0</v>
      </c>
      <c r="BT585">
        <v>0</v>
      </c>
      <c r="BU585">
        <v>0</v>
      </c>
      <c r="CE585" t="str">
        <f>"15:40:03.058"</f>
        <v>15:40:03.058</v>
      </c>
      <c r="CF585">
        <v>58297486</v>
      </c>
      <c r="CS585">
        <v>0</v>
      </c>
      <c r="CT585">
        <v>2</v>
      </c>
      <c r="CU585">
        <v>0</v>
      </c>
      <c r="CV585">
        <v>2</v>
      </c>
      <c r="CW585">
        <v>0</v>
      </c>
      <c r="CX585">
        <v>5</v>
      </c>
      <c r="CY585">
        <v>7</v>
      </c>
      <c r="CZ585" t="s">
        <v>133</v>
      </c>
      <c r="DA585">
        <v>125</v>
      </c>
      <c r="DB585">
        <v>1</v>
      </c>
      <c r="DC585" t="s">
        <v>134</v>
      </c>
      <c r="DD585" t="s">
        <v>135</v>
      </c>
      <c r="DG585">
        <v>2592883</v>
      </c>
      <c r="DI585">
        <v>0</v>
      </c>
      <c r="DJ585">
        <v>0</v>
      </c>
      <c r="DK585">
        <v>1</v>
      </c>
      <c r="DL585">
        <v>0</v>
      </c>
      <c r="DM585">
        <v>0</v>
      </c>
      <c r="DN585">
        <v>0</v>
      </c>
      <c r="DO585">
        <v>0</v>
      </c>
      <c r="DP585">
        <v>0</v>
      </c>
      <c r="DQ585">
        <v>0</v>
      </c>
      <c r="DR585">
        <v>0</v>
      </c>
      <c r="DS585">
        <v>0</v>
      </c>
    </row>
    <row r="586" spans="1:123" x14ac:dyDescent="0.25">
      <c r="A586" t="str">
        <f>"04/17/2026 15:40:04.406"</f>
        <v>04/17/2026 15:40:04.406</v>
      </c>
      <c r="C586" t="str">
        <f t="shared" si="50"/>
        <v>FFDFD3C0</v>
      </c>
      <c r="D586" t="s">
        <v>139</v>
      </c>
      <c r="E586" t="str">
        <f>"28"</f>
        <v>28</v>
      </c>
      <c r="H586">
        <v>140</v>
      </c>
      <c r="I586" t="s">
        <v>140</v>
      </c>
      <c r="J586" t="s">
        <v>141</v>
      </c>
      <c r="K586">
        <v>0</v>
      </c>
      <c r="L586">
        <v>3</v>
      </c>
      <c r="M586">
        <v>0</v>
      </c>
      <c r="N586">
        <v>2</v>
      </c>
      <c r="O586">
        <v>1</v>
      </c>
      <c r="P586">
        <v>0</v>
      </c>
      <c r="Q586">
        <v>0</v>
      </c>
      <c r="R586" t="s">
        <v>127</v>
      </c>
      <c r="S586" t="str">
        <f>"15:40:04.133"</f>
        <v>15:40:04.133</v>
      </c>
      <c r="T586" t="str">
        <f>"15:40:03.833"</f>
        <v>15:40:03.833</v>
      </c>
      <c r="U586" t="str">
        <f t="shared" si="52"/>
        <v>A55E09</v>
      </c>
      <c r="V586">
        <v>0</v>
      </c>
      <c r="W586">
        <v>0</v>
      </c>
      <c r="X586">
        <v>2</v>
      </c>
      <c r="Y586">
        <v>0</v>
      </c>
      <c r="AA586">
        <v>0</v>
      </c>
      <c r="AB586">
        <v>9</v>
      </c>
      <c r="AC586">
        <v>3</v>
      </c>
      <c r="AD586">
        <v>0</v>
      </c>
      <c r="AE586">
        <v>9</v>
      </c>
      <c r="AF586" t="s">
        <v>128</v>
      </c>
      <c r="AG586">
        <v>0</v>
      </c>
      <c r="AH586">
        <v>0</v>
      </c>
      <c r="AI586">
        <v>1</v>
      </c>
      <c r="AJ586">
        <v>0</v>
      </c>
      <c r="AK586" t="s">
        <v>406</v>
      </c>
      <c r="AL586">
        <v>33.714723999999997</v>
      </c>
      <c r="AM586" t="s">
        <v>319</v>
      </c>
      <c r="AN586">
        <v>-101.20863</v>
      </c>
      <c r="AO586">
        <v>100</v>
      </c>
      <c r="AP586">
        <v>3100</v>
      </c>
      <c r="AQ586" t="s">
        <v>131</v>
      </c>
      <c r="AR586">
        <v>28</v>
      </c>
      <c r="AS586">
        <v>88</v>
      </c>
      <c r="AT586">
        <v>64</v>
      </c>
      <c r="BB586" t="str">
        <f t="shared" si="53"/>
        <v>1200</v>
      </c>
      <c r="BC586">
        <v>1</v>
      </c>
      <c r="BD586" t="str">
        <f t="shared" si="54"/>
        <v xml:space="preserve">N445JS  </v>
      </c>
      <c r="BE586">
        <v>7</v>
      </c>
      <c r="BG586">
        <v>0</v>
      </c>
      <c r="BH586">
        <v>0</v>
      </c>
      <c r="BI586">
        <v>0</v>
      </c>
      <c r="BJ586">
        <v>2925</v>
      </c>
      <c r="BK586">
        <v>-175</v>
      </c>
      <c r="BL586" t="s">
        <v>132</v>
      </c>
      <c r="BM586">
        <v>1</v>
      </c>
      <c r="BN586">
        <v>1</v>
      </c>
      <c r="BO586">
        <v>1</v>
      </c>
      <c r="BP586">
        <v>0</v>
      </c>
      <c r="BT586">
        <v>0</v>
      </c>
      <c r="BU586">
        <v>0</v>
      </c>
      <c r="CE586" t="str">
        <f>"15:40:04.138"</f>
        <v>15:40:04.138</v>
      </c>
      <c r="CF586">
        <v>138191759</v>
      </c>
      <c r="CS586">
        <v>0</v>
      </c>
      <c r="CT586">
        <v>2</v>
      </c>
      <c r="CU586">
        <v>0</v>
      </c>
      <c r="CV586">
        <v>2</v>
      </c>
      <c r="CW586">
        <v>0</v>
      </c>
      <c r="CX586">
        <v>5</v>
      </c>
      <c r="CY586">
        <v>7</v>
      </c>
      <c r="CZ586" t="s">
        <v>133</v>
      </c>
      <c r="DA586">
        <v>125</v>
      </c>
      <c r="DB586">
        <v>1</v>
      </c>
      <c r="DC586" t="s">
        <v>134</v>
      </c>
      <c r="DD586" t="s">
        <v>135</v>
      </c>
      <c r="DG586">
        <v>2593930</v>
      </c>
      <c r="DI586">
        <v>0</v>
      </c>
      <c r="DJ586">
        <v>0</v>
      </c>
      <c r="DK586">
        <v>0</v>
      </c>
      <c r="DL586">
        <v>0</v>
      </c>
      <c r="DM586">
        <v>0</v>
      </c>
      <c r="DN586">
        <v>0</v>
      </c>
      <c r="DO586">
        <v>0</v>
      </c>
      <c r="DP586">
        <v>0</v>
      </c>
      <c r="DQ586">
        <v>0</v>
      </c>
      <c r="DR586">
        <v>0</v>
      </c>
      <c r="DS586">
        <v>0</v>
      </c>
    </row>
    <row r="587" spans="1:123" x14ac:dyDescent="0.25">
      <c r="A587" t="str">
        <f>"04/17/2026 15:40:04.406"</f>
        <v>04/17/2026 15:40:04.406</v>
      </c>
      <c r="C587" t="str">
        <f t="shared" si="50"/>
        <v>FFDFD3C0</v>
      </c>
      <c r="D587" t="s">
        <v>136</v>
      </c>
      <c r="E587" t="str">
        <f>"0F"</f>
        <v>0F</v>
      </c>
      <c r="F587">
        <v>1015</v>
      </c>
      <c r="G587" t="s">
        <v>138</v>
      </c>
      <c r="J587" t="s">
        <v>137</v>
      </c>
      <c r="K587">
        <v>0</v>
      </c>
      <c r="L587">
        <v>3</v>
      </c>
      <c r="M587">
        <v>0</v>
      </c>
      <c r="N587">
        <v>2</v>
      </c>
      <c r="O587">
        <v>1</v>
      </c>
      <c r="P587">
        <v>0</v>
      </c>
      <c r="Q587">
        <v>0</v>
      </c>
      <c r="R587" t="s">
        <v>127</v>
      </c>
      <c r="S587" t="str">
        <f>"15:40:04.133"</f>
        <v>15:40:04.133</v>
      </c>
      <c r="T587" t="str">
        <f>"15:40:03.833"</f>
        <v>15:40:03.833</v>
      </c>
      <c r="U587" t="str">
        <f t="shared" si="52"/>
        <v>A55E09</v>
      </c>
      <c r="V587">
        <v>0</v>
      </c>
      <c r="W587">
        <v>0</v>
      </c>
      <c r="X587">
        <v>2</v>
      </c>
      <c r="Y587">
        <v>0</v>
      </c>
      <c r="AA587">
        <v>0</v>
      </c>
      <c r="AB587">
        <v>9</v>
      </c>
      <c r="AC587">
        <v>3</v>
      </c>
      <c r="AD587">
        <v>0</v>
      </c>
      <c r="AE587">
        <v>9</v>
      </c>
      <c r="AF587" t="s">
        <v>128</v>
      </c>
      <c r="AG587">
        <v>0</v>
      </c>
      <c r="AH587">
        <v>0</v>
      </c>
      <c r="AI587">
        <v>1</v>
      </c>
      <c r="AJ587">
        <v>0</v>
      </c>
      <c r="AK587" t="s">
        <v>406</v>
      </c>
      <c r="AL587">
        <v>33.714723999999997</v>
      </c>
      <c r="AM587" t="s">
        <v>319</v>
      </c>
      <c r="AN587">
        <v>-101.20863</v>
      </c>
      <c r="AO587">
        <v>100</v>
      </c>
      <c r="AP587">
        <v>3100</v>
      </c>
      <c r="AQ587" t="s">
        <v>131</v>
      </c>
      <c r="AR587">
        <v>28</v>
      </c>
      <c r="AS587">
        <v>88</v>
      </c>
      <c r="AT587">
        <v>64</v>
      </c>
      <c r="BB587" t="str">
        <f t="shared" si="53"/>
        <v>1200</v>
      </c>
      <c r="BC587">
        <v>1</v>
      </c>
      <c r="BD587" t="str">
        <f t="shared" si="54"/>
        <v xml:space="preserve">N445JS  </v>
      </c>
      <c r="BE587">
        <v>7</v>
      </c>
      <c r="BG587">
        <v>0</v>
      </c>
      <c r="BH587">
        <v>0</v>
      </c>
      <c r="BI587">
        <v>0</v>
      </c>
      <c r="BJ587">
        <v>2925</v>
      </c>
      <c r="BK587">
        <v>-175</v>
      </c>
      <c r="BL587" t="s">
        <v>132</v>
      </c>
      <c r="BM587">
        <v>1</v>
      </c>
      <c r="BN587">
        <v>1</v>
      </c>
      <c r="BO587">
        <v>1</v>
      </c>
      <c r="BP587">
        <v>0</v>
      </c>
      <c r="BT587">
        <v>0</v>
      </c>
      <c r="BU587">
        <v>0</v>
      </c>
      <c r="CE587" t="str">
        <f>"15:40:04.138"</f>
        <v>15:40:04.138</v>
      </c>
      <c r="CF587">
        <v>138191759</v>
      </c>
      <c r="CS587">
        <v>0</v>
      </c>
      <c r="CT587">
        <v>2</v>
      </c>
      <c r="CU587">
        <v>0</v>
      </c>
      <c r="CV587">
        <v>2</v>
      </c>
      <c r="CW587">
        <v>0</v>
      </c>
      <c r="CX587">
        <v>5</v>
      </c>
      <c r="CY587">
        <v>7</v>
      </c>
      <c r="CZ587" t="s">
        <v>133</v>
      </c>
      <c r="DA587">
        <v>125</v>
      </c>
      <c r="DB587">
        <v>1</v>
      </c>
      <c r="DC587" t="s">
        <v>134</v>
      </c>
      <c r="DD587" t="s">
        <v>135</v>
      </c>
      <c r="DG587">
        <v>2593930</v>
      </c>
      <c r="DI587">
        <v>0</v>
      </c>
      <c r="DJ587">
        <v>0</v>
      </c>
      <c r="DK587">
        <v>1</v>
      </c>
      <c r="DL587">
        <v>0</v>
      </c>
      <c r="DM587">
        <v>0</v>
      </c>
      <c r="DN587">
        <v>0</v>
      </c>
      <c r="DO587">
        <v>0</v>
      </c>
      <c r="DP587">
        <v>0</v>
      </c>
      <c r="DQ587">
        <v>0</v>
      </c>
      <c r="DR587">
        <v>0</v>
      </c>
      <c r="DS587">
        <v>0</v>
      </c>
    </row>
    <row r="588" spans="1:123" x14ac:dyDescent="0.25">
      <c r="A588" t="str">
        <f>"04/17/2026 15:40:04.423"</f>
        <v>04/17/2026 15:40:04.423</v>
      </c>
      <c r="C588" t="str">
        <f t="shared" si="50"/>
        <v>FFDFD3C0</v>
      </c>
      <c r="D588" t="s">
        <v>124</v>
      </c>
      <c r="E588" t="str">
        <f>"03"</f>
        <v>03</v>
      </c>
      <c r="H588">
        <v>160</v>
      </c>
      <c r="I588" t="s">
        <v>125</v>
      </c>
      <c r="J588" t="s">
        <v>126</v>
      </c>
      <c r="K588">
        <v>0</v>
      </c>
      <c r="L588">
        <v>3</v>
      </c>
      <c r="M588">
        <v>0</v>
      </c>
      <c r="N588">
        <v>2</v>
      </c>
      <c r="O588">
        <v>1</v>
      </c>
      <c r="P588">
        <v>0</v>
      </c>
      <c r="Q588">
        <v>0</v>
      </c>
      <c r="R588" t="s">
        <v>127</v>
      </c>
      <c r="S588" t="str">
        <f>"15:40:04.133"</f>
        <v>15:40:04.133</v>
      </c>
      <c r="T588" t="str">
        <f>"15:40:03.833"</f>
        <v>15:40:03.833</v>
      </c>
      <c r="U588" t="str">
        <f t="shared" si="52"/>
        <v>A55E09</v>
      </c>
      <c r="V588">
        <v>0</v>
      </c>
      <c r="W588">
        <v>0</v>
      </c>
      <c r="X588">
        <v>2</v>
      </c>
      <c r="Y588">
        <v>0</v>
      </c>
      <c r="AA588">
        <v>0</v>
      </c>
      <c r="AB588">
        <v>9</v>
      </c>
      <c r="AC588">
        <v>3</v>
      </c>
      <c r="AD588">
        <v>0</v>
      </c>
      <c r="AE588">
        <v>9</v>
      </c>
      <c r="AF588" t="s">
        <v>128</v>
      </c>
      <c r="AG588">
        <v>0</v>
      </c>
      <c r="AH588">
        <v>0</v>
      </c>
      <c r="AI588">
        <v>1</v>
      </c>
      <c r="AJ588">
        <v>0</v>
      </c>
      <c r="AK588" t="s">
        <v>406</v>
      </c>
      <c r="AL588">
        <v>33.714723999999997</v>
      </c>
      <c r="AM588" t="s">
        <v>319</v>
      </c>
      <c r="AN588">
        <v>-101.20863</v>
      </c>
      <c r="AO588">
        <v>100</v>
      </c>
      <c r="AP588">
        <v>3100</v>
      </c>
      <c r="AQ588" t="s">
        <v>131</v>
      </c>
      <c r="AR588">
        <v>28</v>
      </c>
      <c r="AS588">
        <v>88</v>
      </c>
      <c r="AT588">
        <v>64</v>
      </c>
      <c r="BB588" t="str">
        <f t="shared" si="53"/>
        <v>1200</v>
      </c>
      <c r="BC588">
        <v>1</v>
      </c>
      <c r="BD588" t="str">
        <f t="shared" si="54"/>
        <v xml:space="preserve">N445JS  </v>
      </c>
      <c r="BE588">
        <v>7</v>
      </c>
      <c r="BG588">
        <v>0</v>
      </c>
      <c r="BH588">
        <v>0</v>
      </c>
      <c r="BI588">
        <v>0</v>
      </c>
      <c r="BJ588">
        <v>2925</v>
      </c>
      <c r="BK588">
        <v>-175</v>
      </c>
      <c r="BL588" t="s">
        <v>132</v>
      </c>
      <c r="BM588">
        <v>1</v>
      </c>
      <c r="BN588">
        <v>1</v>
      </c>
      <c r="BO588">
        <v>1</v>
      </c>
      <c r="BP588">
        <v>0</v>
      </c>
      <c r="BT588">
        <v>0</v>
      </c>
      <c r="BU588">
        <v>0</v>
      </c>
      <c r="CE588" t="str">
        <f>"15:40:04.138"</f>
        <v>15:40:04.138</v>
      </c>
      <c r="CF588">
        <v>138191759</v>
      </c>
      <c r="CS588">
        <v>0</v>
      </c>
      <c r="CT588">
        <v>2</v>
      </c>
      <c r="CU588">
        <v>0</v>
      </c>
      <c r="CV588">
        <v>2</v>
      </c>
      <c r="CW588">
        <v>0</v>
      </c>
      <c r="CX588">
        <v>5</v>
      </c>
      <c r="CY588">
        <v>7</v>
      </c>
      <c r="CZ588" t="s">
        <v>133</v>
      </c>
      <c r="DA588">
        <v>125</v>
      </c>
      <c r="DB588">
        <v>1</v>
      </c>
      <c r="DC588" t="s">
        <v>134</v>
      </c>
      <c r="DD588" t="s">
        <v>135</v>
      </c>
      <c r="DG588">
        <v>2593930</v>
      </c>
      <c r="DI588">
        <v>0</v>
      </c>
      <c r="DJ588">
        <v>0</v>
      </c>
      <c r="DK588">
        <v>1</v>
      </c>
      <c r="DL588">
        <v>0</v>
      </c>
      <c r="DM588">
        <v>0</v>
      </c>
      <c r="DN588">
        <v>0</v>
      </c>
      <c r="DO588">
        <v>0</v>
      </c>
      <c r="DP588">
        <v>0</v>
      </c>
      <c r="DQ588">
        <v>0</v>
      </c>
      <c r="DR588">
        <v>0</v>
      </c>
      <c r="DS588">
        <v>0</v>
      </c>
    </row>
    <row r="589" spans="1:123" x14ac:dyDescent="0.25">
      <c r="A589" t="str">
        <f>"04/17/2026 15:40:04.441"</f>
        <v>04/17/2026 15:40:04.441</v>
      </c>
      <c r="C589" t="str">
        <f t="shared" si="50"/>
        <v>FFDFD3C0</v>
      </c>
      <c r="D589" t="s">
        <v>136</v>
      </c>
      <c r="E589" t="str">
        <f>"0E"</f>
        <v>0E</v>
      </c>
      <c r="F589">
        <v>1014</v>
      </c>
      <c r="G589" t="s">
        <v>125</v>
      </c>
      <c r="J589" t="s">
        <v>137</v>
      </c>
      <c r="K589">
        <v>0</v>
      </c>
      <c r="L589">
        <v>3</v>
      </c>
      <c r="M589">
        <v>0</v>
      </c>
      <c r="N589">
        <v>2</v>
      </c>
      <c r="O589">
        <v>1</v>
      </c>
      <c r="P589">
        <v>0</v>
      </c>
      <c r="Q589">
        <v>0</v>
      </c>
      <c r="R589" t="s">
        <v>127</v>
      </c>
      <c r="S589" t="str">
        <f>"15:40:04.133"</f>
        <v>15:40:04.133</v>
      </c>
      <c r="T589" t="str">
        <f>"15:40:03.833"</f>
        <v>15:40:03.833</v>
      </c>
      <c r="U589" t="str">
        <f t="shared" si="52"/>
        <v>A55E09</v>
      </c>
      <c r="V589">
        <v>0</v>
      </c>
      <c r="W589">
        <v>0</v>
      </c>
      <c r="X589">
        <v>2</v>
      </c>
      <c r="Y589">
        <v>0</v>
      </c>
      <c r="AA589">
        <v>0</v>
      </c>
      <c r="AB589">
        <v>9</v>
      </c>
      <c r="AC589">
        <v>3</v>
      </c>
      <c r="AD589">
        <v>0</v>
      </c>
      <c r="AE589">
        <v>9</v>
      </c>
      <c r="AF589" t="s">
        <v>128</v>
      </c>
      <c r="AG589">
        <v>0</v>
      </c>
      <c r="AH589">
        <v>0</v>
      </c>
      <c r="AI589">
        <v>1</v>
      </c>
      <c r="AJ589">
        <v>0</v>
      </c>
      <c r="AK589" t="s">
        <v>406</v>
      </c>
      <c r="AL589">
        <v>33.714723999999997</v>
      </c>
      <c r="AM589" t="s">
        <v>319</v>
      </c>
      <c r="AN589">
        <v>-101.20863</v>
      </c>
      <c r="AO589">
        <v>100</v>
      </c>
      <c r="AP589">
        <v>3100</v>
      </c>
      <c r="AQ589" t="s">
        <v>131</v>
      </c>
      <c r="AR589">
        <v>28</v>
      </c>
      <c r="AS589">
        <v>88</v>
      </c>
      <c r="AT589">
        <v>64</v>
      </c>
      <c r="BB589" t="str">
        <f t="shared" si="53"/>
        <v>1200</v>
      </c>
      <c r="BC589">
        <v>1</v>
      </c>
      <c r="BD589" t="str">
        <f t="shared" si="54"/>
        <v xml:space="preserve">N445JS  </v>
      </c>
      <c r="BE589">
        <v>7</v>
      </c>
      <c r="BG589">
        <v>0</v>
      </c>
      <c r="BH589">
        <v>0</v>
      </c>
      <c r="BI589">
        <v>0</v>
      </c>
      <c r="BJ589">
        <v>2925</v>
      </c>
      <c r="BK589">
        <v>-175</v>
      </c>
      <c r="BL589" t="s">
        <v>132</v>
      </c>
      <c r="BM589">
        <v>1</v>
      </c>
      <c r="BN589">
        <v>1</v>
      </c>
      <c r="BO589">
        <v>1</v>
      </c>
      <c r="BP589">
        <v>0</v>
      </c>
      <c r="BT589">
        <v>0</v>
      </c>
      <c r="BU589">
        <v>0</v>
      </c>
      <c r="CE589" t="str">
        <f>"15:40:04.138"</f>
        <v>15:40:04.138</v>
      </c>
      <c r="CF589">
        <v>138191759</v>
      </c>
      <c r="CS589">
        <v>0</v>
      </c>
      <c r="CT589">
        <v>2</v>
      </c>
      <c r="CU589">
        <v>0</v>
      </c>
      <c r="CV589">
        <v>2</v>
      </c>
      <c r="CW589">
        <v>0</v>
      </c>
      <c r="CX589">
        <v>5</v>
      </c>
      <c r="CY589">
        <v>7</v>
      </c>
      <c r="CZ589" t="s">
        <v>133</v>
      </c>
      <c r="DA589">
        <v>125</v>
      </c>
      <c r="DB589">
        <v>1</v>
      </c>
      <c r="DC589" t="s">
        <v>134</v>
      </c>
      <c r="DD589" t="s">
        <v>135</v>
      </c>
      <c r="DG589">
        <v>2593930</v>
      </c>
      <c r="DI589">
        <v>0</v>
      </c>
      <c r="DJ589">
        <v>0</v>
      </c>
      <c r="DK589">
        <v>1</v>
      </c>
      <c r="DL589">
        <v>0</v>
      </c>
      <c r="DM589">
        <v>0</v>
      </c>
      <c r="DN589">
        <v>0</v>
      </c>
      <c r="DO589">
        <v>0</v>
      </c>
      <c r="DP589">
        <v>0</v>
      </c>
      <c r="DQ589">
        <v>0</v>
      </c>
      <c r="DR589">
        <v>0</v>
      </c>
      <c r="DS589">
        <v>0</v>
      </c>
    </row>
    <row r="590" spans="1:123" x14ac:dyDescent="0.25">
      <c r="A590" t="str">
        <f>"04/17/2026 15:40:05.425"</f>
        <v>04/17/2026 15:40:05.425</v>
      </c>
      <c r="C590" t="str">
        <f t="shared" si="50"/>
        <v>FFDFD3C0</v>
      </c>
      <c r="D590" t="s">
        <v>124</v>
      </c>
      <c r="E590" t="str">
        <f>"03"</f>
        <v>03</v>
      </c>
      <c r="H590">
        <v>160</v>
      </c>
      <c r="I590" t="s">
        <v>125</v>
      </c>
      <c r="J590" t="s">
        <v>126</v>
      </c>
      <c r="K590">
        <v>0</v>
      </c>
      <c r="L590">
        <v>3</v>
      </c>
      <c r="M590">
        <v>0</v>
      </c>
      <c r="N590">
        <v>2</v>
      </c>
      <c r="O590">
        <v>1</v>
      </c>
      <c r="P590">
        <v>0</v>
      </c>
      <c r="Q590">
        <v>0</v>
      </c>
      <c r="R590" t="s">
        <v>127</v>
      </c>
      <c r="S590" t="str">
        <f>"15:40:05.156"</f>
        <v>15:40:05.156</v>
      </c>
      <c r="T590" t="str">
        <f>"15:40:04.256"</f>
        <v>15:40:04.256</v>
      </c>
      <c r="U590" t="str">
        <f t="shared" si="52"/>
        <v>A55E09</v>
      </c>
      <c r="V590">
        <v>0</v>
      </c>
      <c r="W590">
        <v>0</v>
      </c>
      <c r="X590">
        <v>2</v>
      </c>
      <c r="Y590">
        <v>0</v>
      </c>
      <c r="AA590">
        <v>0</v>
      </c>
      <c r="AB590">
        <v>9</v>
      </c>
      <c r="AC590">
        <v>3</v>
      </c>
      <c r="AD590">
        <v>0</v>
      </c>
      <c r="AE590">
        <v>9</v>
      </c>
      <c r="AF590" t="s">
        <v>128</v>
      </c>
      <c r="AG590">
        <v>0</v>
      </c>
      <c r="AH590">
        <v>0</v>
      </c>
      <c r="AI590">
        <v>1</v>
      </c>
      <c r="AJ590">
        <v>0</v>
      </c>
      <c r="AK590" t="s">
        <v>407</v>
      </c>
      <c r="AL590">
        <v>33.715131</v>
      </c>
      <c r="AM590" t="s">
        <v>317</v>
      </c>
      <c r="AN590">
        <v>-101.208522</v>
      </c>
      <c r="AO590">
        <v>100</v>
      </c>
      <c r="AP590">
        <v>3100</v>
      </c>
      <c r="AQ590" t="s">
        <v>131</v>
      </c>
      <c r="AR590">
        <v>28</v>
      </c>
      <c r="AS590">
        <v>88</v>
      </c>
      <c r="AT590">
        <v>128</v>
      </c>
      <c r="BB590" t="str">
        <f t="shared" si="53"/>
        <v>1200</v>
      </c>
      <c r="BC590">
        <v>1</v>
      </c>
      <c r="BD590" t="str">
        <f t="shared" si="54"/>
        <v xml:space="preserve">N445JS  </v>
      </c>
      <c r="BE590">
        <v>7</v>
      </c>
      <c r="BG590">
        <v>0</v>
      </c>
      <c r="BH590">
        <v>0</v>
      </c>
      <c r="BI590">
        <v>0</v>
      </c>
      <c r="BJ590">
        <v>2925</v>
      </c>
      <c r="BK590">
        <v>-175</v>
      </c>
      <c r="BL590" t="s">
        <v>132</v>
      </c>
      <c r="BM590">
        <v>1</v>
      </c>
      <c r="BN590">
        <v>1</v>
      </c>
      <c r="BO590">
        <v>1</v>
      </c>
      <c r="BP590">
        <v>0</v>
      </c>
      <c r="BT590">
        <v>0</v>
      </c>
      <c r="BU590">
        <v>0</v>
      </c>
      <c r="CE590" t="str">
        <f>"15:40:05.158"</f>
        <v>15:40:05.158</v>
      </c>
      <c r="CF590">
        <v>158091906</v>
      </c>
      <c r="CS590">
        <v>0</v>
      </c>
      <c r="CT590">
        <v>2</v>
      </c>
      <c r="CU590">
        <v>0</v>
      </c>
      <c r="CV590">
        <v>2</v>
      </c>
      <c r="CW590">
        <v>0</v>
      </c>
      <c r="CX590">
        <v>5</v>
      </c>
      <c r="CY590">
        <v>7</v>
      </c>
      <c r="CZ590" t="s">
        <v>133</v>
      </c>
      <c r="DA590">
        <v>125</v>
      </c>
      <c r="DB590">
        <v>1</v>
      </c>
      <c r="DC590" t="s">
        <v>134</v>
      </c>
      <c r="DD590" t="s">
        <v>135</v>
      </c>
      <c r="DG590">
        <v>2594908</v>
      </c>
      <c r="DI590">
        <v>0</v>
      </c>
      <c r="DJ590">
        <v>0</v>
      </c>
      <c r="DK590">
        <v>0</v>
      </c>
      <c r="DL590">
        <v>0</v>
      </c>
      <c r="DM590">
        <v>0</v>
      </c>
      <c r="DN590">
        <v>0</v>
      </c>
      <c r="DO590">
        <v>0</v>
      </c>
      <c r="DP590">
        <v>0</v>
      </c>
      <c r="DQ590">
        <v>0</v>
      </c>
      <c r="DR590">
        <v>0</v>
      </c>
      <c r="DS590">
        <v>0</v>
      </c>
    </row>
    <row r="591" spans="1:123" x14ac:dyDescent="0.25">
      <c r="A591" t="str">
        <f>"04/17/2026 15:40:05.442"</f>
        <v>04/17/2026 15:40:05.442</v>
      </c>
      <c r="C591" t="str">
        <f t="shared" si="50"/>
        <v>FFDFD3C0</v>
      </c>
      <c r="D591" t="s">
        <v>136</v>
      </c>
      <c r="E591" t="str">
        <f>"0E"</f>
        <v>0E</v>
      </c>
      <c r="F591">
        <v>1014</v>
      </c>
      <c r="G591" t="s">
        <v>125</v>
      </c>
      <c r="J591" t="s">
        <v>137</v>
      </c>
      <c r="K591">
        <v>0</v>
      </c>
      <c r="L591">
        <v>3</v>
      </c>
      <c r="M591">
        <v>0</v>
      </c>
      <c r="N591">
        <v>2</v>
      </c>
      <c r="O591">
        <v>1</v>
      </c>
      <c r="P591">
        <v>0</v>
      </c>
      <c r="Q591">
        <v>0</v>
      </c>
      <c r="R591" t="s">
        <v>127</v>
      </c>
      <c r="S591" t="str">
        <f>"15:40:05.156"</f>
        <v>15:40:05.156</v>
      </c>
      <c r="T591" t="str">
        <f>"15:40:04.256"</f>
        <v>15:40:04.256</v>
      </c>
      <c r="U591" t="str">
        <f t="shared" si="52"/>
        <v>A55E09</v>
      </c>
      <c r="V591">
        <v>0</v>
      </c>
      <c r="W591">
        <v>0</v>
      </c>
      <c r="X591">
        <v>2</v>
      </c>
      <c r="Y591">
        <v>0</v>
      </c>
      <c r="AA591">
        <v>0</v>
      </c>
      <c r="AB591">
        <v>9</v>
      </c>
      <c r="AC591">
        <v>3</v>
      </c>
      <c r="AD591">
        <v>0</v>
      </c>
      <c r="AE591">
        <v>9</v>
      </c>
      <c r="AF591" t="s">
        <v>128</v>
      </c>
      <c r="AG591">
        <v>0</v>
      </c>
      <c r="AH591">
        <v>0</v>
      </c>
      <c r="AI591">
        <v>1</v>
      </c>
      <c r="AJ591">
        <v>0</v>
      </c>
      <c r="AK591" t="s">
        <v>407</v>
      </c>
      <c r="AL591">
        <v>33.715131</v>
      </c>
      <c r="AM591" t="s">
        <v>317</v>
      </c>
      <c r="AN591">
        <v>-101.208522</v>
      </c>
      <c r="AO591">
        <v>100</v>
      </c>
      <c r="AP591">
        <v>3100</v>
      </c>
      <c r="AQ591" t="s">
        <v>131</v>
      </c>
      <c r="AR591">
        <v>28</v>
      </c>
      <c r="AS591">
        <v>88</v>
      </c>
      <c r="AT591">
        <v>128</v>
      </c>
      <c r="BB591" t="str">
        <f t="shared" si="53"/>
        <v>1200</v>
      </c>
      <c r="BC591">
        <v>1</v>
      </c>
      <c r="BD591" t="str">
        <f t="shared" si="54"/>
        <v xml:space="preserve">N445JS  </v>
      </c>
      <c r="BE591">
        <v>7</v>
      </c>
      <c r="BG591">
        <v>0</v>
      </c>
      <c r="BH591">
        <v>0</v>
      </c>
      <c r="BI591">
        <v>0</v>
      </c>
      <c r="BJ591">
        <v>2925</v>
      </c>
      <c r="BK591">
        <v>-175</v>
      </c>
      <c r="BL591" t="s">
        <v>132</v>
      </c>
      <c r="BM591">
        <v>1</v>
      </c>
      <c r="BN591">
        <v>1</v>
      </c>
      <c r="BO591">
        <v>1</v>
      </c>
      <c r="BP591">
        <v>0</v>
      </c>
      <c r="BT591">
        <v>0</v>
      </c>
      <c r="BU591">
        <v>0</v>
      </c>
      <c r="CE591" t="str">
        <f>"15:40:05.158"</f>
        <v>15:40:05.158</v>
      </c>
      <c r="CF591">
        <v>158091906</v>
      </c>
      <c r="CS591">
        <v>0</v>
      </c>
      <c r="CT591">
        <v>2</v>
      </c>
      <c r="CU591">
        <v>0</v>
      </c>
      <c r="CV591">
        <v>2</v>
      </c>
      <c r="CW591">
        <v>0</v>
      </c>
      <c r="CX591">
        <v>5</v>
      </c>
      <c r="CY591">
        <v>7</v>
      </c>
      <c r="CZ591" t="s">
        <v>133</v>
      </c>
      <c r="DA591">
        <v>125</v>
      </c>
      <c r="DB591">
        <v>1</v>
      </c>
      <c r="DC591" t="s">
        <v>134</v>
      </c>
      <c r="DD591" t="s">
        <v>135</v>
      </c>
      <c r="DG591">
        <v>2594908</v>
      </c>
      <c r="DI591">
        <v>0</v>
      </c>
      <c r="DJ591">
        <v>0</v>
      </c>
      <c r="DK591">
        <v>1</v>
      </c>
      <c r="DL591">
        <v>0</v>
      </c>
      <c r="DM591">
        <v>0</v>
      </c>
      <c r="DN591">
        <v>0</v>
      </c>
      <c r="DO591">
        <v>0</v>
      </c>
      <c r="DP591">
        <v>0</v>
      </c>
      <c r="DQ591">
        <v>0</v>
      </c>
      <c r="DR591">
        <v>0</v>
      </c>
      <c r="DS591">
        <v>0</v>
      </c>
    </row>
    <row r="592" spans="1:123" x14ac:dyDescent="0.25">
      <c r="A592" t="str">
        <f>"04/17/2026 15:40:05.458"</f>
        <v>04/17/2026 15:40:05.458</v>
      </c>
      <c r="C592" t="str">
        <f t="shared" si="50"/>
        <v>FFDFD3C0</v>
      </c>
      <c r="D592" t="s">
        <v>136</v>
      </c>
      <c r="E592" t="str">
        <f>"0F"</f>
        <v>0F</v>
      </c>
      <c r="F592">
        <v>1015</v>
      </c>
      <c r="G592" t="s">
        <v>138</v>
      </c>
      <c r="J592" t="s">
        <v>137</v>
      </c>
      <c r="K592">
        <v>0</v>
      </c>
      <c r="L592">
        <v>3</v>
      </c>
      <c r="M592">
        <v>0</v>
      </c>
      <c r="N592">
        <v>2</v>
      </c>
      <c r="O592">
        <v>1</v>
      </c>
      <c r="P592">
        <v>0</v>
      </c>
      <c r="Q592">
        <v>0</v>
      </c>
      <c r="R592" t="s">
        <v>127</v>
      </c>
      <c r="S592" t="str">
        <f>"15:40:05.156"</f>
        <v>15:40:05.156</v>
      </c>
      <c r="T592" t="str">
        <f>"15:40:04.256"</f>
        <v>15:40:04.256</v>
      </c>
      <c r="U592" t="str">
        <f t="shared" si="52"/>
        <v>A55E09</v>
      </c>
      <c r="V592">
        <v>0</v>
      </c>
      <c r="W592">
        <v>0</v>
      </c>
      <c r="X592">
        <v>2</v>
      </c>
      <c r="Y592">
        <v>0</v>
      </c>
      <c r="AA592">
        <v>0</v>
      </c>
      <c r="AB592">
        <v>9</v>
      </c>
      <c r="AC592">
        <v>3</v>
      </c>
      <c r="AD592">
        <v>0</v>
      </c>
      <c r="AE592">
        <v>9</v>
      </c>
      <c r="AF592" t="s">
        <v>128</v>
      </c>
      <c r="AG592">
        <v>0</v>
      </c>
      <c r="AH592">
        <v>0</v>
      </c>
      <c r="AI592">
        <v>1</v>
      </c>
      <c r="AJ592">
        <v>0</v>
      </c>
      <c r="AK592" t="s">
        <v>407</v>
      </c>
      <c r="AL592">
        <v>33.715131</v>
      </c>
      <c r="AM592" t="s">
        <v>317</v>
      </c>
      <c r="AN592">
        <v>-101.208522</v>
      </c>
      <c r="AO592">
        <v>100</v>
      </c>
      <c r="AP592">
        <v>3100</v>
      </c>
      <c r="AQ592" t="s">
        <v>131</v>
      </c>
      <c r="AR592">
        <v>28</v>
      </c>
      <c r="AS592">
        <v>88</v>
      </c>
      <c r="AT592">
        <v>128</v>
      </c>
      <c r="BB592" t="str">
        <f t="shared" si="53"/>
        <v>1200</v>
      </c>
      <c r="BC592">
        <v>1</v>
      </c>
      <c r="BD592" t="str">
        <f t="shared" si="54"/>
        <v xml:space="preserve">N445JS  </v>
      </c>
      <c r="BE592">
        <v>7</v>
      </c>
      <c r="BG592">
        <v>0</v>
      </c>
      <c r="BH592">
        <v>0</v>
      </c>
      <c r="BI592">
        <v>0</v>
      </c>
      <c r="BJ592">
        <v>2925</v>
      </c>
      <c r="BK592">
        <v>-175</v>
      </c>
      <c r="BL592" t="s">
        <v>132</v>
      </c>
      <c r="BM592">
        <v>1</v>
      </c>
      <c r="BN592">
        <v>1</v>
      </c>
      <c r="BO592">
        <v>1</v>
      </c>
      <c r="BP592">
        <v>0</v>
      </c>
      <c r="BT592">
        <v>0</v>
      </c>
      <c r="BU592">
        <v>0</v>
      </c>
      <c r="CE592" t="str">
        <f>"15:40:05.158"</f>
        <v>15:40:05.158</v>
      </c>
      <c r="CF592">
        <v>158091906</v>
      </c>
      <c r="CS592">
        <v>0</v>
      </c>
      <c r="CT592">
        <v>2</v>
      </c>
      <c r="CU592">
        <v>0</v>
      </c>
      <c r="CV592">
        <v>2</v>
      </c>
      <c r="CW592">
        <v>0</v>
      </c>
      <c r="CX592">
        <v>5</v>
      </c>
      <c r="CY592">
        <v>7</v>
      </c>
      <c r="CZ592" t="s">
        <v>133</v>
      </c>
      <c r="DA592">
        <v>125</v>
      </c>
      <c r="DB592">
        <v>1</v>
      </c>
      <c r="DC592" t="s">
        <v>134</v>
      </c>
      <c r="DD592" t="s">
        <v>135</v>
      </c>
      <c r="DG592">
        <v>2594908</v>
      </c>
      <c r="DI592">
        <v>0</v>
      </c>
      <c r="DJ592">
        <v>0</v>
      </c>
      <c r="DK592">
        <v>1</v>
      </c>
      <c r="DL592">
        <v>0</v>
      </c>
      <c r="DM592">
        <v>0</v>
      </c>
      <c r="DN592">
        <v>0</v>
      </c>
      <c r="DO592">
        <v>0</v>
      </c>
      <c r="DP592">
        <v>0</v>
      </c>
      <c r="DQ592">
        <v>0</v>
      </c>
      <c r="DR592">
        <v>0</v>
      </c>
      <c r="DS592">
        <v>0</v>
      </c>
    </row>
    <row r="593" spans="1:123" x14ac:dyDescent="0.25">
      <c r="A593" t="str">
        <f>"04/17/2026 15:40:05.458"</f>
        <v>04/17/2026 15:40:05.458</v>
      </c>
      <c r="C593" t="str">
        <f t="shared" si="50"/>
        <v>FFDFD3C0</v>
      </c>
      <c r="D593" t="s">
        <v>139</v>
      </c>
      <c r="E593" t="str">
        <f>"28"</f>
        <v>28</v>
      </c>
      <c r="H593">
        <v>140</v>
      </c>
      <c r="I593" t="s">
        <v>140</v>
      </c>
      <c r="J593" t="s">
        <v>141</v>
      </c>
      <c r="K593">
        <v>0</v>
      </c>
      <c r="L593">
        <v>3</v>
      </c>
      <c r="M593">
        <v>0</v>
      </c>
      <c r="N593">
        <v>2</v>
      </c>
      <c r="O593">
        <v>1</v>
      </c>
      <c r="P593">
        <v>0</v>
      </c>
      <c r="Q593">
        <v>0</v>
      </c>
      <c r="R593" t="s">
        <v>127</v>
      </c>
      <c r="S593" t="str">
        <f>"15:40:05.156"</f>
        <v>15:40:05.156</v>
      </c>
      <c r="T593" t="str">
        <f>"15:40:04.256"</f>
        <v>15:40:04.256</v>
      </c>
      <c r="U593" t="str">
        <f t="shared" si="52"/>
        <v>A55E09</v>
      </c>
      <c r="V593">
        <v>0</v>
      </c>
      <c r="W593">
        <v>0</v>
      </c>
      <c r="X593">
        <v>2</v>
      </c>
      <c r="Y593">
        <v>0</v>
      </c>
      <c r="AA593">
        <v>0</v>
      </c>
      <c r="AB593">
        <v>9</v>
      </c>
      <c r="AC593">
        <v>3</v>
      </c>
      <c r="AD593">
        <v>0</v>
      </c>
      <c r="AE593">
        <v>9</v>
      </c>
      <c r="AF593" t="s">
        <v>128</v>
      </c>
      <c r="AG593">
        <v>0</v>
      </c>
      <c r="AH593">
        <v>0</v>
      </c>
      <c r="AI593">
        <v>1</v>
      </c>
      <c r="AJ593">
        <v>0</v>
      </c>
      <c r="AK593" t="s">
        <v>407</v>
      </c>
      <c r="AL593">
        <v>33.715131</v>
      </c>
      <c r="AM593" t="s">
        <v>317</v>
      </c>
      <c r="AN593">
        <v>-101.208522</v>
      </c>
      <c r="AO593">
        <v>100</v>
      </c>
      <c r="AP593">
        <v>3100</v>
      </c>
      <c r="AQ593" t="s">
        <v>131</v>
      </c>
      <c r="AR593">
        <v>28</v>
      </c>
      <c r="AS593">
        <v>88</v>
      </c>
      <c r="AT593">
        <v>128</v>
      </c>
      <c r="BB593" t="str">
        <f t="shared" si="53"/>
        <v>1200</v>
      </c>
      <c r="BC593">
        <v>1</v>
      </c>
      <c r="BD593" t="str">
        <f t="shared" si="54"/>
        <v xml:space="preserve">N445JS  </v>
      </c>
      <c r="BE593">
        <v>7</v>
      </c>
      <c r="BG593">
        <v>0</v>
      </c>
      <c r="BH593">
        <v>0</v>
      </c>
      <c r="BI593">
        <v>0</v>
      </c>
      <c r="BJ593">
        <v>2925</v>
      </c>
      <c r="BK593">
        <v>-175</v>
      </c>
      <c r="BL593" t="s">
        <v>132</v>
      </c>
      <c r="BM593">
        <v>1</v>
      </c>
      <c r="BN593">
        <v>1</v>
      </c>
      <c r="BO593">
        <v>1</v>
      </c>
      <c r="BP593">
        <v>0</v>
      </c>
      <c r="BT593">
        <v>0</v>
      </c>
      <c r="BU593">
        <v>0</v>
      </c>
      <c r="CE593" t="str">
        <f>"15:40:05.158"</f>
        <v>15:40:05.158</v>
      </c>
      <c r="CF593">
        <v>158091906</v>
      </c>
      <c r="CS593">
        <v>0</v>
      </c>
      <c r="CT593">
        <v>2</v>
      </c>
      <c r="CU593">
        <v>0</v>
      </c>
      <c r="CV593">
        <v>2</v>
      </c>
      <c r="CW593">
        <v>0</v>
      </c>
      <c r="CX593">
        <v>5</v>
      </c>
      <c r="CY593">
        <v>7</v>
      </c>
      <c r="CZ593" t="s">
        <v>133</v>
      </c>
      <c r="DA593">
        <v>125</v>
      </c>
      <c r="DB593">
        <v>1</v>
      </c>
      <c r="DC593" t="s">
        <v>134</v>
      </c>
      <c r="DD593" t="s">
        <v>135</v>
      </c>
      <c r="DG593">
        <v>2594908</v>
      </c>
      <c r="DI593">
        <v>0</v>
      </c>
      <c r="DJ593">
        <v>0</v>
      </c>
      <c r="DK593">
        <v>1</v>
      </c>
      <c r="DL593">
        <v>0</v>
      </c>
      <c r="DM593">
        <v>0</v>
      </c>
      <c r="DN593">
        <v>0</v>
      </c>
      <c r="DO593">
        <v>0</v>
      </c>
      <c r="DP593">
        <v>0</v>
      </c>
      <c r="DQ593">
        <v>0</v>
      </c>
      <c r="DR593">
        <v>0</v>
      </c>
      <c r="DS593">
        <v>0</v>
      </c>
    </row>
    <row r="594" spans="1:123" x14ac:dyDescent="0.25">
      <c r="A594" t="str">
        <f>"04/17/2026 15:40:06.945"</f>
        <v>04/17/2026 15:40:06.945</v>
      </c>
      <c r="C594" t="str">
        <f t="shared" si="50"/>
        <v>FFDFD3C0</v>
      </c>
      <c r="D594" t="s">
        <v>136</v>
      </c>
      <c r="E594" t="str">
        <f>"0E"</f>
        <v>0E</v>
      </c>
      <c r="F594">
        <v>1014</v>
      </c>
      <c r="G594" t="s">
        <v>125</v>
      </c>
      <c r="J594" t="s">
        <v>137</v>
      </c>
      <c r="K594">
        <v>0</v>
      </c>
      <c r="L594">
        <v>3</v>
      </c>
      <c r="M594">
        <v>0</v>
      </c>
      <c r="N594">
        <v>2</v>
      </c>
      <c r="O594">
        <v>1</v>
      </c>
      <c r="P594">
        <v>0</v>
      </c>
      <c r="Q594">
        <v>0</v>
      </c>
      <c r="R594" t="s">
        <v>127</v>
      </c>
      <c r="S594" t="str">
        <f>"15:40:06.672"</f>
        <v>15:40:06.672</v>
      </c>
      <c r="T594" t="str">
        <f>"15:40:06.472"</f>
        <v>15:40:06.472</v>
      </c>
      <c r="U594" t="str">
        <f t="shared" si="52"/>
        <v>A55E09</v>
      </c>
      <c r="V594">
        <v>0</v>
      </c>
      <c r="W594">
        <v>0</v>
      </c>
      <c r="X594">
        <v>2</v>
      </c>
      <c r="Y594">
        <v>0</v>
      </c>
      <c r="AA594">
        <v>0</v>
      </c>
      <c r="AB594">
        <v>9</v>
      </c>
      <c r="AC594">
        <v>3</v>
      </c>
      <c r="AD594">
        <v>0</v>
      </c>
      <c r="AE594">
        <v>9</v>
      </c>
      <c r="AF594" t="s">
        <v>128</v>
      </c>
      <c r="AG594">
        <v>0</v>
      </c>
      <c r="AH594">
        <v>0</v>
      </c>
      <c r="AI594">
        <v>1</v>
      </c>
      <c r="AJ594">
        <v>0</v>
      </c>
      <c r="AK594" t="s">
        <v>408</v>
      </c>
      <c r="AL594">
        <v>33.715753999999997</v>
      </c>
      <c r="AM594" t="s">
        <v>409</v>
      </c>
      <c r="AN594">
        <v>-101.208243</v>
      </c>
      <c r="AO594">
        <v>100</v>
      </c>
      <c r="AP594">
        <v>3100</v>
      </c>
      <c r="AQ594" t="s">
        <v>131</v>
      </c>
      <c r="AR594">
        <v>31</v>
      </c>
      <c r="AS594">
        <v>86</v>
      </c>
      <c r="AT594">
        <v>128</v>
      </c>
      <c r="BB594" t="str">
        <f t="shared" si="53"/>
        <v>1200</v>
      </c>
      <c r="BC594">
        <v>1</v>
      </c>
      <c r="BD594" t="str">
        <f t="shared" si="54"/>
        <v xml:space="preserve">N445JS  </v>
      </c>
      <c r="BE594">
        <v>7</v>
      </c>
      <c r="BG594">
        <v>0</v>
      </c>
      <c r="BH594">
        <v>0</v>
      </c>
      <c r="BI594">
        <v>0</v>
      </c>
      <c r="BJ594">
        <v>2925</v>
      </c>
      <c r="BK594">
        <v>-175</v>
      </c>
      <c r="BL594" t="s">
        <v>132</v>
      </c>
      <c r="BM594">
        <v>1</v>
      </c>
      <c r="BN594">
        <v>1</v>
      </c>
      <c r="BO594">
        <v>1</v>
      </c>
      <c r="BP594">
        <v>0</v>
      </c>
      <c r="BT594">
        <v>0</v>
      </c>
      <c r="BU594">
        <v>0</v>
      </c>
      <c r="CE594" t="str">
        <f>"15:40:06.673"</f>
        <v>15:40:06.673</v>
      </c>
      <c r="CF594">
        <v>672943540</v>
      </c>
      <c r="CS594">
        <v>0</v>
      </c>
      <c r="CT594">
        <v>2</v>
      </c>
      <c r="CU594">
        <v>0</v>
      </c>
      <c r="CV594">
        <v>2</v>
      </c>
      <c r="CW594">
        <v>0</v>
      </c>
      <c r="CX594">
        <v>4</v>
      </c>
      <c r="CY594">
        <v>7</v>
      </c>
      <c r="CZ594" t="s">
        <v>133</v>
      </c>
      <c r="DA594">
        <v>125</v>
      </c>
      <c r="DB594">
        <v>1</v>
      </c>
      <c r="DC594" t="s">
        <v>134</v>
      </c>
      <c r="DD594" t="s">
        <v>135</v>
      </c>
      <c r="DG594">
        <v>2596500</v>
      </c>
      <c r="DI594">
        <v>0</v>
      </c>
      <c r="DJ594">
        <v>0</v>
      </c>
      <c r="DK594">
        <v>0</v>
      </c>
      <c r="DL594">
        <v>0</v>
      </c>
      <c r="DM594">
        <v>0</v>
      </c>
      <c r="DN594">
        <v>0</v>
      </c>
      <c r="DO594">
        <v>0</v>
      </c>
      <c r="DP594">
        <v>0</v>
      </c>
      <c r="DQ594">
        <v>0</v>
      </c>
      <c r="DR594">
        <v>0</v>
      </c>
      <c r="DS594">
        <v>0</v>
      </c>
    </row>
    <row r="595" spans="1:123" x14ac:dyDescent="0.25">
      <c r="A595" t="str">
        <f>"04/17/2026 15:40:06.961"</f>
        <v>04/17/2026 15:40:06.961</v>
      </c>
      <c r="C595" t="str">
        <f t="shared" si="50"/>
        <v>FFDFD3C0</v>
      </c>
      <c r="D595" t="s">
        <v>136</v>
      </c>
      <c r="E595" t="str">
        <f>"0F"</f>
        <v>0F</v>
      </c>
      <c r="F595">
        <v>1015</v>
      </c>
      <c r="G595" t="s">
        <v>138</v>
      </c>
      <c r="J595" t="s">
        <v>137</v>
      </c>
      <c r="K595">
        <v>0</v>
      </c>
      <c r="L595">
        <v>3</v>
      </c>
      <c r="M595">
        <v>0</v>
      </c>
      <c r="N595">
        <v>2</v>
      </c>
      <c r="O595">
        <v>1</v>
      </c>
      <c r="P595">
        <v>0</v>
      </c>
      <c r="Q595">
        <v>0</v>
      </c>
      <c r="R595" t="s">
        <v>127</v>
      </c>
      <c r="S595" t="str">
        <f>"15:40:06.672"</f>
        <v>15:40:06.672</v>
      </c>
      <c r="T595" t="str">
        <f>"15:40:06.472"</f>
        <v>15:40:06.472</v>
      </c>
      <c r="U595" t="str">
        <f t="shared" si="52"/>
        <v>A55E09</v>
      </c>
      <c r="V595">
        <v>0</v>
      </c>
      <c r="W595">
        <v>0</v>
      </c>
      <c r="X595">
        <v>2</v>
      </c>
      <c r="Y595">
        <v>0</v>
      </c>
      <c r="AA595">
        <v>0</v>
      </c>
      <c r="AB595">
        <v>9</v>
      </c>
      <c r="AC595">
        <v>3</v>
      </c>
      <c r="AD595">
        <v>0</v>
      </c>
      <c r="AE595">
        <v>9</v>
      </c>
      <c r="AF595" t="s">
        <v>128</v>
      </c>
      <c r="AG595">
        <v>0</v>
      </c>
      <c r="AH595">
        <v>0</v>
      </c>
      <c r="AI595">
        <v>1</v>
      </c>
      <c r="AJ595">
        <v>0</v>
      </c>
      <c r="AK595" t="s">
        <v>408</v>
      </c>
      <c r="AL595">
        <v>33.715753999999997</v>
      </c>
      <c r="AM595" t="s">
        <v>409</v>
      </c>
      <c r="AN595">
        <v>-101.208243</v>
      </c>
      <c r="AO595">
        <v>100</v>
      </c>
      <c r="AP595">
        <v>3100</v>
      </c>
      <c r="AQ595" t="s">
        <v>131</v>
      </c>
      <c r="AR595">
        <v>31</v>
      </c>
      <c r="AS595">
        <v>86</v>
      </c>
      <c r="AT595">
        <v>128</v>
      </c>
      <c r="BB595" t="str">
        <f t="shared" si="53"/>
        <v>1200</v>
      </c>
      <c r="BC595">
        <v>1</v>
      </c>
      <c r="BD595" t="str">
        <f t="shared" si="54"/>
        <v xml:space="preserve">N445JS  </v>
      </c>
      <c r="BE595">
        <v>7</v>
      </c>
      <c r="BG595">
        <v>0</v>
      </c>
      <c r="BH595">
        <v>0</v>
      </c>
      <c r="BI595">
        <v>0</v>
      </c>
      <c r="BJ595">
        <v>2925</v>
      </c>
      <c r="BK595">
        <v>-175</v>
      </c>
      <c r="BL595" t="s">
        <v>132</v>
      </c>
      <c r="BM595">
        <v>1</v>
      </c>
      <c r="BN595">
        <v>1</v>
      </c>
      <c r="BO595">
        <v>1</v>
      </c>
      <c r="BP595">
        <v>0</v>
      </c>
      <c r="BT595">
        <v>0</v>
      </c>
      <c r="BU595">
        <v>0</v>
      </c>
      <c r="CE595" t="str">
        <f>"15:40:06.673"</f>
        <v>15:40:06.673</v>
      </c>
      <c r="CF595">
        <v>672943540</v>
      </c>
      <c r="CS595">
        <v>0</v>
      </c>
      <c r="CT595">
        <v>2</v>
      </c>
      <c r="CU595">
        <v>0</v>
      </c>
      <c r="CV595">
        <v>2</v>
      </c>
      <c r="CW595">
        <v>0</v>
      </c>
      <c r="CX595">
        <v>4</v>
      </c>
      <c r="CY595">
        <v>7</v>
      </c>
      <c r="CZ595" t="s">
        <v>133</v>
      </c>
      <c r="DA595">
        <v>125</v>
      </c>
      <c r="DB595">
        <v>1</v>
      </c>
      <c r="DC595" t="s">
        <v>134</v>
      </c>
      <c r="DD595" t="s">
        <v>135</v>
      </c>
      <c r="DG595">
        <v>2596500</v>
      </c>
      <c r="DI595">
        <v>0</v>
      </c>
      <c r="DJ595">
        <v>0</v>
      </c>
      <c r="DK595">
        <v>1</v>
      </c>
      <c r="DL595">
        <v>0</v>
      </c>
      <c r="DM595">
        <v>0</v>
      </c>
      <c r="DN595">
        <v>0</v>
      </c>
      <c r="DO595">
        <v>0</v>
      </c>
      <c r="DP595">
        <v>0</v>
      </c>
      <c r="DQ595">
        <v>0</v>
      </c>
      <c r="DR595">
        <v>0</v>
      </c>
      <c r="DS595">
        <v>0</v>
      </c>
    </row>
    <row r="596" spans="1:123" x14ac:dyDescent="0.25">
      <c r="A596" t="str">
        <f>"04/17/2026 15:40:06.961"</f>
        <v>04/17/2026 15:40:06.961</v>
      </c>
      <c r="C596" t="str">
        <f t="shared" si="50"/>
        <v>FFDFD3C0</v>
      </c>
      <c r="D596" t="s">
        <v>139</v>
      </c>
      <c r="E596" t="str">
        <f>"28"</f>
        <v>28</v>
      </c>
      <c r="H596">
        <v>140</v>
      </c>
      <c r="I596" t="s">
        <v>140</v>
      </c>
      <c r="J596" t="s">
        <v>141</v>
      </c>
      <c r="K596">
        <v>0</v>
      </c>
      <c r="L596">
        <v>3</v>
      </c>
      <c r="M596">
        <v>0</v>
      </c>
      <c r="N596">
        <v>2</v>
      </c>
      <c r="O596">
        <v>1</v>
      </c>
      <c r="P596">
        <v>0</v>
      </c>
      <c r="Q596">
        <v>0</v>
      </c>
      <c r="R596" t="s">
        <v>127</v>
      </c>
      <c r="S596" t="str">
        <f>"15:40:06.672"</f>
        <v>15:40:06.672</v>
      </c>
      <c r="T596" t="str">
        <f>"15:40:06.472"</f>
        <v>15:40:06.472</v>
      </c>
      <c r="U596" t="str">
        <f t="shared" si="52"/>
        <v>A55E09</v>
      </c>
      <c r="V596">
        <v>0</v>
      </c>
      <c r="W596">
        <v>0</v>
      </c>
      <c r="X596">
        <v>2</v>
      </c>
      <c r="Y596">
        <v>0</v>
      </c>
      <c r="AA596">
        <v>0</v>
      </c>
      <c r="AB596">
        <v>9</v>
      </c>
      <c r="AC596">
        <v>3</v>
      </c>
      <c r="AD596">
        <v>0</v>
      </c>
      <c r="AE596">
        <v>9</v>
      </c>
      <c r="AF596" t="s">
        <v>128</v>
      </c>
      <c r="AG596">
        <v>0</v>
      </c>
      <c r="AH596">
        <v>0</v>
      </c>
      <c r="AI596">
        <v>1</v>
      </c>
      <c r="AJ596">
        <v>0</v>
      </c>
      <c r="AK596" t="s">
        <v>408</v>
      </c>
      <c r="AL596">
        <v>33.715753999999997</v>
      </c>
      <c r="AM596" t="s">
        <v>409</v>
      </c>
      <c r="AN596">
        <v>-101.208243</v>
      </c>
      <c r="AO596">
        <v>100</v>
      </c>
      <c r="AP596">
        <v>3100</v>
      </c>
      <c r="AQ596" t="s">
        <v>131</v>
      </c>
      <c r="AR596">
        <v>31</v>
      </c>
      <c r="AS596">
        <v>86</v>
      </c>
      <c r="AT596">
        <v>128</v>
      </c>
      <c r="BB596" t="str">
        <f t="shared" si="53"/>
        <v>1200</v>
      </c>
      <c r="BC596">
        <v>1</v>
      </c>
      <c r="BD596" t="str">
        <f t="shared" si="54"/>
        <v xml:space="preserve">N445JS  </v>
      </c>
      <c r="BE596">
        <v>7</v>
      </c>
      <c r="BG596">
        <v>0</v>
      </c>
      <c r="BH596">
        <v>0</v>
      </c>
      <c r="BI596">
        <v>0</v>
      </c>
      <c r="BJ596">
        <v>2925</v>
      </c>
      <c r="BK596">
        <v>-175</v>
      </c>
      <c r="BL596" t="s">
        <v>132</v>
      </c>
      <c r="BM596">
        <v>1</v>
      </c>
      <c r="BN596">
        <v>1</v>
      </c>
      <c r="BO596">
        <v>1</v>
      </c>
      <c r="BP596">
        <v>0</v>
      </c>
      <c r="BT596">
        <v>0</v>
      </c>
      <c r="BU596">
        <v>0</v>
      </c>
      <c r="CE596" t="str">
        <f>"15:40:06.673"</f>
        <v>15:40:06.673</v>
      </c>
      <c r="CF596">
        <v>672943540</v>
      </c>
      <c r="CS596">
        <v>0</v>
      </c>
      <c r="CT596">
        <v>2</v>
      </c>
      <c r="CU596">
        <v>0</v>
      </c>
      <c r="CV596">
        <v>2</v>
      </c>
      <c r="CW596">
        <v>0</v>
      </c>
      <c r="CX596">
        <v>4</v>
      </c>
      <c r="CY596">
        <v>7</v>
      </c>
      <c r="CZ596" t="s">
        <v>133</v>
      </c>
      <c r="DA596">
        <v>125</v>
      </c>
      <c r="DB596">
        <v>1</v>
      </c>
      <c r="DC596" t="s">
        <v>134</v>
      </c>
      <c r="DD596" t="s">
        <v>135</v>
      </c>
      <c r="DG596">
        <v>2596500</v>
      </c>
      <c r="DI596">
        <v>0</v>
      </c>
      <c r="DJ596">
        <v>0</v>
      </c>
      <c r="DK596">
        <v>1</v>
      </c>
      <c r="DL596">
        <v>0</v>
      </c>
      <c r="DM596">
        <v>0</v>
      </c>
      <c r="DN596">
        <v>0</v>
      </c>
      <c r="DO596">
        <v>0</v>
      </c>
      <c r="DP596">
        <v>0</v>
      </c>
      <c r="DQ596">
        <v>0</v>
      </c>
      <c r="DR596">
        <v>0</v>
      </c>
      <c r="DS596">
        <v>0</v>
      </c>
    </row>
    <row r="597" spans="1:123" x14ac:dyDescent="0.25">
      <c r="A597" t="str">
        <f>"04/17/2026 15:40:06.978"</f>
        <v>04/17/2026 15:40:06.978</v>
      </c>
      <c r="C597" t="str">
        <f t="shared" si="50"/>
        <v>FFDFD3C0</v>
      </c>
      <c r="D597" t="s">
        <v>124</v>
      </c>
      <c r="E597" t="str">
        <f>"03"</f>
        <v>03</v>
      </c>
      <c r="H597">
        <v>160</v>
      </c>
      <c r="I597" t="s">
        <v>125</v>
      </c>
      <c r="J597" t="s">
        <v>126</v>
      </c>
      <c r="K597">
        <v>0</v>
      </c>
      <c r="L597">
        <v>3</v>
      </c>
      <c r="M597">
        <v>0</v>
      </c>
      <c r="N597">
        <v>2</v>
      </c>
      <c r="O597">
        <v>1</v>
      </c>
      <c r="P597">
        <v>0</v>
      </c>
      <c r="Q597">
        <v>0</v>
      </c>
      <c r="R597" t="s">
        <v>127</v>
      </c>
      <c r="S597" t="str">
        <f>"15:40:06.672"</f>
        <v>15:40:06.672</v>
      </c>
      <c r="T597" t="str">
        <f>"15:40:06.472"</f>
        <v>15:40:06.472</v>
      </c>
      <c r="U597" t="str">
        <f t="shared" si="52"/>
        <v>A55E09</v>
      </c>
      <c r="V597">
        <v>0</v>
      </c>
      <c r="W597">
        <v>0</v>
      </c>
      <c r="X597">
        <v>2</v>
      </c>
      <c r="Y597">
        <v>0</v>
      </c>
      <c r="AA597">
        <v>0</v>
      </c>
      <c r="AB597">
        <v>9</v>
      </c>
      <c r="AC597">
        <v>3</v>
      </c>
      <c r="AD597">
        <v>0</v>
      </c>
      <c r="AE597">
        <v>9</v>
      </c>
      <c r="AF597" t="s">
        <v>128</v>
      </c>
      <c r="AG597">
        <v>0</v>
      </c>
      <c r="AH597">
        <v>0</v>
      </c>
      <c r="AI597">
        <v>1</v>
      </c>
      <c r="AJ597">
        <v>0</v>
      </c>
      <c r="AK597" t="s">
        <v>408</v>
      </c>
      <c r="AL597">
        <v>33.715753999999997</v>
      </c>
      <c r="AM597" t="s">
        <v>409</v>
      </c>
      <c r="AN597">
        <v>-101.208243</v>
      </c>
      <c r="AO597">
        <v>100</v>
      </c>
      <c r="AP597">
        <v>3100</v>
      </c>
      <c r="AQ597" t="s">
        <v>131</v>
      </c>
      <c r="AR597">
        <v>31</v>
      </c>
      <c r="AS597">
        <v>86</v>
      </c>
      <c r="AT597">
        <v>128</v>
      </c>
      <c r="BB597" t="str">
        <f t="shared" si="53"/>
        <v>1200</v>
      </c>
      <c r="BC597">
        <v>1</v>
      </c>
      <c r="BD597" t="str">
        <f t="shared" si="54"/>
        <v xml:space="preserve">N445JS  </v>
      </c>
      <c r="BE597">
        <v>7</v>
      </c>
      <c r="BG597">
        <v>0</v>
      </c>
      <c r="BH597">
        <v>0</v>
      </c>
      <c r="BI597">
        <v>0</v>
      </c>
      <c r="BJ597">
        <v>2925</v>
      </c>
      <c r="BK597">
        <v>-175</v>
      </c>
      <c r="BL597" t="s">
        <v>132</v>
      </c>
      <c r="BM597">
        <v>1</v>
      </c>
      <c r="BN597">
        <v>1</v>
      </c>
      <c r="BO597">
        <v>1</v>
      </c>
      <c r="BP597">
        <v>0</v>
      </c>
      <c r="BT597">
        <v>0</v>
      </c>
      <c r="BU597">
        <v>0</v>
      </c>
      <c r="CE597" t="str">
        <f>"15:40:06.673"</f>
        <v>15:40:06.673</v>
      </c>
      <c r="CF597">
        <v>672943540</v>
      </c>
      <c r="CS597">
        <v>0</v>
      </c>
      <c r="CT597">
        <v>2</v>
      </c>
      <c r="CU597">
        <v>0</v>
      </c>
      <c r="CV597">
        <v>2</v>
      </c>
      <c r="CW597">
        <v>0</v>
      </c>
      <c r="CX597">
        <v>4</v>
      </c>
      <c r="CY597">
        <v>7</v>
      </c>
      <c r="CZ597" t="s">
        <v>133</v>
      </c>
      <c r="DA597">
        <v>125</v>
      </c>
      <c r="DB597">
        <v>1</v>
      </c>
      <c r="DC597" t="s">
        <v>134</v>
      </c>
      <c r="DD597" t="s">
        <v>135</v>
      </c>
      <c r="DG597">
        <v>2596500</v>
      </c>
      <c r="DI597">
        <v>0</v>
      </c>
      <c r="DJ597">
        <v>0</v>
      </c>
      <c r="DK597">
        <v>1</v>
      </c>
      <c r="DL597">
        <v>0</v>
      </c>
      <c r="DM597">
        <v>0</v>
      </c>
      <c r="DN597">
        <v>0</v>
      </c>
      <c r="DO597">
        <v>0</v>
      </c>
      <c r="DP597">
        <v>0</v>
      </c>
      <c r="DQ597">
        <v>0</v>
      </c>
      <c r="DR597">
        <v>0</v>
      </c>
      <c r="DS597">
        <v>0</v>
      </c>
    </row>
    <row r="598" spans="1:123" x14ac:dyDescent="0.25">
      <c r="A598" t="str">
        <f>"04/17/2026 15:40:08.881"</f>
        <v>04/17/2026 15:40:08.881</v>
      </c>
      <c r="C598" t="str">
        <f t="shared" si="50"/>
        <v>FFDFD3C0</v>
      </c>
      <c r="D598" t="s">
        <v>124</v>
      </c>
      <c r="E598" t="str">
        <f>"03"</f>
        <v>03</v>
      </c>
      <c r="H598">
        <v>160</v>
      </c>
      <c r="I598" t="s">
        <v>125</v>
      </c>
      <c r="J598" t="s">
        <v>126</v>
      </c>
      <c r="K598">
        <v>0</v>
      </c>
      <c r="L598">
        <v>3</v>
      </c>
      <c r="M598">
        <v>0</v>
      </c>
      <c r="N598">
        <v>2</v>
      </c>
      <c r="O598">
        <v>1</v>
      </c>
      <c r="P598">
        <v>0</v>
      </c>
      <c r="Q598">
        <v>0</v>
      </c>
      <c r="R598" t="s">
        <v>127</v>
      </c>
      <c r="S598" t="str">
        <f>"15:40:08.617"</f>
        <v>15:40:08.617</v>
      </c>
      <c r="T598" t="str">
        <f>"15:40:08.417"</f>
        <v>15:40:08.417</v>
      </c>
      <c r="U598" t="str">
        <f t="shared" si="52"/>
        <v>A55E09</v>
      </c>
      <c r="V598">
        <v>0</v>
      </c>
      <c r="W598">
        <v>0</v>
      </c>
      <c r="X598">
        <v>2</v>
      </c>
      <c r="Y598">
        <v>0</v>
      </c>
      <c r="AA598">
        <v>0</v>
      </c>
      <c r="AB598">
        <v>9</v>
      </c>
      <c r="AC598">
        <v>3</v>
      </c>
      <c r="AD598">
        <v>0</v>
      </c>
      <c r="AE598">
        <v>8</v>
      </c>
      <c r="AF598" t="s">
        <v>128</v>
      </c>
      <c r="AG598">
        <v>0</v>
      </c>
      <c r="AH598">
        <v>0</v>
      </c>
      <c r="AI598">
        <v>1</v>
      </c>
      <c r="AJ598">
        <v>0</v>
      </c>
      <c r="AK598" t="s">
        <v>410</v>
      </c>
      <c r="AL598">
        <v>33.716482999999997</v>
      </c>
      <c r="AM598" t="s">
        <v>305</v>
      </c>
      <c r="AN598">
        <v>-101.2079</v>
      </c>
      <c r="AO598">
        <v>100</v>
      </c>
      <c r="AP598">
        <v>3200</v>
      </c>
      <c r="AQ598" t="s">
        <v>131</v>
      </c>
      <c r="AR598">
        <v>33</v>
      </c>
      <c r="AS598">
        <v>84</v>
      </c>
      <c r="AT598">
        <v>128</v>
      </c>
      <c r="BB598" t="str">
        <f t="shared" si="53"/>
        <v>1200</v>
      </c>
      <c r="BC598">
        <v>1</v>
      </c>
      <c r="BD598" t="str">
        <f t="shared" si="54"/>
        <v xml:space="preserve">N445JS  </v>
      </c>
      <c r="BE598">
        <v>7</v>
      </c>
      <c r="BG598">
        <v>0</v>
      </c>
      <c r="BH598">
        <v>0</v>
      </c>
      <c r="BI598">
        <v>0</v>
      </c>
      <c r="BJ598">
        <v>3025</v>
      </c>
      <c r="BK598">
        <v>-175</v>
      </c>
      <c r="BL598" t="s">
        <v>132</v>
      </c>
      <c r="BM598">
        <v>1</v>
      </c>
      <c r="BN598">
        <v>1</v>
      </c>
      <c r="BO598">
        <v>1</v>
      </c>
      <c r="BP598">
        <v>0</v>
      </c>
      <c r="BT598">
        <v>0</v>
      </c>
      <c r="BU598">
        <v>0</v>
      </c>
      <c r="CE598" t="str">
        <f>"15:40:08.623"</f>
        <v>15:40:08.623</v>
      </c>
      <c r="CF598">
        <v>622752617</v>
      </c>
      <c r="CS598">
        <v>0</v>
      </c>
      <c r="CT598">
        <v>2</v>
      </c>
      <c r="CU598">
        <v>0</v>
      </c>
      <c r="CV598">
        <v>2</v>
      </c>
      <c r="CW598">
        <v>0</v>
      </c>
      <c r="CX598">
        <v>5</v>
      </c>
      <c r="CY598">
        <v>7</v>
      </c>
      <c r="CZ598" t="s">
        <v>133</v>
      </c>
      <c r="DA598">
        <v>125</v>
      </c>
      <c r="DB598">
        <v>1</v>
      </c>
      <c r="DC598" t="s">
        <v>134</v>
      </c>
      <c r="DD598" t="s">
        <v>135</v>
      </c>
      <c r="DG598">
        <v>2598465</v>
      </c>
      <c r="DI598">
        <v>0</v>
      </c>
      <c r="DJ598">
        <v>0</v>
      </c>
      <c r="DK598">
        <v>0</v>
      </c>
      <c r="DL598">
        <v>0</v>
      </c>
      <c r="DM598">
        <v>0</v>
      </c>
      <c r="DN598">
        <v>0</v>
      </c>
      <c r="DO598">
        <v>0</v>
      </c>
      <c r="DP598">
        <v>0</v>
      </c>
      <c r="DQ598">
        <v>0</v>
      </c>
      <c r="DR598">
        <v>0</v>
      </c>
      <c r="DS598">
        <v>0</v>
      </c>
    </row>
    <row r="599" spans="1:123" x14ac:dyDescent="0.25">
      <c r="A599" t="str">
        <f>"04/17/2026 15:40:08.898"</f>
        <v>04/17/2026 15:40:08.898</v>
      </c>
      <c r="C599" t="str">
        <f t="shared" si="50"/>
        <v>FFDFD3C0</v>
      </c>
      <c r="D599" t="s">
        <v>136</v>
      </c>
      <c r="E599" t="str">
        <f>"0E"</f>
        <v>0E</v>
      </c>
      <c r="F599">
        <v>1014</v>
      </c>
      <c r="G599" t="s">
        <v>125</v>
      </c>
      <c r="J599" t="s">
        <v>137</v>
      </c>
      <c r="K599">
        <v>0</v>
      </c>
      <c r="L599">
        <v>3</v>
      </c>
      <c r="M599">
        <v>0</v>
      </c>
      <c r="N599">
        <v>2</v>
      </c>
      <c r="O599">
        <v>1</v>
      </c>
      <c r="P599">
        <v>0</v>
      </c>
      <c r="Q599">
        <v>0</v>
      </c>
      <c r="R599" t="s">
        <v>127</v>
      </c>
      <c r="S599" t="str">
        <f>"15:40:08.617"</f>
        <v>15:40:08.617</v>
      </c>
      <c r="T599" t="str">
        <f>"15:40:08.417"</f>
        <v>15:40:08.417</v>
      </c>
      <c r="U599" t="str">
        <f t="shared" si="52"/>
        <v>A55E09</v>
      </c>
      <c r="V599">
        <v>0</v>
      </c>
      <c r="W599">
        <v>0</v>
      </c>
      <c r="X599">
        <v>2</v>
      </c>
      <c r="Y599">
        <v>0</v>
      </c>
      <c r="AA599">
        <v>0</v>
      </c>
      <c r="AB599">
        <v>9</v>
      </c>
      <c r="AC599">
        <v>3</v>
      </c>
      <c r="AD599">
        <v>0</v>
      </c>
      <c r="AE599">
        <v>8</v>
      </c>
      <c r="AF599" t="s">
        <v>128</v>
      </c>
      <c r="AG599">
        <v>0</v>
      </c>
      <c r="AH599">
        <v>0</v>
      </c>
      <c r="AI599">
        <v>1</v>
      </c>
      <c r="AJ599">
        <v>0</v>
      </c>
      <c r="AK599" t="s">
        <v>410</v>
      </c>
      <c r="AL599">
        <v>33.716482999999997</v>
      </c>
      <c r="AM599" t="s">
        <v>305</v>
      </c>
      <c r="AN599">
        <v>-101.2079</v>
      </c>
      <c r="AO599">
        <v>100</v>
      </c>
      <c r="AP599">
        <v>3200</v>
      </c>
      <c r="AQ599" t="s">
        <v>131</v>
      </c>
      <c r="AR599">
        <v>33</v>
      </c>
      <c r="AS599">
        <v>84</v>
      </c>
      <c r="AT599">
        <v>128</v>
      </c>
      <c r="BB599" t="str">
        <f t="shared" si="53"/>
        <v>1200</v>
      </c>
      <c r="BC599">
        <v>1</v>
      </c>
      <c r="BD599" t="str">
        <f t="shared" si="54"/>
        <v xml:space="preserve">N445JS  </v>
      </c>
      <c r="BE599">
        <v>7</v>
      </c>
      <c r="BG599">
        <v>0</v>
      </c>
      <c r="BH599">
        <v>0</v>
      </c>
      <c r="BI599">
        <v>0</v>
      </c>
      <c r="BJ599">
        <v>3025</v>
      </c>
      <c r="BK599">
        <v>-175</v>
      </c>
      <c r="BL599" t="s">
        <v>132</v>
      </c>
      <c r="BM599">
        <v>1</v>
      </c>
      <c r="BN599">
        <v>1</v>
      </c>
      <c r="BO599">
        <v>1</v>
      </c>
      <c r="BP599">
        <v>0</v>
      </c>
      <c r="BT599">
        <v>0</v>
      </c>
      <c r="BU599">
        <v>0</v>
      </c>
      <c r="CE599" t="str">
        <f>"15:40:08.623"</f>
        <v>15:40:08.623</v>
      </c>
      <c r="CF599">
        <v>622752617</v>
      </c>
      <c r="CS599">
        <v>0</v>
      </c>
      <c r="CT599">
        <v>2</v>
      </c>
      <c r="CU599">
        <v>0</v>
      </c>
      <c r="CV599">
        <v>2</v>
      </c>
      <c r="CW599">
        <v>0</v>
      </c>
      <c r="CX599">
        <v>5</v>
      </c>
      <c r="CY599">
        <v>7</v>
      </c>
      <c r="CZ599" t="s">
        <v>133</v>
      </c>
      <c r="DA599">
        <v>125</v>
      </c>
      <c r="DB599">
        <v>1</v>
      </c>
      <c r="DC599" t="s">
        <v>134</v>
      </c>
      <c r="DD599" t="s">
        <v>135</v>
      </c>
      <c r="DG599">
        <v>2598465</v>
      </c>
      <c r="DI599">
        <v>0</v>
      </c>
      <c r="DJ599">
        <v>0</v>
      </c>
      <c r="DK599">
        <v>1</v>
      </c>
      <c r="DL599">
        <v>0</v>
      </c>
      <c r="DM599">
        <v>0</v>
      </c>
      <c r="DN599">
        <v>0</v>
      </c>
      <c r="DO599">
        <v>0</v>
      </c>
      <c r="DP599">
        <v>0</v>
      </c>
      <c r="DQ599">
        <v>0</v>
      </c>
      <c r="DR599">
        <v>0</v>
      </c>
      <c r="DS599">
        <v>0</v>
      </c>
    </row>
    <row r="600" spans="1:123" x14ac:dyDescent="0.25">
      <c r="A600" t="str">
        <f>"04/17/2026 15:40:08.914"</f>
        <v>04/17/2026 15:40:08.914</v>
      </c>
      <c r="C600" t="str">
        <f t="shared" si="50"/>
        <v>FFDFD3C0</v>
      </c>
      <c r="D600" t="s">
        <v>136</v>
      </c>
      <c r="E600" t="str">
        <f>"0F"</f>
        <v>0F</v>
      </c>
      <c r="F600">
        <v>1015</v>
      </c>
      <c r="G600" t="s">
        <v>138</v>
      </c>
      <c r="J600" t="s">
        <v>137</v>
      </c>
      <c r="K600">
        <v>0</v>
      </c>
      <c r="L600">
        <v>3</v>
      </c>
      <c r="M600">
        <v>0</v>
      </c>
      <c r="N600">
        <v>2</v>
      </c>
      <c r="O600">
        <v>1</v>
      </c>
      <c r="P600">
        <v>0</v>
      </c>
      <c r="Q600">
        <v>0</v>
      </c>
      <c r="R600" t="s">
        <v>127</v>
      </c>
      <c r="S600" t="str">
        <f>"15:40:08.617"</f>
        <v>15:40:08.617</v>
      </c>
      <c r="T600" t="str">
        <f>"15:40:08.417"</f>
        <v>15:40:08.417</v>
      </c>
      <c r="U600" t="str">
        <f t="shared" si="52"/>
        <v>A55E09</v>
      </c>
      <c r="V600">
        <v>0</v>
      </c>
      <c r="W600">
        <v>0</v>
      </c>
      <c r="X600">
        <v>2</v>
      </c>
      <c r="Y600">
        <v>0</v>
      </c>
      <c r="AA600">
        <v>0</v>
      </c>
      <c r="AB600">
        <v>9</v>
      </c>
      <c r="AC600">
        <v>3</v>
      </c>
      <c r="AD600">
        <v>0</v>
      </c>
      <c r="AE600">
        <v>8</v>
      </c>
      <c r="AF600" t="s">
        <v>128</v>
      </c>
      <c r="AG600">
        <v>0</v>
      </c>
      <c r="AH600">
        <v>0</v>
      </c>
      <c r="AI600">
        <v>1</v>
      </c>
      <c r="AJ600">
        <v>0</v>
      </c>
      <c r="AK600" t="s">
        <v>410</v>
      </c>
      <c r="AL600">
        <v>33.716482999999997</v>
      </c>
      <c r="AM600" t="s">
        <v>305</v>
      </c>
      <c r="AN600">
        <v>-101.2079</v>
      </c>
      <c r="AO600">
        <v>100</v>
      </c>
      <c r="AP600">
        <v>3200</v>
      </c>
      <c r="AQ600" t="s">
        <v>131</v>
      </c>
      <c r="AR600">
        <v>33</v>
      </c>
      <c r="AS600">
        <v>84</v>
      </c>
      <c r="AT600">
        <v>128</v>
      </c>
      <c r="BB600" t="str">
        <f t="shared" si="53"/>
        <v>1200</v>
      </c>
      <c r="BC600">
        <v>1</v>
      </c>
      <c r="BD600" t="str">
        <f t="shared" si="54"/>
        <v xml:space="preserve">N445JS  </v>
      </c>
      <c r="BE600">
        <v>7</v>
      </c>
      <c r="BG600">
        <v>0</v>
      </c>
      <c r="BH600">
        <v>0</v>
      </c>
      <c r="BI600">
        <v>0</v>
      </c>
      <c r="BJ600">
        <v>3025</v>
      </c>
      <c r="BK600">
        <v>-175</v>
      </c>
      <c r="BL600" t="s">
        <v>132</v>
      </c>
      <c r="BM600">
        <v>1</v>
      </c>
      <c r="BN600">
        <v>1</v>
      </c>
      <c r="BO600">
        <v>1</v>
      </c>
      <c r="BP600">
        <v>0</v>
      </c>
      <c r="BT600">
        <v>0</v>
      </c>
      <c r="BU600">
        <v>0</v>
      </c>
      <c r="CE600" t="str">
        <f>"15:40:08.623"</f>
        <v>15:40:08.623</v>
      </c>
      <c r="CF600">
        <v>622752617</v>
      </c>
      <c r="CS600">
        <v>0</v>
      </c>
      <c r="CT600">
        <v>2</v>
      </c>
      <c r="CU600">
        <v>0</v>
      </c>
      <c r="CV600">
        <v>2</v>
      </c>
      <c r="CW600">
        <v>0</v>
      </c>
      <c r="CX600">
        <v>5</v>
      </c>
      <c r="CY600">
        <v>7</v>
      </c>
      <c r="CZ600" t="s">
        <v>133</v>
      </c>
      <c r="DA600">
        <v>125</v>
      </c>
      <c r="DB600">
        <v>1</v>
      </c>
      <c r="DC600" t="s">
        <v>134</v>
      </c>
      <c r="DD600" t="s">
        <v>135</v>
      </c>
      <c r="DG600">
        <v>2598465</v>
      </c>
      <c r="DI600">
        <v>0</v>
      </c>
      <c r="DJ600">
        <v>0</v>
      </c>
      <c r="DK600">
        <v>1</v>
      </c>
      <c r="DL600">
        <v>0</v>
      </c>
      <c r="DM600">
        <v>0</v>
      </c>
      <c r="DN600">
        <v>0</v>
      </c>
      <c r="DO600">
        <v>0</v>
      </c>
      <c r="DP600">
        <v>0</v>
      </c>
      <c r="DQ600">
        <v>0</v>
      </c>
      <c r="DR600">
        <v>0</v>
      </c>
      <c r="DS600">
        <v>0</v>
      </c>
    </row>
    <row r="601" spans="1:123" x14ac:dyDescent="0.25">
      <c r="A601" t="str">
        <f>"04/17/2026 15:40:08.915"</f>
        <v>04/17/2026 15:40:08.915</v>
      </c>
      <c r="C601" t="str">
        <f t="shared" si="50"/>
        <v>FFDFD3C0</v>
      </c>
      <c r="D601" t="s">
        <v>139</v>
      </c>
      <c r="E601" t="str">
        <f>"28"</f>
        <v>28</v>
      </c>
      <c r="H601">
        <v>140</v>
      </c>
      <c r="I601" t="s">
        <v>140</v>
      </c>
      <c r="J601" t="s">
        <v>141</v>
      </c>
      <c r="K601">
        <v>0</v>
      </c>
      <c r="L601">
        <v>3</v>
      </c>
      <c r="M601">
        <v>0</v>
      </c>
      <c r="N601">
        <v>2</v>
      </c>
      <c r="O601">
        <v>1</v>
      </c>
      <c r="P601">
        <v>0</v>
      </c>
      <c r="Q601">
        <v>0</v>
      </c>
      <c r="R601" t="s">
        <v>127</v>
      </c>
      <c r="S601" t="str">
        <f>"15:40:08.617"</f>
        <v>15:40:08.617</v>
      </c>
      <c r="T601" t="str">
        <f>"15:40:08.417"</f>
        <v>15:40:08.417</v>
      </c>
      <c r="U601" t="str">
        <f t="shared" si="52"/>
        <v>A55E09</v>
      </c>
      <c r="V601">
        <v>0</v>
      </c>
      <c r="W601">
        <v>0</v>
      </c>
      <c r="X601">
        <v>2</v>
      </c>
      <c r="Y601">
        <v>0</v>
      </c>
      <c r="AA601">
        <v>0</v>
      </c>
      <c r="AB601">
        <v>9</v>
      </c>
      <c r="AC601">
        <v>3</v>
      </c>
      <c r="AD601">
        <v>0</v>
      </c>
      <c r="AE601">
        <v>8</v>
      </c>
      <c r="AF601" t="s">
        <v>128</v>
      </c>
      <c r="AG601">
        <v>0</v>
      </c>
      <c r="AH601">
        <v>0</v>
      </c>
      <c r="AI601">
        <v>1</v>
      </c>
      <c r="AJ601">
        <v>0</v>
      </c>
      <c r="AK601" t="s">
        <v>410</v>
      </c>
      <c r="AL601">
        <v>33.716482999999997</v>
      </c>
      <c r="AM601" t="s">
        <v>305</v>
      </c>
      <c r="AN601">
        <v>-101.2079</v>
      </c>
      <c r="AO601">
        <v>100</v>
      </c>
      <c r="AP601">
        <v>3200</v>
      </c>
      <c r="AQ601" t="s">
        <v>131</v>
      </c>
      <c r="AR601">
        <v>33</v>
      </c>
      <c r="AS601">
        <v>84</v>
      </c>
      <c r="AT601">
        <v>128</v>
      </c>
      <c r="BB601" t="str">
        <f t="shared" si="53"/>
        <v>1200</v>
      </c>
      <c r="BC601">
        <v>1</v>
      </c>
      <c r="BD601" t="str">
        <f t="shared" si="54"/>
        <v xml:space="preserve">N445JS  </v>
      </c>
      <c r="BE601">
        <v>7</v>
      </c>
      <c r="BG601">
        <v>0</v>
      </c>
      <c r="BH601">
        <v>0</v>
      </c>
      <c r="BI601">
        <v>0</v>
      </c>
      <c r="BJ601">
        <v>3025</v>
      </c>
      <c r="BK601">
        <v>-175</v>
      </c>
      <c r="BL601" t="s">
        <v>132</v>
      </c>
      <c r="BM601">
        <v>1</v>
      </c>
      <c r="BN601">
        <v>1</v>
      </c>
      <c r="BO601">
        <v>1</v>
      </c>
      <c r="BP601">
        <v>0</v>
      </c>
      <c r="BT601">
        <v>0</v>
      </c>
      <c r="BU601">
        <v>0</v>
      </c>
      <c r="CE601" t="str">
        <f>"15:40:08.623"</f>
        <v>15:40:08.623</v>
      </c>
      <c r="CF601">
        <v>622752617</v>
      </c>
      <c r="CS601">
        <v>0</v>
      </c>
      <c r="CT601">
        <v>2</v>
      </c>
      <c r="CU601">
        <v>0</v>
      </c>
      <c r="CV601">
        <v>2</v>
      </c>
      <c r="CW601">
        <v>0</v>
      </c>
      <c r="CX601">
        <v>5</v>
      </c>
      <c r="CY601">
        <v>7</v>
      </c>
      <c r="CZ601" t="s">
        <v>133</v>
      </c>
      <c r="DA601">
        <v>125</v>
      </c>
      <c r="DB601">
        <v>1</v>
      </c>
      <c r="DC601" t="s">
        <v>134</v>
      </c>
      <c r="DD601" t="s">
        <v>135</v>
      </c>
      <c r="DG601">
        <v>2598465</v>
      </c>
      <c r="DI601">
        <v>0</v>
      </c>
      <c r="DJ601">
        <v>0</v>
      </c>
      <c r="DK601">
        <v>1</v>
      </c>
      <c r="DL601">
        <v>0</v>
      </c>
      <c r="DM601">
        <v>0</v>
      </c>
      <c r="DN601">
        <v>0</v>
      </c>
      <c r="DO601">
        <v>0</v>
      </c>
      <c r="DP601">
        <v>0</v>
      </c>
      <c r="DQ601">
        <v>0</v>
      </c>
      <c r="DR601">
        <v>0</v>
      </c>
      <c r="DS601">
        <v>0</v>
      </c>
    </row>
    <row r="602" spans="1:123" x14ac:dyDescent="0.25">
      <c r="A602" t="str">
        <f>"04/17/2026 15:40:09.950"</f>
        <v>04/17/2026 15:40:09.950</v>
      </c>
      <c r="C602" t="str">
        <f t="shared" si="50"/>
        <v>FFDFD3C0</v>
      </c>
      <c r="D602" t="s">
        <v>136</v>
      </c>
      <c r="E602" t="str">
        <f>"0E"</f>
        <v>0E</v>
      </c>
      <c r="F602">
        <v>1014</v>
      </c>
      <c r="G602" t="s">
        <v>125</v>
      </c>
      <c r="J602" t="s">
        <v>137</v>
      </c>
      <c r="K602">
        <v>0</v>
      </c>
      <c r="L602">
        <v>3</v>
      </c>
      <c r="M602">
        <v>0</v>
      </c>
      <c r="N602">
        <v>2</v>
      </c>
      <c r="O602">
        <v>1</v>
      </c>
      <c r="P602">
        <v>0</v>
      </c>
      <c r="Q602">
        <v>0</v>
      </c>
      <c r="R602" t="s">
        <v>127</v>
      </c>
      <c r="S602" t="str">
        <f>"15:40:09.711"</f>
        <v>15:40:09.711</v>
      </c>
      <c r="T602" t="str">
        <f>"15:40:09.311"</f>
        <v>15:40:09.311</v>
      </c>
      <c r="U602" t="str">
        <f t="shared" si="52"/>
        <v>A55E09</v>
      </c>
      <c r="V602">
        <v>0</v>
      </c>
      <c r="W602">
        <v>0</v>
      </c>
      <c r="X602">
        <v>2</v>
      </c>
      <c r="Y602">
        <v>0</v>
      </c>
      <c r="AA602">
        <v>0</v>
      </c>
      <c r="AB602">
        <v>9</v>
      </c>
      <c r="AC602">
        <v>3</v>
      </c>
      <c r="AD602">
        <v>0</v>
      </c>
      <c r="AE602">
        <v>9</v>
      </c>
      <c r="AF602" t="s">
        <v>128</v>
      </c>
      <c r="AG602">
        <v>0</v>
      </c>
      <c r="AH602">
        <v>0</v>
      </c>
      <c r="AI602">
        <v>1</v>
      </c>
      <c r="AJ602">
        <v>0</v>
      </c>
      <c r="AK602" t="s">
        <v>411</v>
      </c>
      <c r="AL602">
        <v>33.716890999999997</v>
      </c>
      <c r="AM602" t="s">
        <v>412</v>
      </c>
      <c r="AN602">
        <v>-101.20766399999999</v>
      </c>
      <c r="AO602">
        <v>100</v>
      </c>
      <c r="AP602">
        <v>3200</v>
      </c>
      <c r="AQ602" t="s">
        <v>131</v>
      </c>
      <c r="AR602">
        <v>33</v>
      </c>
      <c r="AS602">
        <v>84</v>
      </c>
      <c r="AT602">
        <v>-64</v>
      </c>
      <c r="BB602" t="str">
        <f t="shared" si="53"/>
        <v>1200</v>
      </c>
      <c r="BC602">
        <v>1</v>
      </c>
      <c r="BD602" t="str">
        <f t="shared" si="54"/>
        <v xml:space="preserve">N445JS  </v>
      </c>
      <c r="BE602">
        <v>7</v>
      </c>
      <c r="BG602">
        <v>0</v>
      </c>
      <c r="BH602">
        <v>0</v>
      </c>
      <c r="BI602">
        <v>0</v>
      </c>
      <c r="BJ602">
        <v>2925</v>
      </c>
      <c r="BK602">
        <v>-275</v>
      </c>
      <c r="BL602" t="s">
        <v>132</v>
      </c>
      <c r="BM602">
        <v>1</v>
      </c>
      <c r="BN602">
        <v>1</v>
      </c>
      <c r="BO602">
        <v>1</v>
      </c>
      <c r="BP602">
        <v>0</v>
      </c>
      <c r="BT602">
        <v>0</v>
      </c>
      <c r="BU602">
        <v>0</v>
      </c>
      <c r="CE602" t="str">
        <f>"15:40:09.718"</f>
        <v>15:40:09.718</v>
      </c>
      <c r="CF602">
        <v>717645408</v>
      </c>
      <c r="CS602">
        <v>0</v>
      </c>
      <c r="CT602">
        <v>2</v>
      </c>
      <c r="CU602">
        <v>0</v>
      </c>
      <c r="CV602">
        <v>2</v>
      </c>
      <c r="CW602">
        <v>0</v>
      </c>
      <c r="CX602">
        <v>4</v>
      </c>
      <c r="CY602">
        <v>7</v>
      </c>
      <c r="CZ602" t="s">
        <v>133</v>
      </c>
      <c r="DA602">
        <v>125</v>
      </c>
      <c r="DB602">
        <v>1</v>
      </c>
      <c r="DC602" t="s">
        <v>134</v>
      </c>
      <c r="DD602" t="s">
        <v>135</v>
      </c>
      <c r="DG602">
        <v>2599527</v>
      </c>
      <c r="DI602">
        <v>0</v>
      </c>
      <c r="DJ602">
        <v>0</v>
      </c>
      <c r="DK602">
        <v>0</v>
      </c>
      <c r="DL602">
        <v>0</v>
      </c>
      <c r="DM602">
        <v>0</v>
      </c>
      <c r="DN602">
        <v>0</v>
      </c>
      <c r="DO602">
        <v>0</v>
      </c>
      <c r="DP602">
        <v>0</v>
      </c>
      <c r="DQ602">
        <v>0</v>
      </c>
      <c r="DR602">
        <v>0</v>
      </c>
      <c r="DS602">
        <v>0</v>
      </c>
    </row>
    <row r="603" spans="1:123" x14ac:dyDescent="0.25">
      <c r="A603" t="str">
        <f>"04/17/2026 15:40:09.966"</f>
        <v>04/17/2026 15:40:09.966</v>
      </c>
      <c r="C603" t="str">
        <f t="shared" si="50"/>
        <v>FFDFD3C0</v>
      </c>
      <c r="D603" t="s">
        <v>136</v>
      </c>
      <c r="E603" t="str">
        <f>"0F"</f>
        <v>0F</v>
      </c>
      <c r="F603">
        <v>1015</v>
      </c>
      <c r="G603" t="s">
        <v>138</v>
      </c>
      <c r="J603" t="s">
        <v>137</v>
      </c>
      <c r="K603">
        <v>0</v>
      </c>
      <c r="L603">
        <v>3</v>
      </c>
      <c r="M603">
        <v>0</v>
      </c>
      <c r="N603">
        <v>2</v>
      </c>
      <c r="O603">
        <v>1</v>
      </c>
      <c r="P603">
        <v>0</v>
      </c>
      <c r="Q603">
        <v>0</v>
      </c>
      <c r="R603" t="s">
        <v>127</v>
      </c>
      <c r="S603" t="str">
        <f>"15:40:09.711"</f>
        <v>15:40:09.711</v>
      </c>
      <c r="T603" t="str">
        <f>"15:40:09.311"</f>
        <v>15:40:09.311</v>
      </c>
      <c r="U603" t="str">
        <f t="shared" si="52"/>
        <v>A55E09</v>
      </c>
      <c r="V603">
        <v>0</v>
      </c>
      <c r="W603">
        <v>0</v>
      </c>
      <c r="X603">
        <v>2</v>
      </c>
      <c r="Y603">
        <v>0</v>
      </c>
      <c r="AA603">
        <v>0</v>
      </c>
      <c r="AB603">
        <v>9</v>
      </c>
      <c r="AC603">
        <v>3</v>
      </c>
      <c r="AD603">
        <v>0</v>
      </c>
      <c r="AE603">
        <v>9</v>
      </c>
      <c r="AF603" t="s">
        <v>128</v>
      </c>
      <c r="AG603">
        <v>0</v>
      </c>
      <c r="AH603">
        <v>0</v>
      </c>
      <c r="AI603">
        <v>1</v>
      </c>
      <c r="AJ603">
        <v>0</v>
      </c>
      <c r="AK603" t="s">
        <v>411</v>
      </c>
      <c r="AL603">
        <v>33.716890999999997</v>
      </c>
      <c r="AM603" t="s">
        <v>412</v>
      </c>
      <c r="AN603">
        <v>-101.20766399999999</v>
      </c>
      <c r="AO603">
        <v>100</v>
      </c>
      <c r="AP603">
        <v>3200</v>
      </c>
      <c r="AQ603" t="s">
        <v>131</v>
      </c>
      <c r="AR603">
        <v>33</v>
      </c>
      <c r="AS603">
        <v>84</v>
      </c>
      <c r="AT603">
        <v>-64</v>
      </c>
      <c r="BB603" t="str">
        <f t="shared" si="53"/>
        <v>1200</v>
      </c>
      <c r="BC603">
        <v>1</v>
      </c>
      <c r="BD603" t="str">
        <f t="shared" si="54"/>
        <v xml:space="preserve">N445JS  </v>
      </c>
      <c r="BE603">
        <v>7</v>
      </c>
      <c r="BG603">
        <v>0</v>
      </c>
      <c r="BH603">
        <v>0</v>
      </c>
      <c r="BI603">
        <v>0</v>
      </c>
      <c r="BJ603">
        <v>2925</v>
      </c>
      <c r="BK603">
        <v>-275</v>
      </c>
      <c r="BL603" t="s">
        <v>132</v>
      </c>
      <c r="BM603">
        <v>1</v>
      </c>
      <c r="BN603">
        <v>1</v>
      </c>
      <c r="BO603">
        <v>1</v>
      </c>
      <c r="BP603">
        <v>0</v>
      </c>
      <c r="BT603">
        <v>0</v>
      </c>
      <c r="BU603">
        <v>0</v>
      </c>
      <c r="CE603" t="str">
        <f>"15:40:09.718"</f>
        <v>15:40:09.718</v>
      </c>
      <c r="CF603">
        <v>717645408</v>
      </c>
      <c r="CS603">
        <v>0</v>
      </c>
      <c r="CT603">
        <v>2</v>
      </c>
      <c r="CU603">
        <v>0</v>
      </c>
      <c r="CV603">
        <v>2</v>
      </c>
      <c r="CW603">
        <v>0</v>
      </c>
      <c r="CX603">
        <v>4</v>
      </c>
      <c r="CY603">
        <v>7</v>
      </c>
      <c r="CZ603" t="s">
        <v>133</v>
      </c>
      <c r="DA603">
        <v>125</v>
      </c>
      <c r="DB603">
        <v>1</v>
      </c>
      <c r="DC603" t="s">
        <v>134</v>
      </c>
      <c r="DD603" t="s">
        <v>135</v>
      </c>
      <c r="DG603">
        <v>2599527</v>
      </c>
      <c r="DI603">
        <v>0</v>
      </c>
      <c r="DJ603">
        <v>0</v>
      </c>
      <c r="DK603">
        <v>1</v>
      </c>
      <c r="DL603">
        <v>0</v>
      </c>
      <c r="DM603">
        <v>0</v>
      </c>
      <c r="DN603">
        <v>0</v>
      </c>
      <c r="DO603">
        <v>0</v>
      </c>
      <c r="DP603">
        <v>0</v>
      </c>
      <c r="DQ603">
        <v>0</v>
      </c>
      <c r="DR603">
        <v>0</v>
      </c>
      <c r="DS603">
        <v>0</v>
      </c>
    </row>
    <row r="604" spans="1:123" x14ac:dyDescent="0.25">
      <c r="A604" t="str">
        <f>"04/17/2026 15:40:09.966"</f>
        <v>04/17/2026 15:40:09.966</v>
      </c>
      <c r="C604" t="str">
        <f t="shared" si="50"/>
        <v>FFDFD3C0</v>
      </c>
      <c r="D604" t="s">
        <v>139</v>
      </c>
      <c r="E604" t="str">
        <f>"28"</f>
        <v>28</v>
      </c>
      <c r="H604">
        <v>140</v>
      </c>
      <c r="I604" t="s">
        <v>140</v>
      </c>
      <c r="J604" t="s">
        <v>141</v>
      </c>
      <c r="K604">
        <v>0</v>
      </c>
      <c r="L604">
        <v>3</v>
      </c>
      <c r="M604">
        <v>0</v>
      </c>
      <c r="N604">
        <v>2</v>
      </c>
      <c r="O604">
        <v>1</v>
      </c>
      <c r="P604">
        <v>0</v>
      </c>
      <c r="Q604">
        <v>0</v>
      </c>
      <c r="R604" t="s">
        <v>127</v>
      </c>
      <c r="S604" t="str">
        <f>"15:40:09.711"</f>
        <v>15:40:09.711</v>
      </c>
      <c r="T604" t="str">
        <f>"15:40:09.311"</f>
        <v>15:40:09.311</v>
      </c>
      <c r="U604" t="str">
        <f t="shared" si="52"/>
        <v>A55E09</v>
      </c>
      <c r="V604">
        <v>0</v>
      </c>
      <c r="W604">
        <v>0</v>
      </c>
      <c r="X604">
        <v>2</v>
      </c>
      <c r="Y604">
        <v>0</v>
      </c>
      <c r="AA604">
        <v>0</v>
      </c>
      <c r="AB604">
        <v>9</v>
      </c>
      <c r="AC604">
        <v>3</v>
      </c>
      <c r="AD604">
        <v>0</v>
      </c>
      <c r="AE604">
        <v>9</v>
      </c>
      <c r="AF604" t="s">
        <v>128</v>
      </c>
      <c r="AG604">
        <v>0</v>
      </c>
      <c r="AH604">
        <v>0</v>
      </c>
      <c r="AI604">
        <v>1</v>
      </c>
      <c r="AJ604">
        <v>0</v>
      </c>
      <c r="AK604" t="s">
        <v>411</v>
      </c>
      <c r="AL604">
        <v>33.716890999999997</v>
      </c>
      <c r="AM604" t="s">
        <v>412</v>
      </c>
      <c r="AN604">
        <v>-101.20766399999999</v>
      </c>
      <c r="AO604">
        <v>100</v>
      </c>
      <c r="AP604">
        <v>3200</v>
      </c>
      <c r="AQ604" t="s">
        <v>131</v>
      </c>
      <c r="AR604">
        <v>33</v>
      </c>
      <c r="AS604">
        <v>84</v>
      </c>
      <c r="AT604">
        <v>-64</v>
      </c>
      <c r="BB604" t="str">
        <f t="shared" si="53"/>
        <v>1200</v>
      </c>
      <c r="BC604">
        <v>1</v>
      </c>
      <c r="BD604" t="str">
        <f t="shared" si="54"/>
        <v xml:space="preserve">N445JS  </v>
      </c>
      <c r="BE604">
        <v>7</v>
      </c>
      <c r="BG604">
        <v>0</v>
      </c>
      <c r="BH604">
        <v>0</v>
      </c>
      <c r="BI604">
        <v>0</v>
      </c>
      <c r="BJ604">
        <v>2925</v>
      </c>
      <c r="BK604">
        <v>-275</v>
      </c>
      <c r="BL604" t="s">
        <v>132</v>
      </c>
      <c r="BM604">
        <v>1</v>
      </c>
      <c r="BN604">
        <v>1</v>
      </c>
      <c r="BO604">
        <v>1</v>
      </c>
      <c r="BP604">
        <v>0</v>
      </c>
      <c r="BT604">
        <v>0</v>
      </c>
      <c r="BU604">
        <v>0</v>
      </c>
      <c r="CE604" t="str">
        <f>"15:40:09.718"</f>
        <v>15:40:09.718</v>
      </c>
      <c r="CF604">
        <v>717645408</v>
      </c>
      <c r="CS604">
        <v>0</v>
      </c>
      <c r="CT604">
        <v>2</v>
      </c>
      <c r="CU604">
        <v>0</v>
      </c>
      <c r="CV604">
        <v>2</v>
      </c>
      <c r="CW604">
        <v>0</v>
      </c>
      <c r="CX604">
        <v>4</v>
      </c>
      <c r="CY604">
        <v>7</v>
      </c>
      <c r="CZ604" t="s">
        <v>133</v>
      </c>
      <c r="DA604">
        <v>125</v>
      </c>
      <c r="DB604">
        <v>1</v>
      </c>
      <c r="DC604" t="s">
        <v>134</v>
      </c>
      <c r="DD604" t="s">
        <v>135</v>
      </c>
      <c r="DG604">
        <v>2599527</v>
      </c>
      <c r="DI604">
        <v>0</v>
      </c>
      <c r="DJ604">
        <v>0</v>
      </c>
      <c r="DK604">
        <v>1</v>
      </c>
      <c r="DL604">
        <v>0</v>
      </c>
      <c r="DM604">
        <v>0</v>
      </c>
      <c r="DN604">
        <v>0</v>
      </c>
      <c r="DO604">
        <v>0</v>
      </c>
      <c r="DP604">
        <v>0</v>
      </c>
      <c r="DQ604">
        <v>0</v>
      </c>
      <c r="DR604">
        <v>0</v>
      </c>
      <c r="DS604">
        <v>0</v>
      </c>
    </row>
    <row r="605" spans="1:123" x14ac:dyDescent="0.25">
      <c r="A605" t="str">
        <f>"04/17/2026 15:40:09.983"</f>
        <v>04/17/2026 15:40:09.983</v>
      </c>
      <c r="C605" t="str">
        <f t="shared" si="50"/>
        <v>FFDFD3C0</v>
      </c>
      <c r="D605" t="s">
        <v>124</v>
      </c>
      <c r="E605" t="str">
        <f>"03"</f>
        <v>03</v>
      </c>
      <c r="H605">
        <v>160</v>
      </c>
      <c r="I605" t="s">
        <v>125</v>
      </c>
      <c r="J605" t="s">
        <v>126</v>
      </c>
      <c r="K605">
        <v>0</v>
      </c>
      <c r="L605">
        <v>3</v>
      </c>
      <c r="M605">
        <v>0</v>
      </c>
      <c r="N605">
        <v>2</v>
      </c>
      <c r="O605">
        <v>1</v>
      </c>
      <c r="P605">
        <v>0</v>
      </c>
      <c r="Q605">
        <v>0</v>
      </c>
      <c r="R605" t="s">
        <v>127</v>
      </c>
      <c r="S605" t="str">
        <f>"15:40:09.711"</f>
        <v>15:40:09.711</v>
      </c>
      <c r="T605" t="str">
        <f>"15:40:09.311"</f>
        <v>15:40:09.311</v>
      </c>
      <c r="U605" t="str">
        <f t="shared" si="52"/>
        <v>A55E09</v>
      </c>
      <c r="V605">
        <v>0</v>
      </c>
      <c r="W605">
        <v>0</v>
      </c>
      <c r="X605">
        <v>2</v>
      </c>
      <c r="Y605">
        <v>0</v>
      </c>
      <c r="AA605">
        <v>0</v>
      </c>
      <c r="AB605">
        <v>9</v>
      </c>
      <c r="AC605">
        <v>3</v>
      </c>
      <c r="AD605">
        <v>0</v>
      </c>
      <c r="AE605">
        <v>9</v>
      </c>
      <c r="AF605" t="s">
        <v>128</v>
      </c>
      <c r="AG605">
        <v>0</v>
      </c>
      <c r="AH605">
        <v>0</v>
      </c>
      <c r="AI605">
        <v>1</v>
      </c>
      <c r="AJ605">
        <v>0</v>
      </c>
      <c r="AK605" t="s">
        <v>411</v>
      </c>
      <c r="AL605">
        <v>33.716890999999997</v>
      </c>
      <c r="AM605" t="s">
        <v>412</v>
      </c>
      <c r="AN605">
        <v>-101.20766399999999</v>
      </c>
      <c r="AO605">
        <v>100</v>
      </c>
      <c r="AP605">
        <v>3200</v>
      </c>
      <c r="AQ605" t="s">
        <v>131</v>
      </c>
      <c r="AR605">
        <v>33</v>
      </c>
      <c r="AS605">
        <v>84</v>
      </c>
      <c r="AT605">
        <v>-64</v>
      </c>
      <c r="BB605" t="str">
        <f t="shared" si="53"/>
        <v>1200</v>
      </c>
      <c r="BC605">
        <v>1</v>
      </c>
      <c r="BD605" t="str">
        <f t="shared" si="54"/>
        <v xml:space="preserve">N445JS  </v>
      </c>
      <c r="BE605">
        <v>7</v>
      </c>
      <c r="BG605">
        <v>0</v>
      </c>
      <c r="BH605">
        <v>0</v>
      </c>
      <c r="BI605">
        <v>0</v>
      </c>
      <c r="BJ605">
        <v>2925</v>
      </c>
      <c r="BK605">
        <v>-275</v>
      </c>
      <c r="BL605" t="s">
        <v>132</v>
      </c>
      <c r="BM605">
        <v>1</v>
      </c>
      <c r="BN605">
        <v>1</v>
      </c>
      <c r="BO605">
        <v>1</v>
      </c>
      <c r="BP605">
        <v>0</v>
      </c>
      <c r="BT605">
        <v>0</v>
      </c>
      <c r="BU605">
        <v>0</v>
      </c>
      <c r="CE605" t="str">
        <f>"15:40:09.718"</f>
        <v>15:40:09.718</v>
      </c>
      <c r="CF605">
        <v>717645408</v>
      </c>
      <c r="CS605">
        <v>0</v>
      </c>
      <c r="CT605">
        <v>2</v>
      </c>
      <c r="CU605">
        <v>0</v>
      </c>
      <c r="CV605">
        <v>2</v>
      </c>
      <c r="CW605">
        <v>0</v>
      </c>
      <c r="CX605">
        <v>4</v>
      </c>
      <c r="CY605">
        <v>7</v>
      </c>
      <c r="CZ605" t="s">
        <v>133</v>
      </c>
      <c r="DA605">
        <v>125</v>
      </c>
      <c r="DB605">
        <v>1</v>
      </c>
      <c r="DC605" t="s">
        <v>134</v>
      </c>
      <c r="DD605" t="s">
        <v>135</v>
      </c>
      <c r="DG605">
        <v>2599527</v>
      </c>
      <c r="DI605">
        <v>0</v>
      </c>
      <c r="DJ605">
        <v>0</v>
      </c>
      <c r="DK605">
        <v>1</v>
      </c>
      <c r="DL605">
        <v>0</v>
      </c>
      <c r="DM605">
        <v>0</v>
      </c>
      <c r="DN605">
        <v>0</v>
      </c>
      <c r="DO605">
        <v>0</v>
      </c>
      <c r="DP605">
        <v>0</v>
      </c>
      <c r="DQ605">
        <v>0</v>
      </c>
      <c r="DR605">
        <v>0</v>
      </c>
      <c r="DS605">
        <v>0</v>
      </c>
    </row>
    <row r="606" spans="1:123" x14ac:dyDescent="0.25">
      <c r="A606" t="str">
        <f>"04/17/2026 15:40:10.934"</f>
        <v>04/17/2026 15:40:10.934</v>
      </c>
      <c r="C606" t="str">
        <f t="shared" si="50"/>
        <v>FFDFD3C0</v>
      </c>
      <c r="D606" t="s">
        <v>124</v>
      </c>
      <c r="E606" t="str">
        <f>"03"</f>
        <v>03</v>
      </c>
      <c r="H606">
        <v>160</v>
      </c>
      <c r="I606" t="s">
        <v>125</v>
      </c>
      <c r="J606" t="s">
        <v>126</v>
      </c>
      <c r="K606">
        <v>0</v>
      </c>
      <c r="L606">
        <v>3</v>
      </c>
      <c r="M606">
        <v>0</v>
      </c>
      <c r="N606">
        <v>2</v>
      </c>
      <c r="O606">
        <v>1</v>
      </c>
      <c r="P606">
        <v>0</v>
      </c>
      <c r="Q606">
        <v>0</v>
      </c>
      <c r="R606" t="s">
        <v>127</v>
      </c>
      <c r="S606" t="str">
        <f>"15:40:10.656"</f>
        <v>15:40:10.656</v>
      </c>
      <c r="T606" t="str">
        <f>"15:40:10.256"</f>
        <v>15:40:10.256</v>
      </c>
      <c r="U606" t="str">
        <f t="shared" si="52"/>
        <v>A55E09</v>
      </c>
      <c r="V606">
        <v>0</v>
      </c>
      <c r="W606">
        <v>0</v>
      </c>
      <c r="X606">
        <v>2</v>
      </c>
      <c r="Y606">
        <v>0</v>
      </c>
      <c r="AA606">
        <v>0</v>
      </c>
      <c r="AB606">
        <v>9</v>
      </c>
      <c r="AC606">
        <v>3</v>
      </c>
      <c r="AD606">
        <v>0</v>
      </c>
      <c r="AE606">
        <v>9</v>
      </c>
      <c r="AF606" t="s">
        <v>128</v>
      </c>
      <c r="AG606">
        <v>0</v>
      </c>
      <c r="AH606">
        <v>0</v>
      </c>
      <c r="AI606">
        <v>1</v>
      </c>
      <c r="AJ606">
        <v>0</v>
      </c>
      <c r="AK606" t="s">
        <v>413</v>
      </c>
      <c r="AL606">
        <v>33.717320000000001</v>
      </c>
      <c r="AM606" t="s">
        <v>295</v>
      </c>
      <c r="AN606">
        <v>-101.207514</v>
      </c>
      <c r="AO606">
        <v>100</v>
      </c>
      <c r="AP606">
        <v>3100</v>
      </c>
      <c r="AQ606" t="s">
        <v>131</v>
      </c>
      <c r="AR606">
        <v>35</v>
      </c>
      <c r="AS606">
        <v>84</v>
      </c>
      <c r="AT606">
        <v>128</v>
      </c>
      <c r="BB606" t="str">
        <f t="shared" si="53"/>
        <v>1200</v>
      </c>
      <c r="BC606">
        <v>1</v>
      </c>
      <c r="BD606" t="str">
        <f t="shared" si="54"/>
        <v xml:space="preserve">N445JS  </v>
      </c>
      <c r="BE606">
        <v>7</v>
      </c>
      <c r="BG606">
        <v>0</v>
      </c>
      <c r="BH606">
        <v>0</v>
      </c>
      <c r="BI606">
        <v>0</v>
      </c>
      <c r="BJ606">
        <v>2925</v>
      </c>
      <c r="BK606">
        <v>-175</v>
      </c>
      <c r="BL606" t="s">
        <v>132</v>
      </c>
      <c r="BM606">
        <v>1</v>
      </c>
      <c r="BN606">
        <v>1</v>
      </c>
      <c r="BO606">
        <v>1</v>
      </c>
      <c r="BP606">
        <v>0</v>
      </c>
      <c r="BT606">
        <v>0</v>
      </c>
      <c r="BU606">
        <v>0</v>
      </c>
      <c r="CE606" t="str">
        <f>"15:40:10.663"</f>
        <v>15:40:10.663</v>
      </c>
      <c r="CF606">
        <v>662552863</v>
      </c>
      <c r="CS606">
        <v>0</v>
      </c>
      <c r="CT606">
        <v>2</v>
      </c>
      <c r="CU606">
        <v>0</v>
      </c>
      <c r="CV606">
        <v>2</v>
      </c>
      <c r="CW606">
        <v>0</v>
      </c>
      <c r="CX606">
        <v>4</v>
      </c>
      <c r="CY606">
        <v>7</v>
      </c>
      <c r="CZ606" t="s">
        <v>133</v>
      </c>
      <c r="DA606">
        <v>125</v>
      </c>
      <c r="DB606">
        <v>1</v>
      </c>
      <c r="DC606" t="s">
        <v>134</v>
      </c>
      <c r="DD606" t="s">
        <v>135</v>
      </c>
      <c r="DG606">
        <v>2600513</v>
      </c>
      <c r="DI606">
        <v>0</v>
      </c>
      <c r="DJ606">
        <v>0</v>
      </c>
      <c r="DK606">
        <v>0</v>
      </c>
      <c r="DL606">
        <v>0</v>
      </c>
      <c r="DM606">
        <v>0</v>
      </c>
      <c r="DN606">
        <v>0</v>
      </c>
      <c r="DO606">
        <v>0</v>
      </c>
      <c r="DP606">
        <v>0</v>
      </c>
      <c r="DQ606">
        <v>0</v>
      </c>
      <c r="DR606">
        <v>0</v>
      </c>
      <c r="DS606">
        <v>0</v>
      </c>
    </row>
    <row r="607" spans="1:123" x14ac:dyDescent="0.25">
      <c r="A607" t="str">
        <f>"04/17/2026 15:40:10.952"</f>
        <v>04/17/2026 15:40:10.952</v>
      </c>
      <c r="C607" t="str">
        <f t="shared" si="50"/>
        <v>FFDFD3C0</v>
      </c>
      <c r="D607" t="s">
        <v>136</v>
      </c>
      <c r="E607" t="str">
        <f>"0E"</f>
        <v>0E</v>
      </c>
      <c r="F607">
        <v>1014</v>
      </c>
      <c r="G607" t="s">
        <v>125</v>
      </c>
      <c r="J607" t="s">
        <v>137</v>
      </c>
      <c r="K607">
        <v>0</v>
      </c>
      <c r="L607">
        <v>3</v>
      </c>
      <c r="M607">
        <v>0</v>
      </c>
      <c r="N607">
        <v>2</v>
      </c>
      <c r="O607">
        <v>1</v>
      </c>
      <c r="P607">
        <v>0</v>
      </c>
      <c r="Q607">
        <v>0</v>
      </c>
      <c r="R607" t="s">
        <v>127</v>
      </c>
      <c r="S607" t="str">
        <f>"15:40:10.656"</f>
        <v>15:40:10.656</v>
      </c>
      <c r="T607" t="str">
        <f>"15:40:10.256"</f>
        <v>15:40:10.256</v>
      </c>
      <c r="U607" t="str">
        <f t="shared" si="52"/>
        <v>A55E09</v>
      </c>
      <c r="V607">
        <v>0</v>
      </c>
      <c r="W607">
        <v>0</v>
      </c>
      <c r="X607">
        <v>2</v>
      </c>
      <c r="Y607">
        <v>0</v>
      </c>
      <c r="AA607">
        <v>0</v>
      </c>
      <c r="AB607">
        <v>9</v>
      </c>
      <c r="AC607">
        <v>3</v>
      </c>
      <c r="AD607">
        <v>0</v>
      </c>
      <c r="AE607">
        <v>9</v>
      </c>
      <c r="AF607" t="s">
        <v>128</v>
      </c>
      <c r="AG607">
        <v>0</v>
      </c>
      <c r="AH607">
        <v>0</v>
      </c>
      <c r="AI607">
        <v>1</v>
      </c>
      <c r="AJ607">
        <v>0</v>
      </c>
      <c r="AK607" t="s">
        <v>413</v>
      </c>
      <c r="AL607">
        <v>33.717320000000001</v>
      </c>
      <c r="AM607" t="s">
        <v>295</v>
      </c>
      <c r="AN607">
        <v>-101.207514</v>
      </c>
      <c r="AO607">
        <v>100</v>
      </c>
      <c r="AP607">
        <v>3100</v>
      </c>
      <c r="AQ607" t="s">
        <v>131</v>
      </c>
      <c r="AR607">
        <v>35</v>
      </c>
      <c r="AS607">
        <v>84</v>
      </c>
      <c r="AT607">
        <v>128</v>
      </c>
      <c r="BB607" t="str">
        <f t="shared" si="53"/>
        <v>1200</v>
      </c>
      <c r="BC607">
        <v>1</v>
      </c>
      <c r="BD607" t="str">
        <f t="shared" si="54"/>
        <v xml:space="preserve">N445JS  </v>
      </c>
      <c r="BE607">
        <v>7</v>
      </c>
      <c r="BG607">
        <v>0</v>
      </c>
      <c r="BH607">
        <v>0</v>
      </c>
      <c r="BI607">
        <v>0</v>
      </c>
      <c r="BJ607">
        <v>2925</v>
      </c>
      <c r="BK607">
        <v>-175</v>
      </c>
      <c r="BL607" t="s">
        <v>132</v>
      </c>
      <c r="BM607">
        <v>1</v>
      </c>
      <c r="BN607">
        <v>1</v>
      </c>
      <c r="BO607">
        <v>1</v>
      </c>
      <c r="BP607">
        <v>0</v>
      </c>
      <c r="BT607">
        <v>0</v>
      </c>
      <c r="BU607">
        <v>0</v>
      </c>
      <c r="CE607" t="str">
        <f>"15:40:10.663"</f>
        <v>15:40:10.663</v>
      </c>
      <c r="CF607">
        <v>662552863</v>
      </c>
      <c r="CS607">
        <v>0</v>
      </c>
      <c r="CT607">
        <v>2</v>
      </c>
      <c r="CU607">
        <v>0</v>
      </c>
      <c r="CV607">
        <v>2</v>
      </c>
      <c r="CW607">
        <v>0</v>
      </c>
      <c r="CX607">
        <v>4</v>
      </c>
      <c r="CY607">
        <v>7</v>
      </c>
      <c r="CZ607" t="s">
        <v>133</v>
      </c>
      <c r="DA607">
        <v>125</v>
      </c>
      <c r="DB607">
        <v>1</v>
      </c>
      <c r="DC607" t="s">
        <v>134</v>
      </c>
      <c r="DD607" t="s">
        <v>135</v>
      </c>
      <c r="DG607">
        <v>2600513</v>
      </c>
      <c r="DI607">
        <v>0</v>
      </c>
      <c r="DJ607">
        <v>0</v>
      </c>
      <c r="DK607">
        <v>1</v>
      </c>
      <c r="DL607">
        <v>0</v>
      </c>
      <c r="DM607">
        <v>0</v>
      </c>
      <c r="DN607">
        <v>0</v>
      </c>
      <c r="DO607">
        <v>0</v>
      </c>
      <c r="DP607">
        <v>0</v>
      </c>
      <c r="DQ607">
        <v>0</v>
      </c>
      <c r="DR607">
        <v>0</v>
      </c>
      <c r="DS607">
        <v>0</v>
      </c>
    </row>
    <row r="608" spans="1:123" x14ac:dyDescent="0.25">
      <c r="A608" t="str">
        <f>"04/17/2026 15:40:10.968"</f>
        <v>04/17/2026 15:40:10.968</v>
      </c>
      <c r="C608" t="str">
        <f t="shared" si="50"/>
        <v>FFDFD3C0</v>
      </c>
      <c r="D608" t="s">
        <v>136</v>
      </c>
      <c r="E608" t="str">
        <f>"0F"</f>
        <v>0F</v>
      </c>
      <c r="F608">
        <v>1015</v>
      </c>
      <c r="G608" t="s">
        <v>138</v>
      </c>
      <c r="J608" t="s">
        <v>137</v>
      </c>
      <c r="K608">
        <v>0</v>
      </c>
      <c r="L608">
        <v>3</v>
      </c>
      <c r="M608">
        <v>0</v>
      </c>
      <c r="N608">
        <v>2</v>
      </c>
      <c r="O608">
        <v>1</v>
      </c>
      <c r="P608">
        <v>0</v>
      </c>
      <c r="Q608">
        <v>0</v>
      </c>
      <c r="R608" t="s">
        <v>127</v>
      </c>
      <c r="S608" t="str">
        <f>"15:40:10.656"</f>
        <v>15:40:10.656</v>
      </c>
      <c r="T608" t="str">
        <f>"15:40:10.256"</f>
        <v>15:40:10.256</v>
      </c>
      <c r="U608" t="str">
        <f t="shared" si="52"/>
        <v>A55E09</v>
      </c>
      <c r="V608">
        <v>0</v>
      </c>
      <c r="W608">
        <v>0</v>
      </c>
      <c r="X608">
        <v>2</v>
      </c>
      <c r="Y608">
        <v>0</v>
      </c>
      <c r="AA608">
        <v>0</v>
      </c>
      <c r="AB608">
        <v>9</v>
      </c>
      <c r="AC608">
        <v>3</v>
      </c>
      <c r="AD608">
        <v>0</v>
      </c>
      <c r="AE608">
        <v>9</v>
      </c>
      <c r="AF608" t="s">
        <v>128</v>
      </c>
      <c r="AG608">
        <v>0</v>
      </c>
      <c r="AH608">
        <v>0</v>
      </c>
      <c r="AI608">
        <v>1</v>
      </c>
      <c r="AJ608">
        <v>0</v>
      </c>
      <c r="AK608" t="s">
        <v>413</v>
      </c>
      <c r="AL608">
        <v>33.717320000000001</v>
      </c>
      <c r="AM608" t="s">
        <v>295</v>
      </c>
      <c r="AN608">
        <v>-101.207514</v>
      </c>
      <c r="AO608">
        <v>100</v>
      </c>
      <c r="AP608">
        <v>3100</v>
      </c>
      <c r="AQ608" t="s">
        <v>131</v>
      </c>
      <c r="AR608">
        <v>35</v>
      </c>
      <c r="AS608">
        <v>84</v>
      </c>
      <c r="AT608">
        <v>128</v>
      </c>
      <c r="BB608" t="str">
        <f t="shared" si="53"/>
        <v>1200</v>
      </c>
      <c r="BC608">
        <v>1</v>
      </c>
      <c r="BD608" t="str">
        <f t="shared" si="54"/>
        <v xml:space="preserve">N445JS  </v>
      </c>
      <c r="BE608">
        <v>7</v>
      </c>
      <c r="BG608">
        <v>0</v>
      </c>
      <c r="BH608">
        <v>0</v>
      </c>
      <c r="BI608">
        <v>0</v>
      </c>
      <c r="BJ608">
        <v>2925</v>
      </c>
      <c r="BK608">
        <v>-175</v>
      </c>
      <c r="BL608" t="s">
        <v>132</v>
      </c>
      <c r="BM608">
        <v>1</v>
      </c>
      <c r="BN608">
        <v>1</v>
      </c>
      <c r="BO608">
        <v>1</v>
      </c>
      <c r="BP608">
        <v>0</v>
      </c>
      <c r="BT608">
        <v>0</v>
      </c>
      <c r="BU608">
        <v>0</v>
      </c>
      <c r="CE608" t="str">
        <f>"15:40:10.663"</f>
        <v>15:40:10.663</v>
      </c>
      <c r="CF608">
        <v>662552863</v>
      </c>
      <c r="CS608">
        <v>0</v>
      </c>
      <c r="CT608">
        <v>2</v>
      </c>
      <c r="CU608">
        <v>0</v>
      </c>
      <c r="CV608">
        <v>2</v>
      </c>
      <c r="CW608">
        <v>0</v>
      </c>
      <c r="CX608">
        <v>4</v>
      </c>
      <c r="CY608">
        <v>7</v>
      </c>
      <c r="CZ608" t="s">
        <v>133</v>
      </c>
      <c r="DA608">
        <v>125</v>
      </c>
      <c r="DB608">
        <v>1</v>
      </c>
      <c r="DC608" t="s">
        <v>134</v>
      </c>
      <c r="DD608" t="s">
        <v>135</v>
      </c>
      <c r="DG608">
        <v>2600513</v>
      </c>
      <c r="DI608">
        <v>0</v>
      </c>
      <c r="DJ608">
        <v>0</v>
      </c>
      <c r="DK608">
        <v>1</v>
      </c>
      <c r="DL608">
        <v>0</v>
      </c>
      <c r="DM608">
        <v>0</v>
      </c>
      <c r="DN608">
        <v>0</v>
      </c>
      <c r="DO608">
        <v>0</v>
      </c>
      <c r="DP608">
        <v>0</v>
      </c>
      <c r="DQ608">
        <v>0</v>
      </c>
      <c r="DR608">
        <v>0</v>
      </c>
      <c r="DS608">
        <v>0</v>
      </c>
    </row>
    <row r="609" spans="1:123" x14ac:dyDescent="0.25">
      <c r="A609" t="str">
        <f>"04/17/2026 15:40:10.968"</f>
        <v>04/17/2026 15:40:10.968</v>
      </c>
      <c r="C609" t="str">
        <f t="shared" si="50"/>
        <v>FFDFD3C0</v>
      </c>
      <c r="D609" t="s">
        <v>139</v>
      </c>
      <c r="E609" t="str">
        <f>"28"</f>
        <v>28</v>
      </c>
      <c r="H609">
        <v>140</v>
      </c>
      <c r="I609" t="s">
        <v>140</v>
      </c>
      <c r="J609" t="s">
        <v>141</v>
      </c>
      <c r="K609">
        <v>0</v>
      </c>
      <c r="L609">
        <v>3</v>
      </c>
      <c r="M609">
        <v>0</v>
      </c>
      <c r="N609">
        <v>2</v>
      </c>
      <c r="O609">
        <v>1</v>
      </c>
      <c r="P609">
        <v>0</v>
      </c>
      <c r="Q609">
        <v>0</v>
      </c>
      <c r="R609" t="s">
        <v>127</v>
      </c>
      <c r="S609" t="str">
        <f>"15:40:10.656"</f>
        <v>15:40:10.656</v>
      </c>
      <c r="T609" t="str">
        <f>"15:40:10.256"</f>
        <v>15:40:10.256</v>
      </c>
      <c r="U609" t="str">
        <f t="shared" si="52"/>
        <v>A55E09</v>
      </c>
      <c r="V609">
        <v>0</v>
      </c>
      <c r="W609">
        <v>0</v>
      </c>
      <c r="X609">
        <v>2</v>
      </c>
      <c r="Y609">
        <v>0</v>
      </c>
      <c r="AA609">
        <v>0</v>
      </c>
      <c r="AB609">
        <v>9</v>
      </c>
      <c r="AC609">
        <v>3</v>
      </c>
      <c r="AD609">
        <v>0</v>
      </c>
      <c r="AE609">
        <v>9</v>
      </c>
      <c r="AF609" t="s">
        <v>128</v>
      </c>
      <c r="AG609">
        <v>0</v>
      </c>
      <c r="AH609">
        <v>0</v>
      </c>
      <c r="AI609">
        <v>1</v>
      </c>
      <c r="AJ609">
        <v>0</v>
      </c>
      <c r="AK609" t="s">
        <v>413</v>
      </c>
      <c r="AL609">
        <v>33.717320000000001</v>
      </c>
      <c r="AM609" t="s">
        <v>295</v>
      </c>
      <c r="AN609">
        <v>-101.207514</v>
      </c>
      <c r="AO609">
        <v>100</v>
      </c>
      <c r="AP609">
        <v>3100</v>
      </c>
      <c r="AQ609" t="s">
        <v>131</v>
      </c>
      <c r="AR609">
        <v>35</v>
      </c>
      <c r="AS609">
        <v>84</v>
      </c>
      <c r="AT609">
        <v>128</v>
      </c>
      <c r="BB609" t="str">
        <f t="shared" si="53"/>
        <v>1200</v>
      </c>
      <c r="BC609">
        <v>1</v>
      </c>
      <c r="BD609" t="str">
        <f t="shared" si="54"/>
        <v xml:space="preserve">N445JS  </v>
      </c>
      <c r="BE609">
        <v>7</v>
      </c>
      <c r="BG609">
        <v>0</v>
      </c>
      <c r="BH609">
        <v>0</v>
      </c>
      <c r="BI609">
        <v>0</v>
      </c>
      <c r="BJ609">
        <v>2925</v>
      </c>
      <c r="BK609">
        <v>-175</v>
      </c>
      <c r="BL609" t="s">
        <v>132</v>
      </c>
      <c r="BM609">
        <v>1</v>
      </c>
      <c r="BN609">
        <v>1</v>
      </c>
      <c r="BO609">
        <v>1</v>
      </c>
      <c r="BP609">
        <v>0</v>
      </c>
      <c r="BT609">
        <v>0</v>
      </c>
      <c r="BU609">
        <v>0</v>
      </c>
      <c r="CE609" t="str">
        <f>"15:40:10.663"</f>
        <v>15:40:10.663</v>
      </c>
      <c r="CF609">
        <v>662552863</v>
      </c>
      <c r="CS609">
        <v>0</v>
      </c>
      <c r="CT609">
        <v>2</v>
      </c>
      <c r="CU609">
        <v>0</v>
      </c>
      <c r="CV609">
        <v>2</v>
      </c>
      <c r="CW609">
        <v>0</v>
      </c>
      <c r="CX609">
        <v>4</v>
      </c>
      <c r="CY609">
        <v>7</v>
      </c>
      <c r="CZ609" t="s">
        <v>133</v>
      </c>
      <c r="DA609">
        <v>125</v>
      </c>
      <c r="DB609">
        <v>1</v>
      </c>
      <c r="DC609" t="s">
        <v>134</v>
      </c>
      <c r="DD609" t="s">
        <v>135</v>
      </c>
      <c r="DG609">
        <v>2600513</v>
      </c>
      <c r="DI609">
        <v>0</v>
      </c>
      <c r="DJ609">
        <v>0</v>
      </c>
      <c r="DK609">
        <v>1</v>
      </c>
      <c r="DL609">
        <v>0</v>
      </c>
      <c r="DM609">
        <v>0</v>
      </c>
      <c r="DN609">
        <v>0</v>
      </c>
      <c r="DO609">
        <v>0</v>
      </c>
      <c r="DP609">
        <v>0</v>
      </c>
      <c r="DQ609">
        <v>0</v>
      </c>
      <c r="DR609">
        <v>0</v>
      </c>
      <c r="DS609">
        <v>0</v>
      </c>
    </row>
    <row r="610" spans="1:123" x14ac:dyDescent="0.25">
      <c r="A610" t="str">
        <f>"04/17/2026 15:40:11.886"</f>
        <v>04/17/2026 15:40:11.886</v>
      </c>
      <c r="C610" t="str">
        <f t="shared" si="50"/>
        <v>FFDFD3C0</v>
      </c>
      <c r="D610" t="s">
        <v>124</v>
      </c>
      <c r="E610" t="str">
        <f>"03"</f>
        <v>03</v>
      </c>
      <c r="H610">
        <v>160</v>
      </c>
      <c r="I610" t="s">
        <v>125</v>
      </c>
      <c r="J610" t="s">
        <v>126</v>
      </c>
      <c r="K610">
        <v>0</v>
      </c>
      <c r="L610">
        <v>3</v>
      </c>
      <c r="M610">
        <v>0</v>
      </c>
      <c r="N610">
        <v>2</v>
      </c>
      <c r="O610">
        <v>1</v>
      </c>
      <c r="P610">
        <v>0</v>
      </c>
      <c r="Q610">
        <v>0</v>
      </c>
      <c r="R610" t="s">
        <v>127</v>
      </c>
      <c r="S610" t="str">
        <f>"15:40:11.633"</f>
        <v>15:40:11.633</v>
      </c>
      <c r="T610" t="str">
        <f>"15:40:11.333"</f>
        <v>15:40:11.333</v>
      </c>
      <c r="U610" t="str">
        <f t="shared" si="52"/>
        <v>A55E09</v>
      </c>
      <c r="V610">
        <v>0</v>
      </c>
      <c r="W610">
        <v>0</v>
      </c>
      <c r="X610">
        <v>2</v>
      </c>
      <c r="Y610">
        <v>0</v>
      </c>
      <c r="AA610">
        <v>0</v>
      </c>
      <c r="AB610">
        <v>9</v>
      </c>
      <c r="AC610">
        <v>3</v>
      </c>
      <c r="AD610">
        <v>0</v>
      </c>
      <c r="AE610">
        <v>9</v>
      </c>
      <c r="AF610" t="s">
        <v>128</v>
      </c>
      <c r="AG610">
        <v>0</v>
      </c>
      <c r="AH610">
        <v>0</v>
      </c>
      <c r="AI610">
        <v>1</v>
      </c>
      <c r="AJ610">
        <v>0</v>
      </c>
      <c r="AK610" t="s">
        <v>414</v>
      </c>
      <c r="AL610">
        <v>33.717685000000003</v>
      </c>
      <c r="AM610" t="s">
        <v>415</v>
      </c>
      <c r="AN610">
        <v>-101.207256</v>
      </c>
      <c r="AO610">
        <v>100</v>
      </c>
      <c r="AP610">
        <v>3200</v>
      </c>
      <c r="AQ610" t="s">
        <v>131</v>
      </c>
      <c r="AR610">
        <v>35</v>
      </c>
      <c r="AS610">
        <v>84</v>
      </c>
      <c r="AT610">
        <v>-192</v>
      </c>
      <c r="BB610" t="str">
        <f t="shared" si="53"/>
        <v>1200</v>
      </c>
      <c r="BC610">
        <v>1</v>
      </c>
      <c r="BD610" t="str">
        <f t="shared" si="54"/>
        <v xml:space="preserve">N445JS  </v>
      </c>
      <c r="BE610">
        <v>7</v>
      </c>
      <c r="BG610">
        <v>0</v>
      </c>
      <c r="BH610">
        <v>0</v>
      </c>
      <c r="BI610">
        <v>0</v>
      </c>
      <c r="BJ610">
        <v>2825</v>
      </c>
      <c r="BK610">
        <v>-375</v>
      </c>
      <c r="BL610" t="s">
        <v>132</v>
      </c>
      <c r="BM610">
        <v>1</v>
      </c>
      <c r="BN610">
        <v>1</v>
      </c>
      <c r="BO610">
        <v>1</v>
      </c>
      <c r="BP610">
        <v>0</v>
      </c>
      <c r="BT610">
        <v>0</v>
      </c>
      <c r="BU610">
        <v>0</v>
      </c>
      <c r="CE610" t="str">
        <f>"15:40:11.637"</f>
        <v>15:40:11.637</v>
      </c>
      <c r="CF610">
        <v>637457330</v>
      </c>
      <c r="CS610">
        <v>0</v>
      </c>
      <c r="CT610">
        <v>2</v>
      </c>
      <c r="CU610">
        <v>0</v>
      </c>
      <c r="CV610">
        <v>2</v>
      </c>
      <c r="CW610">
        <v>0</v>
      </c>
      <c r="CX610">
        <v>3</v>
      </c>
      <c r="CY610">
        <v>7</v>
      </c>
      <c r="CZ610" t="s">
        <v>133</v>
      </c>
      <c r="DA610">
        <v>125</v>
      </c>
      <c r="DB610">
        <v>0</v>
      </c>
      <c r="DC610" t="s">
        <v>134</v>
      </c>
      <c r="DD610" t="s">
        <v>135</v>
      </c>
      <c r="DG610">
        <v>3565648</v>
      </c>
      <c r="DI610">
        <v>0</v>
      </c>
      <c r="DJ610">
        <v>0</v>
      </c>
      <c r="DK610">
        <v>0</v>
      </c>
      <c r="DL610">
        <v>0</v>
      </c>
      <c r="DM610">
        <v>0</v>
      </c>
      <c r="DN610">
        <v>0</v>
      </c>
      <c r="DO610">
        <v>0</v>
      </c>
      <c r="DP610">
        <v>0</v>
      </c>
      <c r="DQ610">
        <v>0</v>
      </c>
      <c r="DR610">
        <v>0</v>
      </c>
      <c r="DS610">
        <v>0</v>
      </c>
    </row>
    <row r="611" spans="1:123" x14ac:dyDescent="0.25">
      <c r="A611" t="str">
        <f>"04/17/2026 15:40:11.903"</f>
        <v>04/17/2026 15:40:11.903</v>
      </c>
      <c r="C611" t="str">
        <f t="shared" si="50"/>
        <v>FFDFD3C0</v>
      </c>
      <c r="D611" t="s">
        <v>136</v>
      </c>
      <c r="E611" t="str">
        <f>"0E"</f>
        <v>0E</v>
      </c>
      <c r="F611">
        <v>1014</v>
      </c>
      <c r="G611" t="s">
        <v>125</v>
      </c>
      <c r="J611" t="s">
        <v>137</v>
      </c>
      <c r="K611">
        <v>0</v>
      </c>
      <c r="L611">
        <v>3</v>
      </c>
      <c r="M611">
        <v>0</v>
      </c>
      <c r="N611">
        <v>2</v>
      </c>
      <c r="O611">
        <v>1</v>
      </c>
      <c r="P611">
        <v>0</v>
      </c>
      <c r="Q611">
        <v>0</v>
      </c>
      <c r="R611" t="s">
        <v>127</v>
      </c>
      <c r="S611" t="str">
        <f>"15:40:11.633"</f>
        <v>15:40:11.633</v>
      </c>
      <c r="T611" t="str">
        <f>"15:40:11.333"</f>
        <v>15:40:11.333</v>
      </c>
      <c r="U611" t="str">
        <f t="shared" si="52"/>
        <v>A55E09</v>
      </c>
      <c r="V611">
        <v>0</v>
      </c>
      <c r="W611">
        <v>0</v>
      </c>
      <c r="X611">
        <v>2</v>
      </c>
      <c r="Y611">
        <v>0</v>
      </c>
      <c r="AA611">
        <v>0</v>
      </c>
      <c r="AB611">
        <v>9</v>
      </c>
      <c r="AC611">
        <v>3</v>
      </c>
      <c r="AD611">
        <v>0</v>
      </c>
      <c r="AE611">
        <v>9</v>
      </c>
      <c r="AF611" t="s">
        <v>128</v>
      </c>
      <c r="AG611">
        <v>0</v>
      </c>
      <c r="AH611">
        <v>0</v>
      </c>
      <c r="AI611">
        <v>1</v>
      </c>
      <c r="AJ611">
        <v>0</v>
      </c>
      <c r="AK611" t="s">
        <v>414</v>
      </c>
      <c r="AL611">
        <v>33.717685000000003</v>
      </c>
      <c r="AM611" t="s">
        <v>415</v>
      </c>
      <c r="AN611">
        <v>-101.207256</v>
      </c>
      <c r="AO611">
        <v>100</v>
      </c>
      <c r="AP611">
        <v>3200</v>
      </c>
      <c r="AQ611" t="s">
        <v>131</v>
      </c>
      <c r="AR611">
        <v>35</v>
      </c>
      <c r="AS611">
        <v>84</v>
      </c>
      <c r="AT611">
        <v>-192</v>
      </c>
      <c r="BB611" t="str">
        <f t="shared" si="53"/>
        <v>1200</v>
      </c>
      <c r="BC611">
        <v>1</v>
      </c>
      <c r="BD611" t="str">
        <f t="shared" si="54"/>
        <v xml:space="preserve">N445JS  </v>
      </c>
      <c r="BE611">
        <v>7</v>
      </c>
      <c r="BG611">
        <v>0</v>
      </c>
      <c r="BH611">
        <v>0</v>
      </c>
      <c r="BI611">
        <v>0</v>
      </c>
      <c r="BJ611">
        <v>2825</v>
      </c>
      <c r="BK611">
        <v>-375</v>
      </c>
      <c r="BL611" t="s">
        <v>132</v>
      </c>
      <c r="BM611">
        <v>1</v>
      </c>
      <c r="BN611">
        <v>1</v>
      </c>
      <c r="BO611">
        <v>1</v>
      </c>
      <c r="BP611">
        <v>0</v>
      </c>
      <c r="BT611">
        <v>0</v>
      </c>
      <c r="BU611">
        <v>0</v>
      </c>
      <c r="CE611" t="str">
        <f>"15:40:11.637"</f>
        <v>15:40:11.637</v>
      </c>
      <c r="CF611">
        <v>637457330</v>
      </c>
      <c r="CS611">
        <v>0</v>
      </c>
      <c r="CT611">
        <v>2</v>
      </c>
      <c r="CU611">
        <v>0</v>
      </c>
      <c r="CV611">
        <v>2</v>
      </c>
      <c r="CW611">
        <v>0</v>
      </c>
      <c r="CX611">
        <v>3</v>
      </c>
      <c r="CY611">
        <v>7</v>
      </c>
      <c r="CZ611" t="s">
        <v>133</v>
      </c>
      <c r="DA611">
        <v>125</v>
      </c>
      <c r="DB611">
        <v>0</v>
      </c>
      <c r="DC611" t="s">
        <v>134</v>
      </c>
      <c r="DD611" t="s">
        <v>135</v>
      </c>
      <c r="DG611">
        <v>3565648</v>
      </c>
      <c r="DI611">
        <v>0</v>
      </c>
      <c r="DJ611">
        <v>0</v>
      </c>
      <c r="DK611">
        <v>1</v>
      </c>
      <c r="DL611">
        <v>0</v>
      </c>
      <c r="DM611">
        <v>0</v>
      </c>
      <c r="DN611">
        <v>0</v>
      </c>
      <c r="DO611">
        <v>0</v>
      </c>
      <c r="DP611">
        <v>0</v>
      </c>
      <c r="DQ611">
        <v>0</v>
      </c>
      <c r="DR611">
        <v>0</v>
      </c>
      <c r="DS611">
        <v>0</v>
      </c>
    </row>
    <row r="612" spans="1:123" x14ac:dyDescent="0.25">
      <c r="A612" t="str">
        <f>"04/17/2026 15:40:11.920"</f>
        <v>04/17/2026 15:40:11.920</v>
      </c>
      <c r="C612" t="str">
        <f t="shared" si="50"/>
        <v>FFDFD3C0</v>
      </c>
      <c r="D612" t="s">
        <v>139</v>
      </c>
      <c r="E612" t="str">
        <f>"28"</f>
        <v>28</v>
      </c>
      <c r="H612">
        <v>140</v>
      </c>
      <c r="I612" t="s">
        <v>140</v>
      </c>
      <c r="J612" t="s">
        <v>141</v>
      </c>
      <c r="K612">
        <v>0</v>
      </c>
      <c r="L612">
        <v>3</v>
      </c>
      <c r="M612">
        <v>0</v>
      </c>
      <c r="N612">
        <v>2</v>
      </c>
      <c r="O612">
        <v>1</v>
      </c>
      <c r="P612">
        <v>0</v>
      </c>
      <c r="Q612">
        <v>0</v>
      </c>
      <c r="R612" t="s">
        <v>127</v>
      </c>
      <c r="S612" t="str">
        <f>"15:40:11.633"</f>
        <v>15:40:11.633</v>
      </c>
      <c r="T612" t="str">
        <f>"15:40:11.333"</f>
        <v>15:40:11.333</v>
      </c>
      <c r="U612" t="str">
        <f t="shared" si="52"/>
        <v>A55E09</v>
      </c>
      <c r="V612">
        <v>0</v>
      </c>
      <c r="W612">
        <v>0</v>
      </c>
      <c r="X612">
        <v>2</v>
      </c>
      <c r="Y612">
        <v>0</v>
      </c>
      <c r="AA612">
        <v>0</v>
      </c>
      <c r="AB612">
        <v>9</v>
      </c>
      <c r="AC612">
        <v>3</v>
      </c>
      <c r="AD612">
        <v>0</v>
      </c>
      <c r="AE612">
        <v>9</v>
      </c>
      <c r="AF612" t="s">
        <v>128</v>
      </c>
      <c r="AG612">
        <v>0</v>
      </c>
      <c r="AH612">
        <v>0</v>
      </c>
      <c r="AI612">
        <v>1</v>
      </c>
      <c r="AJ612">
        <v>0</v>
      </c>
      <c r="AK612" t="s">
        <v>414</v>
      </c>
      <c r="AL612">
        <v>33.717685000000003</v>
      </c>
      <c r="AM612" t="s">
        <v>415</v>
      </c>
      <c r="AN612">
        <v>-101.207256</v>
      </c>
      <c r="AO612">
        <v>100</v>
      </c>
      <c r="AP612">
        <v>3200</v>
      </c>
      <c r="AQ612" t="s">
        <v>131</v>
      </c>
      <c r="AR612">
        <v>35</v>
      </c>
      <c r="AS612">
        <v>84</v>
      </c>
      <c r="AT612">
        <v>-192</v>
      </c>
      <c r="BB612" t="str">
        <f t="shared" si="53"/>
        <v>1200</v>
      </c>
      <c r="BC612">
        <v>1</v>
      </c>
      <c r="BD612" t="str">
        <f t="shared" si="54"/>
        <v xml:space="preserve">N445JS  </v>
      </c>
      <c r="BE612">
        <v>7</v>
      </c>
      <c r="BG612">
        <v>0</v>
      </c>
      <c r="BH612">
        <v>0</v>
      </c>
      <c r="BI612">
        <v>0</v>
      </c>
      <c r="BJ612">
        <v>2825</v>
      </c>
      <c r="BK612">
        <v>-375</v>
      </c>
      <c r="BL612" t="s">
        <v>132</v>
      </c>
      <c r="BM612">
        <v>1</v>
      </c>
      <c r="BN612">
        <v>1</v>
      </c>
      <c r="BO612">
        <v>1</v>
      </c>
      <c r="BP612">
        <v>0</v>
      </c>
      <c r="BT612">
        <v>0</v>
      </c>
      <c r="BU612">
        <v>0</v>
      </c>
      <c r="CE612" t="str">
        <f>"15:40:11.637"</f>
        <v>15:40:11.637</v>
      </c>
      <c r="CF612">
        <v>637457330</v>
      </c>
      <c r="CS612">
        <v>0</v>
      </c>
      <c r="CT612">
        <v>2</v>
      </c>
      <c r="CU612">
        <v>0</v>
      </c>
      <c r="CV612">
        <v>2</v>
      </c>
      <c r="CW612">
        <v>0</v>
      </c>
      <c r="CX612">
        <v>3</v>
      </c>
      <c r="CY612">
        <v>7</v>
      </c>
      <c r="CZ612" t="s">
        <v>133</v>
      </c>
      <c r="DA612">
        <v>125</v>
      </c>
      <c r="DB612">
        <v>0</v>
      </c>
      <c r="DC612" t="s">
        <v>134</v>
      </c>
      <c r="DD612" t="s">
        <v>135</v>
      </c>
      <c r="DG612">
        <v>3565648</v>
      </c>
      <c r="DI612">
        <v>0</v>
      </c>
      <c r="DJ612">
        <v>0</v>
      </c>
      <c r="DK612">
        <v>1</v>
      </c>
      <c r="DL612">
        <v>0</v>
      </c>
      <c r="DM612">
        <v>0</v>
      </c>
      <c r="DN612">
        <v>0</v>
      </c>
      <c r="DO612">
        <v>0</v>
      </c>
      <c r="DP612">
        <v>0</v>
      </c>
      <c r="DQ612">
        <v>0</v>
      </c>
      <c r="DR612">
        <v>0</v>
      </c>
      <c r="DS612">
        <v>0</v>
      </c>
    </row>
    <row r="613" spans="1:123" x14ac:dyDescent="0.25">
      <c r="A613" t="str">
        <f>"04/17/2026 15:40:11.920"</f>
        <v>04/17/2026 15:40:11.920</v>
      </c>
      <c r="C613" t="str">
        <f t="shared" si="50"/>
        <v>FFDFD3C0</v>
      </c>
      <c r="D613" t="s">
        <v>136</v>
      </c>
      <c r="E613" t="str">
        <f>"0F"</f>
        <v>0F</v>
      </c>
      <c r="F613">
        <v>1015</v>
      </c>
      <c r="G613" t="s">
        <v>138</v>
      </c>
      <c r="J613" t="s">
        <v>137</v>
      </c>
      <c r="K613">
        <v>0</v>
      </c>
      <c r="L613">
        <v>3</v>
      </c>
      <c r="M613">
        <v>0</v>
      </c>
      <c r="N613">
        <v>2</v>
      </c>
      <c r="O613">
        <v>1</v>
      </c>
      <c r="P613">
        <v>0</v>
      </c>
      <c r="Q613">
        <v>0</v>
      </c>
      <c r="R613" t="s">
        <v>127</v>
      </c>
      <c r="S613" t="str">
        <f>"15:40:11.633"</f>
        <v>15:40:11.633</v>
      </c>
      <c r="T613" t="str">
        <f>"15:40:11.333"</f>
        <v>15:40:11.333</v>
      </c>
      <c r="U613" t="str">
        <f t="shared" si="52"/>
        <v>A55E09</v>
      </c>
      <c r="V613">
        <v>0</v>
      </c>
      <c r="W613">
        <v>0</v>
      </c>
      <c r="X613">
        <v>2</v>
      </c>
      <c r="Y613">
        <v>0</v>
      </c>
      <c r="AA613">
        <v>0</v>
      </c>
      <c r="AB613">
        <v>9</v>
      </c>
      <c r="AC613">
        <v>3</v>
      </c>
      <c r="AD613">
        <v>0</v>
      </c>
      <c r="AE613">
        <v>9</v>
      </c>
      <c r="AF613" t="s">
        <v>128</v>
      </c>
      <c r="AG613">
        <v>0</v>
      </c>
      <c r="AH613">
        <v>0</v>
      </c>
      <c r="AI613">
        <v>1</v>
      </c>
      <c r="AJ613">
        <v>0</v>
      </c>
      <c r="AK613" t="s">
        <v>414</v>
      </c>
      <c r="AL613">
        <v>33.717685000000003</v>
      </c>
      <c r="AM613" t="s">
        <v>415</v>
      </c>
      <c r="AN613">
        <v>-101.207256</v>
      </c>
      <c r="AO613">
        <v>100</v>
      </c>
      <c r="AP613">
        <v>3200</v>
      </c>
      <c r="AQ613" t="s">
        <v>131</v>
      </c>
      <c r="AR613">
        <v>35</v>
      </c>
      <c r="AS613">
        <v>84</v>
      </c>
      <c r="AT613">
        <v>-192</v>
      </c>
      <c r="BB613" t="str">
        <f t="shared" si="53"/>
        <v>1200</v>
      </c>
      <c r="BC613">
        <v>1</v>
      </c>
      <c r="BD613" t="str">
        <f t="shared" si="54"/>
        <v xml:space="preserve">N445JS  </v>
      </c>
      <c r="BE613">
        <v>7</v>
      </c>
      <c r="BG613">
        <v>0</v>
      </c>
      <c r="BH613">
        <v>0</v>
      </c>
      <c r="BI613">
        <v>0</v>
      </c>
      <c r="BJ613">
        <v>2825</v>
      </c>
      <c r="BK613">
        <v>-375</v>
      </c>
      <c r="BL613" t="s">
        <v>132</v>
      </c>
      <c r="BM613">
        <v>1</v>
      </c>
      <c r="BN613">
        <v>1</v>
      </c>
      <c r="BO613">
        <v>1</v>
      </c>
      <c r="BP613">
        <v>0</v>
      </c>
      <c r="BT613">
        <v>0</v>
      </c>
      <c r="BU613">
        <v>0</v>
      </c>
      <c r="CE613" t="str">
        <f>"15:40:11.637"</f>
        <v>15:40:11.637</v>
      </c>
      <c r="CF613">
        <v>637457330</v>
      </c>
      <c r="CS613">
        <v>0</v>
      </c>
      <c r="CT613">
        <v>2</v>
      </c>
      <c r="CU613">
        <v>0</v>
      </c>
      <c r="CV613">
        <v>2</v>
      </c>
      <c r="CW613">
        <v>0</v>
      </c>
      <c r="CX613">
        <v>3</v>
      </c>
      <c r="CY613">
        <v>7</v>
      </c>
      <c r="CZ613" t="s">
        <v>133</v>
      </c>
      <c r="DA613">
        <v>125</v>
      </c>
      <c r="DB613">
        <v>0</v>
      </c>
      <c r="DC613" t="s">
        <v>134</v>
      </c>
      <c r="DD613" t="s">
        <v>135</v>
      </c>
      <c r="DG613">
        <v>3565648</v>
      </c>
      <c r="DI613">
        <v>0</v>
      </c>
      <c r="DJ613">
        <v>0</v>
      </c>
      <c r="DK613">
        <v>1</v>
      </c>
      <c r="DL613">
        <v>0</v>
      </c>
      <c r="DM613">
        <v>0</v>
      </c>
      <c r="DN613">
        <v>0</v>
      </c>
      <c r="DO613">
        <v>0</v>
      </c>
      <c r="DP613">
        <v>0</v>
      </c>
      <c r="DQ613">
        <v>0</v>
      </c>
      <c r="DR613">
        <v>0</v>
      </c>
      <c r="DS613">
        <v>0</v>
      </c>
    </row>
    <row r="614" spans="1:123" x14ac:dyDescent="0.25">
      <c r="A614" t="str">
        <f>"04/17/2026 15:40:12.938"</f>
        <v>04/17/2026 15:40:12.938</v>
      </c>
      <c r="C614" t="str">
        <f t="shared" si="50"/>
        <v>FFDFD3C0</v>
      </c>
      <c r="D614" t="s">
        <v>124</v>
      </c>
      <c r="E614" t="str">
        <f>"03"</f>
        <v>03</v>
      </c>
      <c r="H614">
        <v>160</v>
      </c>
      <c r="I614" t="s">
        <v>125</v>
      </c>
      <c r="J614" t="s">
        <v>126</v>
      </c>
      <c r="K614">
        <v>0</v>
      </c>
      <c r="L614">
        <v>3</v>
      </c>
      <c r="M614">
        <v>0</v>
      </c>
      <c r="N614">
        <v>2</v>
      </c>
      <c r="O614">
        <v>1</v>
      </c>
      <c r="P614">
        <v>0</v>
      </c>
      <c r="Q614">
        <v>0</v>
      </c>
      <c r="R614" t="s">
        <v>127</v>
      </c>
      <c r="S614" t="str">
        <f>"15:40:12.672"</f>
        <v>15:40:12.672</v>
      </c>
      <c r="T614" t="str">
        <f>"15:40:11.372"</f>
        <v>15:40:11.372</v>
      </c>
      <c r="U614" t="str">
        <f t="shared" si="52"/>
        <v>A55E09</v>
      </c>
      <c r="V614">
        <v>0</v>
      </c>
      <c r="W614">
        <v>0</v>
      </c>
      <c r="X614">
        <v>2</v>
      </c>
      <c r="Y614">
        <v>0</v>
      </c>
      <c r="AA614">
        <v>0</v>
      </c>
      <c r="AB614">
        <v>8</v>
      </c>
      <c r="AC614">
        <v>3</v>
      </c>
      <c r="AD614">
        <v>0</v>
      </c>
      <c r="AE614">
        <v>9</v>
      </c>
      <c r="AF614" t="s">
        <v>128</v>
      </c>
      <c r="AG614">
        <v>0</v>
      </c>
      <c r="AH614">
        <v>0</v>
      </c>
      <c r="AI614">
        <v>1</v>
      </c>
      <c r="AJ614">
        <v>0</v>
      </c>
      <c r="AK614" t="s">
        <v>416</v>
      </c>
      <c r="AL614">
        <v>33.718091999999999</v>
      </c>
      <c r="AM614" t="s">
        <v>417</v>
      </c>
      <c r="AN614">
        <v>-101.20706300000001</v>
      </c>
      <c r="AO614">
        <v>100</v>
      </c>
      <c r="AP614">
        <v>3100</v>
      </c>
      <c r="AQ614" t="s">
        <v>131</v>
      </c>
      <c r="AR614">
        <v>35</v>
      </c>
      <c r="AS614">
        <v>84</v>
      </c>
      <c r="AT614">
        <v>-192</v>
      </c>
      <c r="BB614" t="str">
        <f t="shared" si="53"/>
        <v>1200</v>
      </c>
      <c r="BC614">
        <v>1</v>
      </c>
      <c r="BD614" t="str">
        <f t="shared" si="54"/>
        <v xml:space="preserve">N445JS  </v>
      </c>
      <c r="BE614">
        <v>7</v>
      </c>
      <c r="BG614">
        <v>0</v>
      </c>
      <c r="BH614">
        <v>0</v>
      </c>
      <c r="BI614">
        <v>0</v>
      </c>
      <c r="BJ614">
        <v>2825</v>
      </c>
      <c r="BK614">
        <v>-275</v>
      </c>
      <c r="BL614" t="s">
        <v>132</v>
      </c>
      <c r="BM614">
        <v>1</v>
      </c>
      <c r="BN614">
        <v>1</v>
      </c>
      <c r="BO614">
        <v>1</v>
      </c>
      <c r="BP614">
        <v>0</v>
      </c>
      <c r="BT614">
        <v>0</v>
      </c>
      <c r="BU614">
        <v>0</v>
      </c>
      <c r="CE614" t="str">
        <f>"15:40:12.672"</f>
        <v>15:40:12.672</v>
      </c>
      <c r="CF614">
        <v>672356127</v>
      </c>
      <c r="CS614">
        <v>0</v>
      </c>
      <c r="CT614">
        <v>2</v>
      </c>
      <c r="CU614">
        <v>0</v>
      </c>
      <c r="CV614">
        <v>2</v>
      </c>
      <c r="CW614">
        <v>0</v>
      </c>
      <c r="CX614">
        <v>3</v>
      </c>
      <c r="CY614">
        <v>7</v>
      </c>
      <c r="CZ614" t="s">
        <v>133</v>
      </c>
      <c r="DA614">
        <v>125</v>
      </c>
      <c r="DB614">
        <v>1</v>
      </c>
      <c r="DC614" t="s">
        <v>134</v>
      </c>
      <c r="DD614" t="s">
        <v>135</v>
      </c>
      <c r="DG614">
        <v>2602576</v>
      </c>
      <c r="DI614">
        <v>0</v>
      </c>
      <c r="DJ614">
        <v>0</v>
      </c>
      <c r="DK614">
        <v>0</v>
      </c>
      <c r="DL614">
        <v>0</v>
      </c>
      <c r="DM614">
        <v>0</v>
      </c>
      <c r="DN614">
        <v>0</v>
      </c>
      <c r="DO614">
        <v>0</v>
      </c>
      <c r="DP614">
        <v>0</v>
      </c>
      <c r="DQ614">
        <v>0</v>
      </c>
      <c r="DR614">
        <v>0</v>
      </c>
      <c r="DS614">
        <v>0</v>
      </c>
    </row>
    <row r="615" spans="1:123" x14ac:dyDescent="0.25">
      <c r="A615" t="str">
        <f>"04/17/2026 15:40:12.956"</f>
        <v>04/17/2026 15:40:12.956</v>
      </c>
      <c r="C615" t="str">
        <f t="shared" si="50"/>
        <v>FFDFD3C0</v>
      </c>
      <c r="D615" t="s">
        <v>136</v>
      </c>
      <c r="E615" t="str">
        <f>"0E"</f>
        <v>0E</v>
      </c>
      <c r="F615">
        <v>1014</v>
      </c>
      <c r="G615" t="s">
        <v>125</v>
      </c>
      <c r="J615" t="s">
        <v>137</v>
      </c>
      <c r="K615">
        <v>0</v>
      </c>
      <c r="L615">
        <v>3</v>
      </c>
      <c r="M615">
        <v>0</v>
      </c>
      <c r="N615">
        <v>2</v>
      </c>
      <c r="O615">
        <v>1</v>
      </c>
      <c r="P615">
        <v>0</v>
      </c>
      <c r="Q615">
        <v>0</v>
      </c>
      <c r="R615" t="s">
        <v>127</v>
      </c>
      <c r="S615" t="str">
        <f>"15:40:12.672"</f>
        <v>15:40:12.672</v>
      </c>
      <c r="T615" t="str">
        <f>"15:40:11.372"</f>
        <v>15:40:11.372</v>
      </c>
      <c r="U615" t="str">
        <f t="shared" si="52"/>
        <v>A55E09</v>
      </c>
      <c r="V615">
        <v>0</v>
      </c>
      <c r="W615">
        <v>0</v>
      </c>
      <c r="X615">
        <v>2</v>
      </c>
      <c r="Y615">
        <v>0</v>
      </c>
      <c r="AA615">
        <v>0</v>
      </c>
      <c r="AB615">
        <v>8</v>
      </c>
      <c r="AC615">
        <v>3</v>
      </c>
      <c r="AD615">
        <v>0</v>
      </c>
      <c r="AE615">
        <v>9</v>
      </c>
      <c r="AF615" t="s">
        <v>128</v>
      </c>
      <c r="AG615">
        <v>0</v>
      </c>
      <c r="AH615">
        <v>0</v>
      </c>
      <c r="AI615">
        <v>1</v>
      </c>
      <c r="AJ615">
        <v>0</v>
      </c>
      <c r="AK615" t="s">
        <v>416</v>
      </c>
      <c r="AL615">
        <v>33.718091999999999</v>
      </c>
      <c r="AM615" t="s">
        <v>417</v>
      </c>
      <c r="AN615">
        <v>-101.20706300000001</v>
      </c>
      <c r="AO615">
        <v>100</v>
      </c>
      <c r="AP615">
        <v>3100</v>
      </c>
      <c r="AQ615" t="s">
        <v>131</v>
      </c>
      <c r="AR615">
        <v>35</v>
      </c>
      <c r="AS615">
        <v>84</v>
      </c>
      <c r="AT615">
        <v>-192</v>
      </c>
      <c r="BB615" t="str">
        <f t="shared" si="53"/>
        <v>1200</v>
      </c>
      <c r="BC615">
        <v>1</v>
      </c>
      <c r="BD615" t="str">
        <f t="shared" si="54"/>
        <v xml:space="preserve">N445JS  </v>
      </c>
      <c r="BE615">
        <v>7</v>
      </c>
      <c r="BG615">
        <v>0</v>
      </c>
      <c r="BH615">
        <v>0</v>
      </c>
      <c r="BI615">
        <v>0</v>
      </c>
      <c r="BJ615">
        <v>2825</v>
      </c>
      <c r="BK615">
        <v>-275</v>
      </c>
      <c r="BL615" t="s">
        <v>132</v>
      </c>
      <c r="BM615">
        <v>1</v>
      </c>
      <c r="BN615">
        <v>1</v>
      </c>
      <c r="BO615">
        <v>1</v>
      </c>
      <c r="BP615">
        <v>0</v>
      </c>
      <c r="BT615">
        <v>0</v>
      </c>
      <c r="BU615">
        <v>0</v>
      </c>
      <c r="CE615" t="str">
        <f>"15:40:12.672"</f>
        <v>15:40:12.672</v>
      </c>
      <c r="CF615">
        <v>672356127</v>
      </c>
      <c r="CS615">
        <v>0</v>
      </c>
      <c r="CT615">
        <v>2</v>
      </c>
      <c r="CU615">
        <v>0</v>
      </c>
      <c r="CV615">
        <v>2</v>
      </c>
      <c r="CW615">
        <v>0</v>
      </c>
      <c r="CX615">
        <v>3</v>
      </c>
      <c r="CY615">
        <v>7</v>
      </c>
      <c r="CZ615" t="s">
        <v>133</v>
      </c>
      <c r="DA615">
        <v>125</v>
      </c>
      <c r="DB615">
        <v>1</v>
      </c>
      <c r="DC615" t="s">
        <v>134</v>
      </c>
      <c r="DD615" t="s">
        <v>135</v>
      </c>
      <c r="DG615">
        <v>2602576</v>
      </c>
      <c r="DI615">
        <v>0</v>
      </c>
      <c r="DJ615">
        <v>0</v>
      </c>
      <c r="DK615">
        <v>1</v>
      </c>
      <c r="DL615">
        <v>0</v>
      </c>
      <c r="DM615">
        <v>0</v>
      </c>
      <c r="DN615">
        <v>0</v>
      </c>
      <c r="DO615">
        <v>0</v>
      </c>
      <c r="DP615">
        <v>0</v>
      </c>
      <c r="DQ615">
        <v>0</v>
      </c>
      <c r="DR615">
        <v>0</v>
      </c>
      <c r="DS615">
        <v>0</v>
      </c>
    </row>
    <row r="616" spans="1:123" x14ac:dyDescent="0.25">
      <c r="A616" t="str">
        <f>"04/17/2026 15:40:12.972"</f>
        <v>04/17/2026 15:40:12.972</v>
      </c>
      <c r="C616" t="str">
        <f t="shared" si="50"/>
        <v>FFDFD3C0</v>
      </c>
      <c r="D616" t="s">
        <v>136</v>
      </c>
      <c r="E616" t="str">
        <f>"0F"</f>
        <v>0F</v>
      </c>
      <c r="F616">
        <v>1015</v>
      </c>
      <c r="G616" t="s">
        <v>138</v>
      </c>
      <c r="J616" t="s">
        <v>137</v>
      </c>
      <c r="K616">
        <v>0</v>
      </c>
      <c r="L616">
        <v>3</v>
      </c>
      <c r="M616">
        <v>0</v>
      </c>
      <c r="N616">
        <v>2</v>
      </c>
      <c r="O616">
        <v>1</v>
      </c>
      <c r="P616">
        <v>0</v>
      </c>
      <c r="Q616">
        <v>0</v>
      </c>
      <c r="R616" t="s">
        <v>127</v>
      </c>
      <c r="S616" t="str">
        <f>"15:40:12.672"</f>
        <v>15:40:12.672</v>
      </c>
      <c r="T616" t="str">
        <f>"15:40:11.372"</f>
        <v>15:40:11.372</v>
      </c>
      <c r="U616" t="str">
        <f t="shared" si="52"/>
        <v>A55E09</v>
      </c>
      <c r="V616">
        <v>0</v>
      </c>
      <c r="W616">
        <v>0</v>
      </c>
      <c r="X616">
        <v>2</v>
      </c>
      <c r="Y616">
        <v>0</v>
      </c>
      <c r="AA616">
        <v>0</v>
      </c>
      <c r="AB616">
        <v>8</v>
      </c>
      <c r="AC616">
        <v>3</v>
      </c>
      <c r="AD616">
        <v>0</v>
      </c>
      <c r="AE616">
        <v>9</v>
      </c>
      <c r="AF616" t="s">
        <v>128</v>
      </c>
      <c r="AG616">
        <v>0</v>
      </c>
      <c r="AH616">
        <v>0</v>
      </c>
      <c r="AI616">
        <v>1</v>
      </c>
      <c r="AJ616">
        <v>0</v>
      </c>
      <c r="AK616" t="s">
        <v>416</v>
      </c>
      <c r="AL616">
        <v>33.718091999999999</v>
      </c>
      <c r="AM616" t="s">
        <v>417</v>
      </c>
      <c r="AN616">
        <v>-101.20706300000001</v>
      </c>
      <c r="AO616">
        <v>100</v>
      </c>
      <c r="AP616">
        <v>3100</v>
      </c>
      <c r="AQ616" t="s">
        <v>131</v>
      </c>
      <c r="AR616">
        <v>35</v>
      </c>
      <c r="AS616">
        <v>84</v>
      </c>
      <c r="AT616">
        <v>-192</v>
      </c>
      <c r="BB616" t="str">
        <f t="shared" si="53"/>
        <v>1200</v>
      </c>
      <c r="BC616">
        <v>1</v>
      </c>
      <c r="BD616" t="str">
        <f t="shared" si="54"/>
        <v xml:space="preserve">N445JS  </v>
      </c>
      <c r="BE616">
        <v>7</v>
      </c>
      <c r="BG616">
        <v>0</v>
      </c>
      <c r="BH616">
        <v>0</v>
      </c>
      <c r="BI616">
        <v>0</v>
      </c>
      <c r="BJ616">
        <v>2825</v>
      </c>
      <c r="BK616">
        <v>-275</v>
      </c>
      <c r="BL616" t="s">
        <v>132</v>
      </c>
      <c r="BM616">
        <v>1</v>
      </c>
      <c r="BN616">
        <v>1</v>
      </c>
      <c r="BO616">
        <v>1</v>
      </c>
      <c r="BP616">
        <v>0</v>
      </c>
      <c r="BT616">
        <v>0</v>
      </c>
      <c r="BU616">
        <v>0</v>
      </c>
      <c r="CE616" t="str">
        <f>"15:40:12.672"</f>
        <v>15:40:12.672</v>
      </c>
      <c r="CF616">
        <v>672356127</v>
      </c>
      <c r="CS616">
        <v>0</v>
      </c>
      <c r="CT616">
        <v>2</v>
      </c>
      <c r="CU616">
        <v>0</v>
      </c>
      <c r="CV616">
        <v>2</v>
      </c>
      <c r="CW616">
        <v>0</v>
      </c>
      <c r="CX616">
        <v>3</v>
      </c>
      <c r="CY616">
        <v>7</v>
      </c>
      <c r="CZ616" t="s">
        <v>133</v>
      </c>
      <c r="DA616">
        <v>125</v>
      </c>
      <c r="DB616">
        <v>1</v>
      </c>
      <c r="DC616" t="s">
        <v>134</v>
      </c>
      <c r="DD616" t="s">
        <v>135</v>
      </c>
      <c r="DG616">
        <v>2602576</v>
      </c>
      <c r="DI616">
        <v>0</v>
      </c>
      <c r="DJ616">
        <v>0</v>
      </c>
      <c r="DK616">
        <v>1</v>
      </c>
      <c r="DL616">
        <v>0</v>
      </c>
      <c r="DM616">
        <v>0</v>
      </c>
      <c r="DN616">
        <v>0</v>
      </c>
      <c r="DO616">
        <v>0</v>
      </c>
      <c r="DP616">
        <v>0</v>
      </c>
      <c r="DQ616">
        <v>0</v>
      </c>
      <c r="DR616">
        <v>0</v>
      </c>
      <c r="DS616">
        <v>0</v>
      </c>
    </row>
    <row r="617" spans="1:123" x14ac:dyDescent="0.25">
      <c r="A617" t="str">
        <f>"04/17/2026 15:40:12.972"</f>
        <v>04/17/2026 15:40:12.972</v>
      </c>
      <c r="C617" t="str">
        <f t="shared" si="50"/>
        <v>FFDFD3C0</v>
      </c>
      <c r="D617" t="s">
        <v>139</v>
      </c>
      <c r="E617" t="str">
        <f>"28"</f>
        <v>28</v>
      </c>
      <c r="H617">
        <v>140</v>
      </c>
      <c r="I617" t="s">
        <v>140</v>
      </c>
      <c r="J617" t="s">
        <v>141</v>
      </c>
      <c r="K617">
        <v>0</v>
      </c>
      <c r="L617">
        <v>3</v>
      </c>
      <c r="M617">
        <v>0</v>
      </c>
      <c r="N617">
        <v>2</v>
      </c>
      <c r="O617">
        <v>1</v>
      </c>
      <c r="P617">
        <v>0</v>
      </c>
      <c r="Q617">
        <v>0</v>
      </c>
      <c r="R617" t="s">
        <v>127</v>
      </c>
      <c r="S617" t="str">
        <f>"15:40:12.672"</f>
        <v>15:40:12.672</v>
      </c>
      <c r="T617" t="str">
        <f>"15:40:11.372"</f>
        <v>15:40:11.372</v>
      </c>
      <c r="U617" t="str">
        <f t="shared" si="52"/>
        <v>A55E09</v>
      </c>
      <c r="V617">
        <v>0</v>
      </c>
      <c r="W617">
        <v>0</v>
      </c>
      <c r="X617">
        <v>2</v>
      </c>
      <c r="Y617">
        <v>0</v>
      </c>
      <c r="AA617">
        <v>0</v>
      </c>
      <c r="AB617">
        <v>8</v>
      </c>
      <c r="AC617">
        <v>3</v>
      </c>
      <c r="AD617">
        <v>0</v>
      </c>
      <c r="AE617">
        <v>9</v>
      </c>
      <c r="AF617" t="s">
        <v>128</v>
      </c>
      <c r="AG617">
        <v>0</v>
      </c>
      <c r="AH617">
        <v>0</v>
      </c>
      <c r="AI617">
        <v>1</v>
      </c>
      <c r="AJ617">
        <v>0</v>
      </c>
      <c r="AK617" t="s">
        <v>416</v>
      </c>
      <c r="AL617">
        <v>33.718091999999999</v>
      </c>
      <c r="AM617" t="s">
        <v>417</v>
      </c>
      <c r="AN617">
        <v>-101.20706300000001</v>
      </c>
      <c r="AO617">
        <v>100</v>
      </c>
      <c r="AP617">
        <v>3100</v>
      </c>
      <c r="AQ617" t="s">
        <v>131</v>
      </c>
      <c r="AR617">
        <v>35</v>
      </c>
      <c r="AS617">
        <v>84</v>
      </c>
      <c r="AT617">
        <v>-192</v>
      </c>
      <c r="BB617" t="str">
        <f t="shared" si="53"/>
        <v>1200</v>
      </c>
      <c r="BC617">
        <v>1</v>
      </c>
      <c r="BD617" t="str">
        <f t="shared" si="54"/>
        <v xml:space="preserve">N445JS  </v>
      </c>
      <c r="BE617">
        <v>7</v>
      </c>
      <c r="BG617">
        <v>0</v>
      </c>
      <c r="BH617">
        <v>0</v>
      </c>
      <c r="BI617">
        <v>0</v>
      </c>
      <c r="BJ617">
        <v>2825</v>
      </c>
      <c r="BK617">
        <v>-275</v>
      </c>
      <c r="BL617" t="s">
        <v>132</v>
      </c>
      <c r="BM617">
        <v>1</v>
      </c>
      <c r="BN617">
        <v>1</v>
      </c>
      <c r="BO617">
        <v>1</v>
      </c>
      <c r="BP617">
        <v>0</v>
      </c>
      <c r="BT617">
        <v>0</v>
      </c>
      <c r="BU617">
        <v>0</v>
      </c>
      <c r="CE617" t="str">
        <f>"15:40:12.672"</f>
        <v>15:40:12.672</v>
      </c>
      <c r="CF617">
        <v>672356127</v>
      </c>
      <c r="CS617">
        <v>0</v>
      </c>
      <c r="CT617">
        <v>2</v>
      </c>
      <c r="CU617">
        <v>0</v>
      </c>
      <c r="CV617">
        <v>2</v>
      </c>
      <c r="CW617">
        <v>0</v>
      </c>
      <c r="CX617">
        <v>3</v>
      </c>
      <c r="CY617">
        <v>7</v>
      </c>
      <c r="CZ617" t="s">
        <v>133</v>
      </c>
      <c r="DA617">
        <v>125</v>
      </c>
      <c r="DB617">
        <v>1</v>
      </c>
      <c r="DC617" t="s">
        <v>134</v>
      </c>
      <c r="DD617" t="s">
        <v>135</v>
      </c>
      <c r="DG617">
        <v>2602576</v>
      </c>
      <c r="DI617">
        <v>0</v>
      </c>
      <c r="DJ617">
        <v>0</v>
      </c>
      <c r="DK617">
        <v>1</v>
      </c>
      <c r="DL617">
        <v>0</v>
      </c>
      <c r="DM617">
        <v>0</v>
      </c>
      <c r="DN617">
        <v>0</v>
      </c>
      <c r="DO617">
        <v>0</v>
      </c>
      <c r="DP617">
        <v>0</v>
      </c>
      <c r="DQ617">
        <v>0</v>
      </c>
      <c r="DR617">
        <v>0</v>
      </c>
      <c r="DS617">
        <v>0</v>
      </c>
    </row>
    <row r="618" spans="1:123" x14ac:dyDescent="0.25">
      <c r="A618" t="str">
        <f>"04/17/2026 15:40:13.974"</f>
        <v>04/17/2026 15:40:13.974</v>
      </c>
      <c r="C618" t="str">
        <f t="shared" si="50"/>
        <v>FFDFD3C0</v>
      </c>
      <c r="D618" t="s">
        <v>139</v>
      </c>
      <c r="E618" t="str">
        <f>"28"</f>
        <v>28</v>
      </c>
      <c r="H618">
        <v>140</v>
      </c>
      <c r="I618" t="s">
        <v>140</v>
      </c>
      <c r="J618" t="s">
        <v>141</v>
      </c>
      <c r="K618">
        <v>0</v>
      </c>
      <c r="L618">
        <v>3</v>
      </c>
      <c r="M618">
        <v>0</v>
      </c>
      <c r="N618">
        <v>2</v>
      </c>
      <c r="O618">
        <v>1</v>
      </c>
      <c r="P618">
        <v>0</v>
      </c>
      <c r="Q618">
        <v>0</v>
      </c>
      <c r="R618" t="s">
        <v>127</v>
      </c>
      <c r="S618" t="str">
        <f>"15:40:13.703"</f>
        <v>15:40:13.703</v>
      </c>
      <c r="T618" t="str">
        <f>"15:40:13.303"</f>
        <v>15:40:13.303</v>
      </c>
      <c r="U618" t="str">
        <f t="shared" si="52"/>
        <v>A55E09</v>
      </c>
      <c r="V618">
        <v>0</v>
      </c>
      <c r="W618">
        <v>0</v>
      </c>
      <c r="X618">
        <v>2</v>
      </c>
      <c r="Y618">
        <v>0</v>
      </c>
      <c r="AA618">
        <v>0</v>
      </c>
      <c r="AB618">
        <v>8</v>
      </c>
      <c r="AC618">
        <v>3</v>
      </c>
      <c r="AD618">
        <v>0</v>
      </c>
      <c r="AE618">
        <v>9</v>
      </c>
      <c r="AF618" t="s">
        <v>128</v>
      </c>
      <c r="AG618">
        <v>0</v>
      </c>
      <c r="AH618">
        <v>0</v>
      </c>
      <c r="AI618">
        <v>1</v>
      </c>
      <c r="AJ618">
        <v>0</v>
      </c>
      <c r="AK618" t="s">
        <v>418</v>
      </c>
      <c r="AL618">
        <v>33.718479000000002</v>
      </c>
      <c r="AM618" t="s">
        <v>277</v>
      </c>
      <c r="AN618">
        <v>-101.20684900000001</v>
      </c>
      <c r="AO618">
        <v>100</v>
      </c>
      <c r="AP618">
        <v>3100</v>
      </c>
      <c r="AQ618" t="s">
        <v>131</v>
      </c>
      <c r="AR618">
        <v>35</v>
      </c>
      <c r="AS618">
        <v>85</v>
      </c>
      <c r="AT618">
        <v>64</v>
      </c>
      <c r="BB618" t="str">
        <f t="shared" si="53"/>
        <v>1200</v>
      </c>
      <c r="BC618">
        <v>1</v>
      </c>
      <c r="BD618" t="str">
        <f t="shared" si="54"/>
        <v xml:space="preserve">N445JS  </v>
      </c>
      <c r="BE618">
        <v>7</v>
      </c>
      <c r="BG618">
        <v>0</v>
      </c>
      <c r="BH618">
        <v>0</v>
      </c>
      <c r="BI618">
        <v>0</v>
      </c>
      <c r="BJ618">
        <v>2925</v>
      </c>
      <c r="BK618">
        <v>-175</v>
      </c>
      <c r="BL618" t="s">
        <v>132</v>
      </c>
      <c r="BM618">
        <v>1</v>
      </c>
      <c r="BN618">
        <v>1</v>
      </c>
      <c r="BO618">
        <v>1</v>
      </c>
      <c r="BP618">
        <v>0</v>
      </c>
      <c r="BT618">
        <v>0</v>
      </c>
      <c r="BU618">
        <v>0</v>
      </c>
      <c r="CE618" t="str">
        <f>"15:40:13.707"</f>
        <v>15:40:13.707</v>
      </c>
      <c r="CF618">
        <v>707254795</v>
      </c>
      <c r="CS618">
        <v>0</v>
      </c>
      <c r="CT618">
        <v>2</v>
      </c>
      <c r="CU618">
        <v>0</v>
      </c>
      <c r="CV618">
        <v>2</v>
      </c>
      <c r="CW618">
        <v>0</v>
      </c>
      <c r="CX618">
        <v>4</v>
      </c>
      <c r="CY618">
        <v>7</v>
      </c>
      <c r="CZ618" t="s">
        <v>133</v>
      </c>
      <c r="DA618">
        <v>125</v>
      </c>
      <c r="DB618">
        <v>1</v>
      </c>
      <c r="DC618" t="s">
        <v>134</v>
      </c>
      <c r="DD618" t="s">
        <v>135</v>
      </c>
      <c r="DG618">
        <v>2603610</v>
      </c>
      <c r="DI618">
        <v>0</v>
      </c>
      <c r="DJ618">
        <v>0</v>
      </c>
      <c r="DK618">
        <v>0</v>
      </c>
      <c r="DL618">
        <v>0</v>
      </c>
      <c r="DM618">
        <v>0</v>
      </c>
      <c r="DN618">
        <v>0</v>
      </c>
      <c r="DO618">
        <v>0</v>
      </c>
      <c r="DP618">
        <v>0</v>
      </c>
      <c r="DQ618">
        <v>0</v>
      </c>
      <c r="DR618">
        <v>0</v>
      </c>
      <c r="DS618">
        <v>0</v>
      </c>
    </row>
    <row r="619" spans="1:123" x14ac:dyDescent="0.25">
      <c r="A619" t="str">
        <f>"04/17/2026 15:40:13.974"</f>
        <v>04/17/2026 15:40:13.974</v>
      </c>
      <c r="C619" t="str">
        <f t="shared" si="50"/>
        <v>FFDFD3C0</v>
      </c>
      <c r="D619" t="s">
        <v>136</v>
      </c>
      <c r="E619" t="str">
        <f>"0F"</f>
        <v>0F</v>
      </c>
      <c r="F619">
        <v>1015</v>
      </c>
      <c r="G619" t="s">
        <v>138</v>
      </c>
      <c r="J619" t="s">
        <v>137</v>
      </c>
      <c r="K619">
        <v>0</v>
      </c>
      <c r="L619">
        <v>3</v>
      </c>
      <c r="M619">
        <v>0</v>
      </c>
      <c r="N619">
        <v>2</v>
      </c>
      <c r="O619">
        <v>1</v>
      </c>
      <c r="P619">
        <v>0</v>
      </c>
      <c r="Q619">
        <v>0</v>
      </c>
      <c r="R619" t="s">
        <v>127</v>
      </c>
      <c r="S619" t="str">
        <f>"15:40:13.703"</f>
        <v>15:40:13.703</v>
      </c>
      <c r="T619" t="str">
        <f>"15:40:13.303"</f>
        <v>15:40:13.303</v>
      </c>
      <c r="U619" t="str">
        <f t="shared" si="52"/>
        <v>A55E09</v>
      </c>
      <c r="V619">
        <v>0</v>
      </c>
      <c r="W619">
        <v>0</v>
      </c>
      <c r="X619">
        <v>2</v>
      </c>
      <c r="Y619">
        <v>0</v>
      </c>
      <c r="AA619">
        <v>0</v>
      </c>
      <c r="AB619">
        <v>8</v>
      </c>
      <c r="AC619">
        <v>3</v>
      </c>
      <c r="AD619">
        <v>0</v>
      </c>
      <c r="AE619">
        <v>9</v>
      </c>
      <c r="AF619" t="s">
        <v>128</v>
      </c>
      <c r="AG619">
        <v>0</v>
      </c>
      <c r="AH619">
        <v>0</v>
      </c>
      <c r="AI619">
        <v>1</v>
      </c>
      <c r="AJ619">
        <v>0</v>
      </c>
      <c r="AK619" t="s">
        <v>418</v>
      </c>
      <c r="AL619">
        <v>33.718479000000002</v>
      </c>
      <c r="AM619" t="s">
        <v>277</v>
      </c>
      <c r="AN619">
        <v>-101.20684900000001</v>
      </c>
      <c r="AO619">
        <v>100</v>
      </c>
      <c r="AP619">
        <v>3100</v>
      </c>
      <c r="AQ619" t="s">
        <v>131</v>
      </c>
      <c r="AR619">
        <v>35</v>
      </c>
      <c r="AS619">
        <v>85</v>
      </c>
      <c r="AT619">
        <v>64</v>
      </c>
      <c r="BB619" t="str">
        <f t="shared" si="53"/>
        <v>1200</v>
      </c>
      <c r="BC619">
        <v>1</v>
      </c>
      <c r="BD619" t="str">
        <f t="shared" si="54"/>
        <v xml:space="preserve">N445JS  </v>
      </c>
      <c r="BE619">
        <v>7</v>
      </c>
      <c r="BG619">
        <v>0</v>
      </c>
      <c r="BH619">
        <v>0</v>
      </c>
      <c r="BI619">
        <v>0</v>
      </c>
      <c r="BJ619">
        <v>2925</v>
      </c>
      <c r="BK619">
        <v>-175</v>
      </c>
      <c r="BL619" t="s">
        <v>132</v>
      </c>
      <c r="BM619">
        <v>1</v>
      </c>
      <c r="BN619">
        <v>1</v>
      </c>
      <c r="BO619">
        <v>1</v>
      </c>
      <c r="BP619">
        <v>0</v>
      </c>
      <c r="BT619">
        <v>0</v>
      </c>
      <c r="BU619">
        <v>0</v>
      </c>
      <c r="CE619" t="str">
        <f>"15:40:13.707"</f>
        <v>15:40:13.707</v>
      </c>
      <c r="CF619">
        <v>707254795</v>
      </c>
      <c r="CS619">
        <v>0</v>
      </c>
      <c r="CT619">
        <v>2</v>
      </c>
      <c r="CU619">
        <v>0</v>
      </c>
      <c r="CV619">
        <v>2</v>
      </c>
      <c r="CW619">
        <v>0</v>
      </c>
      <c r="CX619">
        <v>4</v>
      </c>
      <c r="CY619">
        <v>7</v>
      </c>
      <c r="CZ619" t="s">
        <v>133</v>
      </c>
      <c r="DA619">
        <v>125</v>
      </c>
      <c r="DB619">
        <v>1</v>
      </c>
      <c r="DC619" t="s">
        <v>134</v>
      </c>
      <c r="DD619" t="s">
        <v>135</v>
      </c>
      <c r="DG619">
        <v>2603610</v>
      </c>
      <c r="DI619">
        <v>0</v>
      </c>
      <c r="DJ619">
        <v>0</v>
      </c>
      <c r="DK619">
        <v>1</v>
      </c>
      <c r="DL619">
        <v>0</v>
      </c>
      <c r="DM619">
        <v>0</v>
      </c>
      <c r="DN619">
        <v>0</v>
      </c>
      <c r="DO619">
        <v>0</v>
      </c>
      <c r="DP619">
        <v>0</v>
      </c>
      <c r="DQ619">
        <v>0</v>
      </c>
      <c r="DR619">
        <v>0</v>
      </c>
      <c r="DS619">
        <v>0</v>
      </c>
    </row>
    <row r="620" spans="1:123" x14ac:dyDescent="0.25">
      <c r="A620" t="str">
        <f>"04/17/2026 15:40:13.991"</f>
        <v>04/17/2026 15:40:13.991</v>
      </c>
      <c r="C620" t="str">
        <f t="shared" si="50"/>
        <v>FFDFD3C0</v>
      </c>
      <c r="D620" t="s">
        <v>124</v>
      </c>
      <c r="E620" t="str">
        <f>"03"</f>
        <v>03</v>
      </c>
      <c r="H620">
        <v>160</v>
      </c>
      <c r="I620" t="s">
        <v>125</v>
      </c>
      <c r="J620" t="s">
        <v>126</v>
      </c>
      <c r="K620">
        <v>0</v>
      </c>
      <c r="L620">
        <v>3</v>
      </c>
      <c r="M620">
        <v>0</v>
      </c>
      <c r="N620">
        <v>2</v>
      </c>
      <c r="O620">
        <v>1</v>
      </c>
      <c r="P620">
        <v>0</v>
      </c>
      <c r="Q620">
        <v>0</v>
      </c>
      <c r="R620" t="s">
        <v>127</v>
      </c>
      <c r="S620" t="str">
        <f>"15:40:13.703"</f>
        <v>15:40:13.703</v>
      </c>
      <c r="T620" t="str">
        <f>"15:40:13.303"</f>
        <v>15:40:13.303</v>
      </c>
      <c r="U620" t="str">
        <f t="shared" si="52"/>
        <v>A55E09</v>
      </c>
      <c r="V620">
        <v>0</v>
      </c>
      <c r="W620">
        <v>0</v>
      </c>
      <c r="X620">
        <v>2</v>
      </c>
      <c r="Y620">
        <v>0</v>
      </c>
      <c r="AA620">
        <v>0</v>
      </c>
      <c r="AB620">
        <v>8</v>
      </c>
      <c r="AC620">
        <v>3</v>
      </c>
      <c r="AD620">
        <v>0</v>
      </c>
      <c r="AE620">
        <v>9</v>
      </c>
      <c r="AF620" t="s">
        <v>128</v>
      </c>
      <c r="AG620">
        <v>0</v>
      </c>
      <c r="AH620">
        <v>0</v>
      </c>
      <c r="AI620">
        <v>1</v>
      </c>
      <c r="AJ620">
        <v>0</v>
      </c>
      <c r="AK620" t="s">
        <v>418</v>
      </c>
      <c r="AL620">
        <v>33.718479000000002</v>
      </c>
      <c r="AM620" t="s">
        <v>277</v>
      </c>
      <c r="AN620">
        <v>-101.20684900000001</v>
      </c>
      <c r="AO620">
        <v>100</v>
      </c>
      <c r="AP620">
        <v>3100</v>
      </c>
      <c r="AQ620" t="s">
        <v>131</v>
      </c>
      <c r="AR620">
        <v>35</v>
      </c>
      <c r="AS620">
        <v>85</v>
      </c>
      <c r="AT620">
        <v>64</v>
      </c>
      <c r="BB620" t="str">
        <f t="shared" si="53"/>
        <v>1200</v>
      </c>
      <c r="BC620">
        <v>1</v>
      </c>
      <c r="BD620" t="str">
        <f t="shared" si="54"/>
        <v xml:space="preserve">N445JS  </v>
      </c>
      <c r="BE620">
        <v>7</v>
      </c>
      <c r="BG620">
        <v>0</v>
      </c>
      <c r="BH620">
        <v>0</v>
      </c>
      <c r="BI620">
        <v>0</v>
      </c>
      <c r="BJ620">
        <v>2925</v>
      </c>
      <c r="BK620">
        <v>-175</v>
      </c>
      <c r="BL620" t="s">
        <v>132</v>
      </c>
      <c r="BM620">
        <v>1</v>
      </c>
      <c r="BN620">
        <v>1</v>
      </c>
      <c r="BO620">
        <v>1</v>
      </c>
      <c r="BP620">
        <v>0</v>
      </c>
      <c r="BT620">
        <v>0</v>
      </c>
      <c r="BU620">
        <v>0</v>
      </c>
      <c r="CE620" t="str">
        <f>"15:40:13.707"</f>
        <v>15:40:13.707</v>
      </c>
      <c r="CF620">
        <v>707254795</v>
      </c>
      <c r="CS620">
        <v>0</v>
      </c>
      <c r="CT620">
        <v>2</v>
      </c>
      <c r="CU620">
        <v>0</v>
      </c>
      <c r="CV620">
        <v>2</v>
      </c>
      <c r="CW620">
        <v>0</v>
      </c>
      <c r="CX620">
        <v>4</v>
      </c>
      <c r="CY620">
        <v>7</v>
      </c>
      <c r="CZ620" t="s">
        <v>133</v>
      </c>
      <c r="DA620">
        <v>125</v>
      </c>
      <c r="DB620">
        <v>1</v>
      </c>
      <c r="DC620" t="s">
        <v>134</v>
      </c>
      <c r="DD620" t="s">
        <v>135</v>
      </c>
      <c r="DG620">
        <v>2603610</v>
      </c>
      <c r="DI620">
        <v>0</v>
      </c>
      <c r="DJ620">
        <v>0</v>
      </c>
      <c r="DK620">
        <v>1</v>
      </c>
      <c r="DL620">
        <v>0</v>
      </c>
      <c r="DM620">
        <v>0</v>
      </c>
      <c r="DN620">
        <v>0</v>
      </c>
      <c r="DO620">
        <v>0</v>
      </c>
      <c r="DP620">
        <v>0</v>
      </c>
      <c r="DQ620">
        <v>0</v>
      </c>
      <c r="DR620">
        <v>0</v>
      </c>
      <c r="DS620">
        <v>0</v>
      </c>
    </row>
    <row r="621" spans="1:123" x14ac:dyDescent="0.25">
      <c r="A621" t="str">
        <f>"04/17/2026 15:40:14.007"</f>
        <v>04/17/2026 15:40:14.007</v>
      </c>
      <c r="C621" t="str">
        <f t="shared" si="50"/>
        <v>FFDFD3C0</v>
      </c>
      <c r="D621" t="s">
        <v>136</v>
      </c>
      <c r="E621" t="str">
        <f>"0E"</f>
        <v>0E</v>
      </c>
      <c r="F621">
        <v>1014</v>
      </c>
      <c r="G621" t="s">
        <v>125</v>
      </c>
      <c r="J621" t="s">
        <v>137</v>
      </c>
      <c r="K621">
        <v>0</v>
      </c>
      <c r="L621">
        <v>3</v>
      </c>
      <c r="M621">
        <v>0</v>
      </c>
      <c r="N621">
        <v>2</v>
      </c>
      <c r="O621">
        <v>1</v>
      </c>
      <c r="P621">
        <v>0</v>
      </c>
      <c r="Q621">
        <v>0</v>
      </c>
      <c r="R621" t="s">
        <v>127</v>
      </c>
      <c r="S621" t="str">
        <f>"15:40:13.703"</f>
        <v>15:40:13.703</v>
      </c>
      <c r="T621" t="str">
        <f>"15:40:13.303"</f>
        <v>15:40:13.303</v>
      </c>
      <c r="U621" t="str">
        <f t="shared" si="52"/>
        <v>A55E09</v>
      </c>
      <c r="V621">
        <v>0</v>
      </c>
      <c r="W621">
        <v>0</v>
      </c>
      <c r="X621">
        <v>2</v>
      </c>
      <c r="Y621">
        <v>0</v>
      </c>
      <c r="AA621">
        <v>0</v>
      </c>
      <c r="AB621">
        <v>8</v>
      </c>
      <c r="AC621">
        <v>3</v>
      </c>
      <c r="AD621">
        <v>0</v>
      </c>
      <c r="AE621">
        <v>9</v>
      </c>
      <c r="AF621" t="s">
        <v>128</v>
      </c>
      <c r="AG621">
        <v>0</v>
      </c>
      <c r="AH621">
        <v>0</v>
      </c>
      <c r="AI621">
        <v>1</v>
      </c>
      <c r="AJ621">
        <v>0</v>
      </c>
      <c r="AK621" t="s">
        <v>418</v>
      </c>
      <c r="AL621">
        <v>33.718479000000002</v>
      </c>
      <c r="AM621" t="s">
        <v>277</v>
      </c>
      <c r="AN621">
        <v>-101.20684900000001</v>
      </c>
      <c r="AO621">
        <v>100</v>
      </c>
      <c r="AP621">
        <v>3100</v>
      </c>
      <c r="AQ621" t="s">
        <v>131</v>
      </c>
      <c r="AR621">
        <v>35</v>
      </c>
      <c r="AS621">
        <v>85</v>
      </c>
      <c r="AT621">
        <v>64</v>
      </c>
      <c r="BB621" t="str">
        <f t="shared" si="53"/>
        <v>1200</v>
      </c>
      <c r="BC621">
        <v>1</v>
      </c>
      <c r="BD621" t="str">
        <f t="shared" si="54"/>
        <v xml:space="preserve">N445JS  </v>
      </c>
      <c r="BE621">
        <v>7</v>
      </c>
      <c r="BG621">
        <v>0</v>
      </c>
      <c r="BH621">
        <v>0</v>
      </c>
      <c r="BI621">
        <v>0</v>
      </c>
      <c r="BJ621">
        <v>2925</v>
      </c>
      <c r="BK621">
        <v>-175</v>
      </c>
      <c r="BL621" t="s">
        <v>132</v>
      </c>
      <c r="BM621">
        <v>1</v>
      </c>
      <c r="BN621">
        <v>1</v>
      </c>
      <c r="BO621">
        <v>1</v>
      </c>
      <c r="BP621">
        <v>0</v>
      </c>
      <c r="BT621">
        <v>0</v>
      </c>
      <c r="BU621">
        <v>0</v>
      </c>
      <c r="CE621" t="str">
        <f>"15:40:13.707"</f>
        <v>15:40:13.707</v>
      </c>
      <c r="CF621">
        <v>707254795</v>
      </c>
      <c r="CS621">
        <v>0</v>
      </c>
      <c r="CT621">
        <v>2</v>
      </c>
      <c r="CU621">
        <v>0</v>
      </c>
      <c r="CV621">
        <v>2</v>
      </c>
      <c r="CW621">
        <v>0</v>
      </c>
      <c r="CX621">
        <v>4</v>
      </c>
      <c r="CY621">
        <v>7</v>
      </c>
      <c r="CZ621" t="s">
        <v>133</v>
      </c>
      <c r="DA621">
        <v>125</v>
      </c>
      <c r="DB621">
        <v>1</v>
      </c>
      <c r="DC621" t="s">
        <v>134</v>
      </c>
      <c r="DD621" t="s">
        <v>135</v>
      </c>
      <c r="DG621">
        <v>2603610</v>
      </c>
      <c r="DI621">
        <v>0</v>
      </c>
      <c r="DJ621">
        <v>0</v>
      </c>
      <c r="DK621">
        <v>1</v>
      </c>
      <c r="DL621">
        <v>0</v>
      </c>
      <c r="DM621">
        <v>0</v>
      </c>
      <c r="DN621">
        <v>0</v>
      </c>
      <c r="DO621">
        <v>0</v>
      </c>
      <c r="DP621">
        <v>0</v>
      </c>
      <c r="DQ621">
        <v>0</v>
      </c>
      <c r="DR621">
        <v>0</v>
      </c>
      <c r="DS621">
        <v>0</v>
      </c>
    </row>
    <row r="622" spans="1:123" x14ac:dyDescent="0.25">
      <c r="A622" t="str">
        <f>"04/17/2026 15:40:15.426"</f>
        <v>04/17/2026 15:40:15.426</v>
      </c>
      <c r="C622" t="str">
        <f t="shared" si="50"/>
        <v>FFDFD3C0</v>
      </c>
      <c r="D622" t="s">
        <v>136</v>
      </c>
      <c r="E622" t="str">
        <f>"0F"</f>
        <v>0F</v>
      </c>
      <c r="F622">
        <v>1015</v>
      </c>
      <c r="G622" t="s">
        <v>138</v>
      </c>
      <c r="J622" t="s">
        <v>137</v>
      </c>
      <c r="K622">
        <v>0</v>
      </c>
      <c r="L622">
        <v>3</v>
      </c>
      <c r="M622">
        <v>0</v>
      </c>
      <c r="N622">
        <v>2</v>
      </c>
      <c r="O622">
        <v>1</v>
      </c>
      <c r="P622">
        <v>0</v>
      </c>
      <c r="Q622">
        <v>0</v>
      </c>
      <c r="R622" t="s">
        <v>127</v>
      </c>
      <c r="S622" t="str">
        <f>"15:40:15.188"</f>
        <v>15:40:15.188</v>
      </c>
      <c r="T622" t="str">
        <f>"15:40:14.888"</f>
        <v>15:40:14.888</v>
      </c>
      <c r="U622" t="str">
        <f t="shared" si="52"/>
        <v>A55E09</v>
      </c>
      <c r="V622">
        <v>0</v>
      </c>
      <c r="W622">
        <v>0</v>
      </c>
      <c r="X622">
        <v>2</v>
      </c>
      <c r="Y622">
        <v>0</v>
      </c>
      <c r="AA622">
        <v>0</v>
      </c>
      <c r="AB622">
        <v>8</v>
      </c>
      <c r="AC622">
        <v>3</v>
      </c>
      <c r="AD622">
        <v>0</v>
      </c>
      <c r="AE622">
        <v>8</v>
      </c>
      <c r="AF622" t="s">
        <v>128</v>
      </c>
      <c r="AG622">
        <v>0</v>
      </c>
      <c r="AH622">
        <v>0</v>
      </c>
      <c r="AI622">
        <v>1</v>
      </c>
      <c r="AJ622">
        <v>0</v>
      </c>
      <c r="AK622" t="s">
        <v>419</v>
      </c>
      <c r="AL622">
        <v>33.719079000000001</v>
      </c>
      <c r="AM622" t="s">
        <v>420</v>
      </c>
      <c r="AN622">
        <v>-101.20663399999999</v>
      </c>
      <c r="AO622">
        <v>100</v>
      </c>
      <c r="AP622">
        <v>3100</v>
      </c>
      <c r="AQ622" t="s">
        <v>131</v>
      </c>
      <c r="AR622">
        <v>35</v>
      </c>
      <c r="AS622">
        <v>86</v>
      </c>
      <c r="AT622">
        <v>-64</v>
      </c>
      <c r="BB622" t="str">
        <f t="shared" si="53"/>
        <v>1200</v>
      </c>
      <c r="BC622">
        <v>1</v>
      </c>
      <c r="BD622" t="str">
        <f t="shared" si="54"/>
        <v xml:space="preserve">N445JS  </v>
      </c>
      <c r="BE622">
        <v>7</v>
      </c>
      <c r="BG622">
        <v>0</v>
      </c>
      <c r="BH622">
        <v>0</v>
      </c>
      <c r="BI622">
        <v>0</v>
      </c>
      <c r="BJ622">
        <v>2900</v>
      </c>
      <c r="BK622">
        <v>-200</v>
      </c>
      <c r="BL622" t="s">
        <v>132</v>
      </c>
      <c r="BM622">
        <v>1</v>
      </c>
      <c r="BN622">
        <v>1</v>
      </c>
      <c r="BO622">
        <v>1</v>
      </c>
      <c r="BP622">
        <v>0</v>
      </c>
      <c r="BT622">
        <v>0</v>
      </c>
      <c r="BU622">
        <v>0</v>
      </c>
      <c r="CE622" t="str">
        <f>"15:40:15.192"</f>
        <v>15:40:15.192</v>
      </c>
      <c r="CF622">
        <v>192109399</v>
      </c>
      <c r="CS622">
        <v>0</v>
      </c>
      <c r="CT622">
        <v>1</v>
      </c>
      <c r="CU622">
        <v>0</v>
      </c>
      <c r="CV622">
        <v>2</v>
      </c>
      <c r="CW622">
        <v>0</v>
      </c>
      <c r="CX622">
        <v>3</v>
      </c>
      <c r="CY622">
        <v>7</v>
      </c>
      <c r="CZ622" t="s">
        <v>133</v>
      </c>
      <c r="DA622">
        <v>125</v>
      </c>
      <c r="DB622">
        <v>1</v>
      </c>
      <c r="DC622" t="s">
        <v>134</v>
      </c>
      <c r="DD622" t="s">
        <v>135</v>
      </c>
      <c r="DG622">
        <v>2605123</v>
      </c>
      <c r="DI622">
        <v>0</v>
      </c>
      <c r="DJ622">
        <v>0</v>
      </c>
      <c r="DK622">
        <v>0</v>
      </c>
      <c r="DL622">
        <v>0</v>
      </c>
      <c r="DM622">
        <v>0</v>
      </c>
      <c r="DN622">
        <v>0</v>
      </c>
      <c r="DO622">
        <v>0</v>
      </c>
      <c r="DP622">
        <v>0</v>
      </c>
      <c r="DQ622">
        <v>0</v>
      </c>
      <c r="DR622">
        <v>0</v>
      </c>
      <c r="DS622">
        <v>0</v>
      </c>
    </row>
    <row r="623" spans="1:123" x14ac:dyDescent="0.25">
      <c r="A623" t="str">
        <f>"04/17/2026 15:40:15.426"</f>
        <v>04/17/2026 15:40:15.426</v>
      </c>
      <c r="C623" t="str">
        <f t="shared" si="50"/>
        <v>FFDFD3C0</v>
      </c>
      <c r="D623" t="s">
        <v>139</v>
      </c>
      <c r="E623" t="str">
        <f>"28"</f>
        <v>28</v>
      </c>
      <c r="H623">
        <v>140</v>
      </c>
      <c r="I623" t="s">
        <v>140</v>
      </c>
      <c r="J623" t="s">
        <v>141</v>
      </c>
      <c r="K623">
        <v>0</v>
      </c>
      <c r="L623">
        <v>3</v>
      </c>
      <c r="M623">
        <v>0</v>
      </c>
      <c r="N623">
        <v>2</v>
      </c>
      <c r="O623">
        <v>1</v>
      </c>
      <c r="P623">
        <v>0</v>
      </c>
      <c r="Q623">
        <v>0</v>
      </c>
      <c r="R623" t="s">
        <v>127</v>
      </c>
      <c r="S623" t="str">
        <f>"15:40:15.188"</f>
        <v>15:40:15.188</v>
      </c>
      <c r="T623" t="str">
        <f>"15:40:14.888"</f>
        <v>15:40:14.888</v>
      </c>
      <c r="U623" t="str">
        <f t="shared" si="52"/>
        <v>A55E09</v>
      </c>
      <c r="V623">
        <v>0</v>
      </c>
      <c r="W623">
        <v>0</v>
      </c>
      <c r="X623">
        <v>2</v>
      </c>
      <c r="Y623">
        <v>0</v>
      </c>
      <c r="AA623">
        <v>0</v>
      </c>
      <c r="AB623">
        <v>8</v>
      </c>
      <c r="AC623">
        <v>3</v>
      </c>
      <c r="AD623">
        <v>0</v>
      </c>
      <c r="AE623">
        <v>8</v>
      </c>
      <c r="AF623" t="s">
        <v>128</v>
      </c>
      <c r="AG623">
        <v>0</v>
      </c>
      <c r="AH623">
        <v>0</v>
      </c>
      <c r="AI623">
        <v>1</v>
      </c>
      <c r="AJ623">
        <v>0</v>
      </c>
      <c r="AK623" t="s">
        <v>419</v>
      </c>
      <c r="AL623">
        <v>33.719079000000001</v>
      </c>
      <c r="AM623" t="s">
        <v>420</v>
      </c>
      <c r="AN623">
        <v>-101.20663399999999</v>
      </c>
      <c r="AO623">
        <v>100</v>
      </c>
      <c r="AP623">
        <v>3100</v>
      </c>
      <c r="AQ623" t="s">
        <v>131</v>
      </c>
      <c r="AR623">
        <v>35</v>
      </c>
      <c r="AS623">
        <v>86</v>
      </c>
      <c r="AT623">
        <v>-64</v>
      </c>
      <c r="BB623" t="str">
        <f t="shared" si="53"/>
        <v>1200</v>
      </c>
      <c r="BC623">
        <v>1</v>
      </c>
      <c r="BD623" t="str">
        <f t="shared" si="54"/>
        <v xml:space="preserve">N445JS  </v>
      </c>
      <c r="BE623">
        <v>7</v>
      </c>
      <c r="BG623">
        <v>0</v>
      </c>
      <c r="BH623">
        <v>0</v>
      </c>
      <c r="BI623">
        <v>0</v>
      </c>
      <c r="BJ623">
        <v>2900</v>
      </c>
      <c r="BK623">
        <v>-200</v>
      </c>
      <c r="BL623" t="s">
        <v>132</v>
      </c>
      <c r="BM623">
        <v>1</v>
      </c>
      <c r="BN623">
        <v>1</v>
      </c>
      <c r="BO623">
        <v>1</v>
      </c>
      <c r="BP623">
        <v>0</v>
      </c>
      <c r="BT623">
        <v>0</v>
      </c>
      <c r="BU623">
        <v>0</v>
      </c>
      <c r="CE623" t="str">
        <f>"15:40:15.192"</f>
        <v>15:40:15.192</v>
      </c>
      <c r="CF623">
        <v>192109399</v>
      </c>
      <c r="CS623">
        <v>0</v>
      </c>
      <c r="CT623">
        <v>1</v>
      </c>
      <c r="CU623">
        <v>0</v>
      </c>
      <c r="CV623">
        <v>2</v>
      </c>
      <c r="CW623">
        <v>0</v>
      </c>
      <c r="CX623">
        <v>3</v>
      </c>
      <c r="CY623">
        <v>7</v>
      </c>
      <c r="CZ623" t="s">
        <v>133</v>
      </c>
      <c r="DA623">
        <v>125</v>
      </c>
      <c r="DB623">
        <v>1</v>
      </c>
      <c r="DC623" t="s">
        <v>134</v>
      </c>
      <c r="DD623" t="s">
        <v>135</v>
      </c>
      <c r="DG623">
        <v>2605123</v>
      </c>
      <c r="DI623">
        <v>0</v>
      </c>
      <c r="DJ623">
        <v>0</v>
      </c>
      <c r="DK623">
        <v>1</v>
      </c>
      <c r="DL623">
        <v>0</v>
      </c>
      <c r="DM623">
        <v>0</v>
      </c>
      <c r="DN623">
        <v>0</v>
      </c>
      <c r="DO623">
        <v>0</v>
      </c>
      <c r="DP623">
        <v>0</v>
      </c>
      <c r="DQ623">
        <v>0</v>
      </c>
      <c r="DR623">
        <v>0</v>
      </c>
      <c r="DS623">
        <v>0</v>
      </c>
    </row>
    <row r="624" spans="1:123" x14ac:dyDescent="0.25">
      <c r="A624" t="str">
        <f>"04/17/2026 15:40:15.443"</f>
        <v>04/17/2026 15:40:15.443</v>
      </c>
      <c r="C624" t="str">
        <f t="shared" si="50"/>
        <v>FFDFD3C0</v>
      </c>
      <c r="D624" t="s">
        <v>124</v>
      </c>
      <c r="E624" t="str">
        <f>"03"</f>
        <v>03</v>
      </c>
      <c r="H624">
        <v>160</v>
      </c>
      <c r="I624" t="s">
        <v>125</v>
      </c>
      <c r="J624" t="s">
        <v>126</v>
      </c>
      <c r="K624">
        <v>0</v>
      </c>
      <c r="L624">
        <v>3</v>
      </c>
      <c r="M624">
        <v>0</v>
      </c>
      <c r="N624">
        <v>2</v>
      </c>
      <c r="O624">
        <v>1</v>
      </c>
      <c r="P624">
        <v>0</v>
      </c>
      <c r="Q624">
        <v>0</v>
      </c>
      <c r="R624" t="s">
        <v>127</v>
      </c>
      <c r="S624" t="str">
        <f>"15:40:15.188"</f>
        <v>15:40:15.188</v>
      </c>
      <c r="T624" t="str">
        <f>"15:40:14.888"</f>
        <v>15:40:14.888</v>
      </c>
      <c r="U624" t="str">
        <f t="shared" si="52"/>
        <v>A55E09</v>
      </c>
      <c r="V624">
        <v>0</v>
      </c>
      <c r="W624">
        <v>0</v>
      </c>
      <c r="X624">
        <v>2</v>
      </c>
      <c r="Y624">
        <v>0</v>
      </c>
      <c r="AA624">
        <v>0</v>
      </c>
      <c r="AB624">
        <v>8</v>
      </c>
      <c r="AC624">
        <v>3</v>
      </c>
      <c r="AD624">
        <v>0</v>
      </c>
      <c r="AE624">
        <v>8</v>
      </c>
      <c r="AF624" t="s">
        <v>128</v>
      </c>
      <c r="AG624">
        <v>0</v>
      </c>
      <c r="AH624">
        <v>0</v>
      </c>
      <c r="AI624">
        <v>1</v>
      </c>
      <c r="AJ624">
        <v>0</v>
      </c>
      <c r="AK624" t="s">
        <v>419</v>
      </c>
      <c r="AL624">
        <v>33.719079000000001</v>
      </c>
      <c r="AM624" t="s">
        <v>420</v>
      </c>
      <c r="AN624">
        <v>-101.20663399999999</v>
      </c>
      <c r="AO624">
        <v>100</v>
      </c>
      <c r="AP624">
        <v>3100</v>
      </c>
      <c r="AQ624" t="s">
        <v>131</v>
      </c>
      <c r="AR624">
        <v>35</v>
      </c>
      <c r="AS624">
        <v>86</v>
      </c>
      <c r="AT624">
        <v>-64</v>
      </c>
      <c r="BB624" t="str">
        <f t="shared" si="53"/>
        <v>1200</v>
      </c>
      <c r="BC624">
        <v>1</v>
      </c>
      <c r="BD624" t="str">
        <f t="shared" si="54"/>
        <v xml:space="preserve">N445JS  </v>
      </c>
      <c r="BE624">
        <v>7</v>
      </c>
      <c r="BG624">
        <v>0</v>
      </c>
      <c r="BH624">
        <v>0</v>
      </c>
      <c r="BI624">
        <v>0</v>
      </c>
      <c r="BJ624">
        <v>2900</v>
      </c>
      <c r="BK624">
        <v>-200</v>
      </c>
      <c r="BL624" t="s">
        <v>132</v>
      </c>
      <c r="BM624">
        <v>1</v>
      </c>
      <c r="BN624">
        <v>1</v>
      </c>
      <c r="BO624">
        <v>1</v>
      </c>
      <c r="BP624">
        <v>0</v>
      </c>
      <c r="BT624">
        <v>0</v>
      </c>
      <c r="BU624">
        <v>0</v>
      </c>
      <c r="CE624" t="str">
        <f>"15:40:15.192"</f>
        <v>15:40:15.192</v>
      </c>
      <c r="CF624">
        <v>192109399</v>
      </c>
      <c r="CS624">
        <v>0</v>
      </c>
      <c r="CT624">
        <v>1</v>
      </c>
      <c r="CU624">
        <v>0</v>
      </c>
      <c r="CV624">
        <v>2</v>
      </c>
      <c r="CW624">
        <v>0</v>
      </c>
      <c r="CX624">
        <v>3</v>
      </c>
      <c r="CY624">
        <v>7</v>
      </c>
      <c r="CZ624" t="s">
        <v>133</v>
      </c>
      <c r="DA624">
        <v>125</v>
      </c>
      <c r="DB624">
        <v>1</v>
      </c>
      <c r="DC624" t="s">
        <v>134</v>
      </c>
      <c r="DD624" t="s">
        <v>135</v>
      </c>
      <c r="DG624">
        <v>2605123</v>
      </c>
      <c r="DI624">
        <v>0</v>
      </c>
      <c r="DJ624">
        <v>0</v>
      </c>
      <c r="DK624">
        <v>1</v>
      </c>
      <c r="DL624">
        <v>0</v>
      </c>
      <c r="DM624">
        <v>0</v>
      </c>
      <c r="DN624">
        <v>0</v>
      </c>
      <c r="DO624">
        <v>0</v>
      </c>
      <c r="DP624">
        <v>0</v>
      </c>
      <c r="DQ624">
        <v>0</v>
      </c>
      <c r="DR624">
        <v>0</v>
      </c>
      <c r="DS624">
        <v>0</v>
      </c>
    </row>
    <row r="625" spans="1:123" x14ac:dyDescent="0.25">
      <c r="A625" t="str">
        <f>"04/17/2026 15:40:15.459"</f>
        <v>04/17/2026 15:40:15.459</v>
      </c>
      <c r="C625" t="str">
        <f t="shared" si="50"/>
        <v>FFDFD3C0</v>
      </c>
      <c r="D625" t="s">
        <v>136</v>
      </c>
      <c r="E625" t="str">
        <f>"0E"</f>
        <v>0E</v>
      </c>
      <c r="F625">
        <v>1014</v>
      </c>
      <c r="G625" t="s">
        <v>125</v>
      </c>
      <c r="J625" t="s">
        <v>137</v>
      </c>
      <c r="K625">
        <v>0</v>
      </c>
      <c r="L625">
        <v>3</v>
      </c>
      <c r="M625">
        <v>0</v>
      </c>
      <c r="N625">
        <v>2</v>
      </c>
      <c r="O625">
        <v>1</v>
      </c>
      <c r="P625">
        <v>0</v>
      </c>
      <c r="Q625">
        <v>0</v>
      </c>
      <c r="R625" t="s">
        <v>127</v>
      </c>
      <c r="S625" t="str">
        <f>"15:40:15.188"</f>
        <v>15:40:15.188</v>
      </c>
      <c r="T625" t="str">
        <f>"15:40:14.888"</f>
        <v>15:40:14.888</v>
      </c>
      <c r="U625" t="str">
        <f t="shared" si="52"/>
        <v>A55E09</v>
      </c>
      <c r="V625">
        <v>0</v>
      </c>
      <c r="W625">
        <v>0</v>
      </c>
      <c r="X625">
        <v>2</v>
      </c>
      <c r="Y625">
        <v>0</v>
      </c>
      <c r="AA625">
        <v>0</v>
      </c>
      <c r="AB625">
        <v>8</v>
      </c>
      <c r="AC625">
        <v>3</v>
      </c>
      <c r="AD625">
        <v>0</v>
      </c>
      <c r="AE625">
        <v>8</v>
      </c>
      <c r="AF625" t="s">
        <v>128</v>
      </c>
      <c r="AG625">
        <v>0</v>
      </c>
      <c r="AH625">
        <v>0</v>
      </c>
      <c r="AI625">
        <v>1</v>
      </c>
      <c r="AJ625">
        <v>0</v>
      </c>
      <c r="AK625" t="s">
        <v>419</v>
      </c>
      <c r="AL625">
        <v>33.719079000000001</v>
      </c>
      <c r="AM625" t="s">
        <v>420</v>
      </c>
      <c r="AN625">
        <v>-101.20663399999999</v>
      </c>
      <c r="AO625">
        <v>100</v>
      </c>
      <c r="AP625">
        <v>3100</v>
      </c>
      <c r="AQ625" t="s">
        <v>131</v>
      </c>
      <c r="AR625">
        <v>35</v>
      </c>
      <c r="AS625">
        <v>86</v>
      </c>
      <c r="AT625">
        <v>-64</v>
      </c>
      <c r="BB625" t="str">
        <f t="shared" si="53"/>
        <v>1200</v>
      </c>
      <c r="BC625">
        <v>1</v>
      </c>
      <c r="BD625" t="str">
        <f t="shared" si="54"/>
        <v xml:space="preserve">N445JS  </v>
      </c>
      <c r="BE625">
        <v>7</v>
      </c>
      <c r="BG625">
        <v>0</v>
      </c>
      <c r="BH625">
        <v>0</v>
      </c>
      <c r="BI625">
        <v>0</v>
      </c>
      <c r="BJ625">
        <v>2900</v>
      </c>
      <c r="BK625">
        <v>-200</v>
      </c>
      <c r="BL625" t="s">
        <v>132</v>
      </c>
      <c r="BM625">
        <v>1</v>
      </c>
      <c r="BN625">
        <v>1</v>
      </c>
      <c r="BO625">
        <v>1</v>
      </c>
      <c r="BP625">
        <v>0</v>
      </c>
      <c r="BT625">
        <v>0</v>
      </c>
      <c r="BU625">
        <v>0</v>
      </c>
      <c r="CE625" t="str">
        <f>"15:40:15.192"</f>
        <v>15:40:15.192</v>
      </c>
      <c r="CF625">
        <v>192109399</v>
      </c>
      <c r="CS625">
        <v>0</v>
      </c>
      <c r="CT625">
        <v>1</v>
      </c>
      <c r="CU625">
        <v>0</v>
      </c>
      <c r="CV625">
        <v>2</v>
      </c>
      <c r="CW625">
        <v>0</v>
      </c>
      <c r="CX625">
        <v>3</v>
      </c>
      <c r="CY625">
        <v>7</v>
      </c>
      <c r="CZ625" t="s">
        <v>133</v>
      </c>
      <c r="DA625">
        <v>125</v>
      </c>
      <c r="DB625">
        <v>1</v>
      </c>
      <c r="DC625" t="s">
        <v>134</v>
      </c>
      <c r="DD625" t="s">
        <v>135</v>
      </c>
      <c r="DG625">
        <v>2605123</v>
      </c>
      <c r="DI625">
        <v>0</v>
      </c>
      <c r="DJ625">
        <v>0</v>
      </c>
      <c r="DK625">
        <v>1</v>
      </c>
      <c r="DL625">
        <v>0</v>
      </c>
      <c r="DM625">
        <v>0</v>
      </c>
      <c r="DN625">
        <v>0</v>
      </c>
      <c r="DO625">
        <v>0</v>
      </c>
      <c r="DP625">
        <v>0</v>
      </c>
      <c r="DQ625">
        <v>0</v>
      </c>
      <c r="DR625">
        <v>0</v>
      </c>
      <c r="DS625">
        <v>0</v>
      </c>
    </row>
    <row r="626" spans="1:123" x14ac:dyDescent="0.25">
      <c r="A626" t="str">
        <f>"04/17/2026 15:40:16.427"</f>
        <v>04/17/2026 15:40:16.427</v>
      </c>
      <c r="C626" t="str">
        <f t="shared" si="50"/>
        <v>FFDFD3C0</v>
      </c>
      <c r="D626" t="s">
        <v>136</v>
      </c>
      <c r="E626" t="str">
        <f>"0F"</f>
        <v>0F</v>
      </c>
      <c r="F626">
        <v>1015</v>
      </c>
      <c r="G626" t="s">
        <v>138</v>
      </c>
      <c r="J626" t="s">
        <v>137</v>
      </c>
      <c r="K626">
        <v>0</v>
      </c>
      <c r="L626">
        <v>3</v>
      </c>
      <c r="M626">
        <v>0</v>
      </c>
      <c r="N626">
        <v>2</v>
      </c>
      <c r="O626">
        <v>1</v>
      </c>
      <c r="P626">
        <v>0</v>
      </c>
      <c r="Q626">
        <v>0</v>
      </c>
      <c r="R626" t="s">
        <v>127</v>
      </c>
      <c r="S626" t="str">
        <f>"15:40:16.148"</f>
        <v>15:40:16.148</v>
      </c>
      <c r="T626" t="str">
        <f>"15:40:15.848"</f>
        <v>15:40:15.848</v>
      </c>
      <c r="U626" t="str">
        <f t="shared" si="52"/>
        <v>A55E09</v>
      </c>
      <c r="V626">
        <v>0</v>
      </c>
      <c r="W626">
        <v>0</v>
      </c>
      <c r="X626">
        <v>2</v>
      </c>
      <c r="Y626">
        <v>0</v>
      </c>
      <c r="AA626">
        <v>0</v>
      </c>
      <c r="AB626">
        <v>9</v>
      </c>
      <c r="AC626">
        <v>3</v>
      </c>
      <c r="AD626">
        <v>0</v>
      </c>
      <c r="AE626">
        <v>9</v>
      </c>
      <c r="AF626" t="s">
        <v>128</v>
      </c>
      <c r="AG626">
        <v>0</v>
      </c>
      <c r="AH626">
        <v>0</v>
      </c>
      <c r="AI626">
        <v>1</v>
      </c>
      <c r="AJ626">
        <v>0</v>
      </c>
      <c r="AK626" t="s">
        <v>421</v>
      </c>
      <c r="AL626">
        <v>33.719465999999997</v>
      </c>
      <c r="AM626" t="s">
        <v>269</v>
      </c>
      <c r="AN626">
        <v>-101.20639799999999</v>
      </c>
      <c r="AO626">
        <v>100</v>
      </c>
      <c r="AP626">
        <v>3100</v>
      </c>
      <c r="AQ626" t="s">
        <v>131</v>
      </c>
      <c r="AR626">
        <v>35</v>
      </c>
      <c r="AS626">
        <v>86</v>
      </c>
      <c r="AT626">
        <v>0</v>
      </c>
      <c r="BB626" t="str">
        <f t="shared" si="53"/>
        <v>1200</v>
      </c>
      <c r="BC626">
        <v>1</v>
      </c>
      <c r="BD626" t="str">
        <f t="shared" si="54"/>
        <v xml:space="preserve">N445JS  </v>
      </c>
      <c r="BE626">
        <v>7</v>
      </c>
      <c r="BG626">
        <v>0</v>
      </c>
      <c r="BH626">
        <v>0</v>
      </c>
      <c r="BI626">
        <v>0</v>
      </c>
      <c r="BJ626">
        <v>2900</v>
      </c>
      <c r="BK626">
        <v>-200</v>
      </c>
      <c r="BL626" t="s">
        <v>132</v>
      </c>
      <c r="BM626">
        <v>1</v>
      </c>
      <c r="BN626">
        <v>1</v>
      </c>
      <c r="BO626">
        <v>1</v>
      </c>
      <c r="BP626">
        <v>0</v>
      </c>
      <c r="BT626">
        <v>0</v>
      </c>
      <c r="BU626">
        <v>0</v>
      </c>
      <c r="CE626" t="str">
        <f>"15:40:16.152"</f>
        <v>15:40:16.152</v>
      </c>
      <c r="CF626">
        <v>152015418</v>
      </c>
      <c r="CS626">
        <v>0</v>
      </c>
      <c r="CT626">
        <v>2</v>
      </c>
      <c r="CU626">
        <v>0</v>
      </c>
      <c r="CV626">
        <v>2</v>
      </c>
      <c r="CW626">
        <v>0</v>
      </c>
      <c r="CX626">
        <v>3</v>
      </c>
      <c r="CY626">
        <v>7</v>
      </c>
      <c r="CZ626" t="s">
        <v>133</v>
      </c>
      <c r="DA626">
        <v>125</v>
      </c>
      <c r="DB626">
        <v>1</v>
      </c>
      <c r="DC626" t="s">
        <v>134</v>
      </c>
      <c r="DD626" t="s">
        <v>135</v>
      </c>
      <c r="DG626">
        <v>2606128</v>
      </c>
      <c r="DI626">
        <v>0</v>
      </c>
      <c r="DJ626">
        <v>0</v>
      </c>
      <c r="DK626">
        <v>0</v>
      </c>
      <c r="DL626">
        <v>0</v>
      </c>
      <c r="DM626">
        <v>0</v>
      </c>
      <c r="DN626">
        <v>0</v>
      </c>
      <c r="DO626">
        <v>0</v>
      </c>
      <c r="DP626">
        <v>0</v>
      </c>
      <c r="DQ626">
        <v>0</v>
      </c>
      <c r="DR626">
        <v>0</v>
      </c>
      <c r="DS626">
        <v>0</v>
      </c>
    </row>
    <row r="627" spans="1:123" x14ac:dyDescent="0.25">
      <c r="A627" t="str">
        <f>"04/17/2026 15:40:16.428"</f>
        <v>04/17/2026 15:40:16.428</v>
      </c>
      <c r="C627" t="str">
        <f t="shared" si="50"/>
        <v>FFDFD3C0</v>
      </c>
      <c r="D627" t="s">
        <v>139</v>
      </c>
      <c r="E627" t="str">
        <f>"28"</f>
        <v>28</v>
      </c>
      <c r="H627">
        <v>140</v>
      </c>
      <c r="I627" t="s">
        <v>140</v>
      </c>
      <c r="J627" t="s">
        <v>141</v>
      </c>
      <c r="K627">
        <v>0</v>
      </c>
      <c r="L627">
        <v>3</v>
      </c>
      <c r="M627">
        <v>0</v>
      </c>
      <c r="N627">
        <v>2</v>
      </c>
      <c r="O627">
        <v>1</v>
      </c>
      <c r="P627">
        <v>0</v>
      </c>
      <c r="Q627">
        <v>0</v>
      </c>
      <c r="R627" t="s">
        <v>127</v>
      </c>
      <c r="S627" t="str">
        <f>"15:40:16.148"</f>
        <v>15:40:16.148</v>
      </c>
      <c r="T627" t="str">
        <f>"15:40:15.848"</f>
        <v>15:40:15.848</v>
      </c>
      <c r="U627" t="str">
        <f t="shared" si="52"/>
        <v>A55E09</v>
      </c>
      <c r="V627">
        <v>0</v>
      </c>
      <c r="W627">
        <v>0</v>
      </c>
      <c r="X627">
        <v>2</v>
      </c>
      <c r="Y627">
        <v>0</v>
      </c>
      <c r="AA627">
        <v>0</v>
      </c>
      <c r="AB627">
        <v>9</v>
      </c>
      <c r="AC627">
        <v>3</v>
      </c>
      <c r="AD627">
        <v>0</v>
      </c>
      <c r="AE627">
        <v>9</v>
      </c>
      <c r="AF627" t="s">
        <v>128</v>
      </c>
      <c r="AG627">
        <v>0</v>
      </c>
      <c r="AH627">
        <v>0</v>
      </c>
      <c r="AI627">
        <v>1</v>
      </c>
      <c r="AJ627">
        <v>0</v>
      </c>
      <c r="AK627" t="s">
        <v>421</v>
      </c>
      <c r="AL627">
        <v>33.719465999999997</v>
      </c>
      <c r="AM627" t="s">
        <v>269</v>
      </c>
      <c r="AN627">
        <v>-101.20639799999999</v>
      </c>
      <c r="AO627">
        <v>100</v>
      </c>
      <c r="AP627">
        <v>3100</v>
      </c>
      <c r="AQ627" t="s">
        <v>131</v>
      </c>
      <c r="AR627">
        <v>35</v>
      </c>
      <c r="AS627">
        <v>86</v>
      </c>
      <c r="AT627">
        <v>0</v>
      </c>
      <c r="BB627" t="str">
        <f t="shared" si="53"/>
        <v>1200</v>
      </c>
      <c r="BC627">
        <v>1</v>
      </c>
      <c r="BD627" t="str">
        <f t="shared" si="54"/>
        <v xml:space="preserve">N445JS  </v>
      </c>
      <c r="BE627">
        <v>7</v>
      </c>
      <c r="BG627">
        <v>0</v>
      </c>
      <c r="BH627">
        <v>0</v>
      </c>
      <c r="BI627">
        <v>0</v>
      </c>
      <c r="BJ627">
        <v>2900</v>
      </c>
      <c r="BK627">
        <v>-200</v>
      </c>
      <c r="BL627" t="s">
        <v>132</v>
      </c>
      <c r="BM627">
        <v>1</v>
      </c>
      <c r="BN627">
        <v>1</v>
      </c>
      <c r="BO627">
        <v>1</v>
      </c>
      <c r="BP627">
        <v>0</v>
      </c>
      <c r="BT627">
        <v>0</v>
      </c>
      <c r="BU627">
        <v>0</v>
      </c>
      <c r="CE627" t="str">
        <f>"15:40:16.152"</f>
        <v>15:40:16.152</v>
      </c>
      <c r="CF627">
        <v>152015418</v>
      </c>
      <c r="CS627">
        <v>0</v>
      </c>
      <c r="CT627">
        <v>2</v>
      </c>
      <c r="CU627">
        <v>0</v>
      </c>
      <c r="CV627">
        <v>2</v>
      </c>
      <c r="CW627">
        <v>0</v>
      </c>
      <c r="CX627">
        <v>3</v>
      </c>
      <c r="CY627">
        <v>7</v>
      </c>
      <c r="CZ627" t="s">
        <v>133</v>
      </c>
      <c r="DA627">
        <v>125</v>
      </c>
      <c r="DB627">
        <v>1</v>
      </c>
      <c r="DC627" t="s">
        <v>134</v>
      </c>
      <c r="DD627" t="s">
        <v>135</v>
      </c>
      <c r="DG627">
        <v>2606128</v>
      </c>
      <c r="DI627">
        <v>0</v>
      </c>
      <c r="DJ627">
        <v>0</v>
      </c>
      <c r="DK627">
        <v>1</v>
      </c>
      <c r="DL627">
        <v>0</v>
      </c>
      <c r="DM627">
        <v>0</v>
      </c>
      <c r="DN627">
        <v>0</v>
      </c>
      <c r="DO627">
        <v>0</v>
      </c>
      <c r="DP627">
        <v>0</v>
      </c>
      <c r="DQ627">
        <v>0</v>
      </c>
      <c r="DR627">
        <v>0</v>
      </c>
      <c r="DS627">
        <v>0</v>
      </c>
    </row>
    <row r="628" spans="1:123" x14ac:dyDescent="0.25">
      <c r="A628" t="str">
        <f>"04/17/2026 15:40:16.444"</f>
        <v>04/17/2026 15:40:16.444</v>
      </c>
      <c r="C628" t="str">
        <f t="shared" si="50"/>
        <v>FFDFD3C0</v>
      </c>
      <c r="D628" t="s">
        <v>124</v>
      </c>
      <c r="E628" t="str">
        <f>"03"</f>
        <v>03</v>
      </c>
      <c r="H628">
        <v>160</v>
      </c>
      <c r="I628" t="s">
        <v>125</v>
      </c>
      <c r="J628" t="s">
        <v>126</v>
      </c>
      <c r="K628">
        <v>0</v>
      </c>
      <c r="L628">
        <v>3</v>
      </c>
      <c r="M628">
        <v>0</v>
      </c>
      <c r="N628">
        <v>2</v>
      </c>
      <c r="O628">
        <v>1</v>
      </c>
      <c r="P628">
        <v>0</v>
      </c>
      <c r="Q628">
        <v>0</v>
      </c>
      <c r="R628" t="s">
        <v>127</v>
      </c>
      <c r="S628" t="str">
        <f>"15:40:16.148"</f>
        <v>15:40:16.148</v>
      </c>
      <c r="T628" t="str">
        <f>"15:40:15.848"</f>
        <v>15:40:15.848</v>
      </c>
      <c r="U628" t="str">
        <f t="shared" si="52"/>
        <v>A55E09</v>
      </c>
      <c r="V628">
        <v>0</v>
      </c>
      <c r="W628">
        <v>0</v>
      </c>
      <c r="X628">
        <v>2</v>
      </c>
      <c r="Y628">
        <v>0</v>
      </c>
      <c r="AA628">
        <v>0</v>
      </c>
      <c r="AB628">
        <v>9</v>
      </c>
      <c r="AC628">
        <v>3</v>
      </c>
      <c r="AD628">
        <v>0</v>
      </c>
      <c r="AE628">
        <v>9</v>
      </c>
      <c r="AF628" t="s">
        <v>128</v>
      </c>
      <c r="AG628">
        <v>0</v>
      </c>
      <c r="AH628">
        <v>0</v>
      </c>
      <c r="AI628">
        <v>1</v>
      </c>
      <c r="AJ628">
        <v>0</v>
      </c>
      <c r="AK628" t="s">
        <v>421</v>
      </c>
      <c r="AL628">
        <v>33.719465999999997</v>
      </c>
      <c r="AM628" t="s">
        <v>269</v>
      </c>
      <c r="AN628">
        <v>-101.20639799999999</v>
      </c>
      <c r="AO628">
        <v>100</v>
      </c>
      <c r="AP628">
        <v>3100</v>
      </c>
      <c r="AQ628" t="s">
        <v>131</v>
      </c>
      <c r="AR628">
        <v>35</v>
      </c>
      <c r="AS628">
        <v>86</v>
      </c>
      <c r="AT628">
        <v>0</v>
      </c>
      <c r="BB628" t="str">
        <f t="shared" si="53"/>
        <v>1200</v>
      </c>
      <c r="BC628">
        <v>1</v>
      </c>
      <c r="BD628" t="str">
        <f t="shared" si="54"/>
        <v xml:space="preserve">N445JS  </v>
      </c>
      <c r="BE628">
        <v>7</v>
      </c>
      <c r="BG628">
        <v>0</v>
      </c>
      <c r="BH628">
        <v>0</v>
      </c>
      <c r="BI628">
        <v>0</v>
      </c>
      <c r="BJ628">
        <v>2900</v>
      </c>
      <c r="BK628">
        <v>-200</v>
      </c>
      <c r="BL628" t="s">
        <v>132</v>
      </c>
      <c r="BM628">
        <v>1</v>
      </c>
      <c r="BN628">
        <v>1</v>
      </c>
      <c r="BO628">
        <v>1</v>
      </c>
      <c r="BP628">
        <v>0</v>
      </c>
      <c r="BT628">
        <v>0</v>
      </c>
      <c r="BU628">
        <v>0</v>
      </c>
      <c r="CE628" t="str">
        <f>"15:40:16.152"</f>
        <v>15:40:16.152</v>
      </c>
      <c r="CF628">
        <v>152015418</v>
      </c>
      <c r="CS628">
        <v>0</v>
      </c>
      <c r="CT628">
        <v>2</v>
      </c>
      <c r="CU628">
        <v>0</v>
      </c>
      <c r="CV628">
        <v>2</v>
      </c>
      <c r="CW628">
        <v>0</v>
      </c>
      <c r="CX628">
        <v>3</v>
      </c>
      <c r="CY628">
        <v>7</v>
      </c>
      <c r="CZ628" t="s">
        <v>133</v>
      </c>
      <c r="DA628">
        <v>125</v>
      </c>
      <c r="DB628">
        <v>1</v>
      </c>
      <c r="DC628" t="s">
        <v>134</v>
      </c>
      <c r="DD628" t="s">
        <v>135</v>
      </c>
      <c r="DG628">
        <v>2606128</v>
      </c>
      <c r="DI628">
        <v>0</v>
      </c>
      <c r="DJ628">
        <v>0</v>
      </c>
      <c r="DK628">
        <v>1</v>
      </c>
      <c r="DL628">
        <v>0</v>
      </c>
      <c r="DM628">
        <v>0</v>
      </c>
      <c r="DN628">
        <v>0</v>
      </c>
      <c r="DO628">
        <v>0</v>
      </c>
      <c r="DP628">
        <v>0</v>
      </c>
      <c r="DQ628">
        <v>0</v>
      </c>
      <c r="DR628">
        <v>0</v>
      </c>
      <c r="DS628">
        <v>0</v>
      </c>
    </row>
    <row r="629" spans="1:123" x14ac:dyDescent="0.25">
      <c r="A629" t="str">
        <f>"04/17/2026 15:40:16.461"</f>
        <v>04/17/2026 15:40:16.461</v>
      </c>
      <c r="C629" t="str">
        <f t="shared" si="50"/>
        <v>FFDFD3C0</v>
      </c>
      <c r="D629" t="s">
        <v>136</v>
      </c>
      <c r="E629" t="str">
        <f>"0E"</f>
        <v>0E</v>
      </c>
      <c r="F629">
        <v>1014</v>
      </c>
      <c r="G629" t="s">
        <v>125</v>
      </c>
      <c r="J629" t="s">
        <v>137</v>
      </c>
      <c r="K629">
        <v>0</v>
      </c>
      <c r="L629">
        <v>3</v>
      </c>
      <c r="M629">
        <v>0</v>
      </c>
      <c r="N629">
        <v>2</v>
      </c>
      <c r="O629">
        <v>1</v>
      </c>
      <c r="P629">
        <v>0</v>
      </c>
      <c r="Q629">
        <v>0</v>
      </c>
      <c r="R629" t="s">
        <v>127</v>
      </c>
      <c r="S629" t="str">
        <f>"15:40:16.148"</f>
        <v>15:40:16.148</v>
      </c>
      <c r="T629" t="str">
        <f>"15:40:15.848"</f>
        <v>15:40:15.848</v>
      </c>
      <c r="U629" t="str">
        <f t="shared" si="52"/>
        <v>A55E09</v>
      </c>
      <c r="V629">
        <v>0</v>
      </c>
      <c r="W629">
        <v>0</v>
      </c>
      <c r="X629">
        <v>2</v>
      </c>
      <c r="Y629">
        <v>0</v>
      </c>
      <c r="AA629">
        <v>0</v>
      </c>
      <c r="AB629">
        <v>9</v>
      </c>
      <c r="AC629">
        <v>3</v>
      </c>
      <c r="AD629">
        <v>0</v>
      </c>
      <c r="AE629">
        <v>9</v>
      </c>
      <c r="AF629" t="s">
        <v>128</v>
      </c>
      <c r="AG629">
        <v>0</v>
      </c>
      <c r="AH629">
        <v>0</v>
      </c>
      <c r="AI629">
        <v>1</v>
      </c>
      <c r="AJ629">
        <v>0</v>
      </c>
      <c r="AK629" t="s">
        <v>421</v>
      </c>
      <c r="AL629">
        <v>33.719465999999997</v>
      </c>
      <c r="AM629" t="s">
        <v>269</v>
      </c>
      <c r="AN629">
        <v>-101.20639799999999</v>
      </c>
      <c r="AO629">
        <v>100</v>
      </c>
      <c r="AP629">
        <v>3100</v>
      </c>
      <c r="AQ629" t="s">
        <v>131</v>
      </c>
      <c r="AR629">
        <v>35</v>
      </c>
      <c r="AS629">
        <v>86</v>
      </c>
      <c r="AT629">
        <v>0</v>
      </c>
      <c r="BB629" t="str">
        <f t="shared" si="53"/>
        <v>1200</v>
      </c>
      <c r="BC629">
        <v>1</v>
      </c>
      <c r="BD629" t="str">
        <f t="shared" si="54"/>
        <v xml:space="preserve">N445JS  </v>
      </c>
      <c r="BE629">
        <v>7</v>
      </c>
      <c r="BG629">
        <v>0</v>
      </c>
      <c r="BH629">
        <v>0</v>
      </c>
      <c r="BI629">
        <v>0</v>
      </c>
      <c r="BJ629">
        <v>2900</v>
      </c>
      <c r="BK629">
        <v>-200</v>
      </c>
      <c r="BL629" t="s">
        <v>132</v>
      </c>
      <c r="BM629">
        <v>1</v>
      </c>
      <c r="BN629">
        <v>1</v>
      </c>
      <c r="BO629">
        <v>1</v>
      </c>
      <c r="BP629">
        <v>0</v>
      </c>
      <c r="BT629">
        <v>0</v>
      </c>
      <c r="BU629">
        <v>0</v>
      </c>
      <c r="CE629" t="str">
        <f>"15:40:16.152"</f>
        <v>15:40:16.152</v>
      </c>
      <c r="CF629">
        <v>152015418</v>
      </c>
      <c r="CS629">
        <v>0</v>
      </c>
      <c r="CT629">
        <v>2</v>
      </c>
      <c r="CU629">
        <v>0</v>
      </c>
      <c r="CV629">
        <v>2</v>
      </c>
      <c r="CW629">
        <v>0</v>
      </c>
      <c r="CX629">
        <v>3</v>
      </c>
      <c r="CY629">
        <v>7</v>
      </c>
      <c r="CZ629" t="s">
        <v>133</v>
      </c>
      <c r="DA629">
        <v>125</v>
      </c>
      <c r="DB629">
        <v>1</v>
      </c>
      <c r="DC629" t="s">
        <v>134</v>
      </c>
      <c r="DD629" t="s">
        <v>135</v>
      </c>
      <c r="DG629">
        <v>2606128</v>
      </c>
      <c r="DI629">
        <v>0</v>
      </c>
      <c r="DJ629">
        <v>0</v>
      </c>
      <c r="DK629">
        <v>1</v>
      </c>
      <c r="DL629">
        <v>0</v>
      </c>
      <c r="DM629">
        <v>0</v>
      </c>
      <c r="DN629">
        <v>0</v>
      </c>
      <c r="DO629">
        <v>0</v>
      </c>
      <c r="DP629">
        <v>0</v>
      </c>
      <c r="DQ629">
        <v>0</v>
      </c>
      <c r="DR629">
        <v>0</v>
      </c>
      <c r="DS629">
        <v>0</v>
      </c>
    </row>
    <row r="630" spans="1:123" x14ac:dyDescent="0.25">
      <c r="A630" t="str">
        <f>"04/17/2026 15:40:17.430"</f>
        <v>04/17/2026 15:40:17.430</v>
      </c>
      <c r="C630" t="str">
        <f t="shared" si="50"/>
        <v>FFDFD3C0</v>
      </c>
      <c r="D630" t="s">
        <v>139</v>
      </c>
      <c r="E630" t="str">
        <f>"28"</f>
        <v>28</v>
      </c>
      <c r="H630">
        <v>140</v>
      </c>
      <c r="I630" t="s">
        <v>140</v>
      </c>
      <c r="J630" t="s">
        <v>141</v>
      </c>
      <c r="K630">
        <v>0</v>
      </c>
      <c r="L630">
        <v>3</v>
      </c>
      <c r="M630">
        <v>0</v>
      </c>
      <c r="N630">
        <v>2</v>
      </c>
      <c r="O630">
        <v>1</v>
      </c>
      <c r="P630">
        <v>0</v>
      </c>
      <c r="Q630">
        <v>0</v>
      </c>
      <c r="R630" t="s">
        <v>127</v>
      </c>
      <c r="S630" t="str">
        <f>"15:40:17.195"</f>
        <v>15:40:17.195</v>
      </c>
      <c r="T630" t="str">
        <f>"15:40:16.695"</f>
        <v>15:40:16.695</v>
      </c>
      <c r="U630" t="str">
        <f t="shared" si="52"/>
        <v>A55E09</v>
      </c>
      <c r="V630">
        <v>0</v>
      </c>
      <c r="W630">
        <v>0</v>
      </c>
      <c r="X630">
        <v>2</v>
      </c>
      <c r="Y630">
        <v>0</v>
      </c>
      <c r="AA630">
        <v>0</v>
      </c>
      <c r="AB630">
        <v>9</v>
      </c>
      <c r="AC630">
        <v>3</v>
      </c>
      <c r="AD630">
        <v>0</v>
      </c>
      <c r="AE630">
        <v>9</v>
      </c>
      <c r="AF630" t="s">
        <v>128</v>
      </c>
      <c r="AG630">
        <v>0</v>
      </c>
      <c r="AH630">
        <v>0</v>
      </c>
      <c r="AI630">
        <v>1</v>
      </c>
      <c r="AJ630">
        <v>0</v>
      </c>
      <c r="AK630" t="s">
        <v>422</v>
      </c>
      <c r="AL630">
        <v>33.719873</v>
      </c>
      <c r="AM630" t="s">
        <v>423</v>
      </c>
      <c r="AN630">
        <v>-101.20616200000001</v>
      </c>
      <c r="AO630">
        <v>100</v>
      </c>
      <c r="AP630">
        <v>3100</v>
      </c>
      <c r="AQ630" t="s">
        <v>131</v>
      </c>
      <c r="AR630">
        <v>35</v>
      </c>
      <c r="AS630">
        <v>86</v>
      </c>
      <c r="AT630">
        <v>-64</v>
      </c>
      <c r="BB630" t="str">
        <f t="shared" si="53"/>
        <v>1200</v>
      </c>
      <c r="BC630">
        <v>1</v>
      </c>
      <c r="BD630" t="str">
        <f t="shared" si="54"/>
        <v xml:space="preserve">N445JS  </v>
      </c>
      <c r="BE630">
        <v>7</v>
      </c>
      <c r="BG630">
        <v>0</v>
      </c>
      <c r="BH630">
        <v>0</v>
      </c>
      <c r="BI630">
        <v>0</v>
      </c>
      <c r="BJ630">
        <v>2900</v>
      </c>
      <c r="BK630">
        <v>-200</v>
      </c>
      <c r="BL630" t="s">
        <v>132</v>
      </c>
      <c r="BM630">
        <v>1</v>
      </c>
      <c r="BN630">
        <v>1</v>
      </c>
      <c r="BO630">
        <v>1</v>
      </c>
      <c r="BP630">
        <v>0</v>
      </c>
      <c r="BT630">
        <v>0</v>
      </c>
      <c r="BU630">
        <v>0</v>
      </c>
      <c r="CE630" t="str">
        <f>"15:40:17.202"</f>
        <v>15:40:17.202</v>
      </c>
      <c r="CF630">
        <v>201912618</v>
      </c>
      <c r="CS630">
        <v>0</v>
      </c>
      <c r="CT630">
        <v>2</v>
      </c>
      <c r="CU630">
        <v>0</v>
      </c>
      <c r="CV630">
        <v>2</v>
      </c>
      <c r="CW630">
        <v>0</v>
      </c>
      <c r="CX630">
        <v>3</v>
      </c>
      <c r="CY630">
        <v>7</v>
      </c>
      <c r="CZ630" t="s">
        <v>133</v>
      </c>
      <c r="DA630">
        <v>125</v>
      </c>
      <c r="DB630">
        <v>1</v>
      </c>
      <c r="DC630" t="s">
        <v>134</v>
      </c>
      <c r="DD630" t="s">
        <v>135</v>
      </c>
      <c r="DG630">
        <v>2607154</v>
      </c>
      <c r="DI630">
        <v>0</v>
      </c>
      <c r="DJ630">
        <v>0</v>
      </c>
      <c r="DK630">
        <v>0</v>
      </c>
      <c r="DL630">
        <v>0</v>
      </c>
      <c r="DM630">
        <v>0</v>
      </c>
      <c r="DN630">
        <v>0</v>
      </c>
      <c r="DO630">
        <v>0</v>
      </c>
      <c r="DP630">
        <v>0</v>
      </c>
      <c r="DQ630">
        <v>0</v>
      </c>
      <c r="DR630">
        <v>0</v>
      </c>
      <c r="DS630">
        <v>0</v>
      </c>
    </row>
    <row r="631" spans="1:123" x14ac:dyDescent="0.25">
      <c r="A631" t="str">
        <f>"04/17/2026 15:40:17.429"</f>
        <v>04/17/2026 15:40:17.429</v>
      </c>
      <c r="C631" t="str">
        <f t="shared" si="50"/>
        <v>FFDFD3C0</v>
      </c>
      <c r="D631" t="s">
        <v>136</v>
      </c>
      <c r="E631" t="str">
        <f>"0F"</f>
        <v>0F</v>
      </c>
      <c r="F631">
        <v>1015</v>
      </c>
      <c r="G631" t="s">
        <v>138</v>
      </c>
      <c r="J631" t="s">
        <v>137</v>
      </c>
      <c r="K631">
        <v>0</v>
      </c>
      <c r="L631">
        <v>3</v>
      </c>
      <c r="M631">
        <v>0</v>
      </c>
      <c r="N631">
        <v>2</v>
      </c>
      <c r="O631">
        <v>1</v>
      </c>
      <c r="P631">
        <v>0</v>
      </c>
      <c r="Q631">
        <v>0</v>
      </c>
      <c r="R631" t="s">
        <v>127</v>
      </c>
      <c r="S631" t="str">
        <f>"15:40:17.195"</f>
        <v>15:40:17.195</v>
      </c>
      <c r="T631" t="str">
        <f>"15:40:16.695"</f>
        <v>15:40:16.695</v>
      </c>
      <c r="U631" t="str">
        <f t="shared" si="52"/>
        <v>A55E09</v>
      </c>
      <c r="V631">
        <v>0</v>
      </c>
      <c r="W631">
        <v>0</v>
      </c>
      <c r="X631">
        <v>2</v>
      </c>
      <c r="Y631">
        <v>0</v>
      </c>
      <c r="AA631">
        <v>0</v>
      </c>
      <c r="AB631">
        <v>9</v>
      </c>
      <c r="AC631">
        <v>3</v>
      </c>
      <c r="AD631">
        <v>0</v>
      </c>
      <c r="AE631">
        <v>9</v>
      </c>
      <c r="AF631" t="s">
        <v>128</v>
      </c>
      <c r="AG631">
        <v>0</v>
      </c>
      <c r="AH631">
        <v>0</v>
      </c>
      <c r="AI631">
        <v>1</v>
      </c>
      <c r="AJ631">
        <v>0</v>
      </c>
      <c r="AK631" t="s">
        <v>422</v>
      </c>
      <c r="AL631">
        <v>33.719873</v>
      </c>
      <c r="AM631" t="s">
        <v>423</v>
      </c>
      <c r="AN631">
        <v>-101.20616200000001</v>
      </c>
      <c r="AO631">
        <v>100</v>
      </c>
      <c r="AP631">
        <v>3100</v>
      </c>
      <c r="AQ631" t="s">
        <v>131</v>
      </c>
      <c r="AR631">
        <v>35</v>
      </c>
      <c r="AS631">
        <v>86</v>
      </c>
      <c r="AT631">
        <v>-64</v>
      </c>
      <c r="BB631" t="str">
        <f t="shared" si="53"/>
        <v>1200</v>
      </c>
      <c r="BC631">
        <v>1</v>
      </c>
      <c r="BD631" t="str">
        <f t="shared" si="54"/>
        <v xml:space="preserve">N445JS  </v>
      </c>
      <c r="BE631">
        <v>7</v>
      </c>
      <c r="BG631">
        <v>0</v>
      </c>
      <c r="BH631">
        <v>0</v>
      </c>
      <c r="BI631">
        <v>0</v>
      </c>
      <c r="BJ631">
        <v>2900</v>
      </c>
      <c r="BK631">
        <v>-200</v>
      </c>
      <c r="BL631" t="s">
        <v>132</v>
      </c>
      <c r="BM631">
        <v>1</v>
      </c>
      <c r="BN631">
        <v>1</v>
      </c>
      <c r="BO631">
        <v>1</v>
      </c>
      <c r="BP631">
        <v>0</v>
      </c>
      <c r="BT631">
        <v>0</v>
      </c>
      <c r="BU631">
        <v>0</v>
      </c>
      <c r="CE631" t="str">
        <f>"15:40:17.202"</f>
        <v>15:40:17.202</v>
      </c>
      <c r="CF631">
        <v>201912618</v>
      </c>
      <c r="CS631">
        <v>0</v>
      </c>
      <c r="CT631">
        <v>2</v>
      </c>
      <c r="CU631">
        <v>0</v>
      </c>
      <c r="CV631">
        <v>2</v>
      </c>
      <c r="CW631">
        <v>0</v>
      </c>
      <c r="CX631">
        <v>3</v>
      </c>
      <c r="CY631">
        <v>7</v>
      </c>
      <c r="CZ631" t="s">
        <v>133</v>
      </c>
      <c r="DA631">
        <v>125</v>
      </c>
      <c r="DB631">
        <v>1</v>
      </c>
      <c r="DC631" t="s">
        <v>134</v>
      </c>
      <c r="DD631" t="s">
        <v>135</v>
      </c>
      <c r="DG631">
        <v>2607154</v>
      </c>
      <c r="DI631">
        <v>0</v>
      </c>
      <c r="DJ631">
        <v>0</v>
      </c>
      <c r="DK631">
        <v>1</v>
      </c>
      <c r="DL631">
        <v>0</v>
      </c>
      <c r="DM631">
        <v>0</v>
      </c>
      <c r="DN631">
        <v>0</v>
      </c>
      <c r="DO631">
        <v>0</v>
      </c>
      <c r="DP631">
        <v>0</v>
      </c>
      <c r="DQ631">
        <v>0</v>
      </c>
      <c r="DR631">
        <v>0</v>
      </c>
      <c r="DS631">
        <v>0</v>
      </c>
    </row>
    <row r="632" spans="1:123" x14ac:dyDescent="0.25">
      <c r="A632" t="str">
        <f>"04/17/2026 15:40:17.446"</f>
        <v>04/17/2026 15:40:17.446</v>
      </c>
      <c r="C632" t="str">
        <f t="shared" si="50"/>
        <v>FFDFD3C0</v>
      </c>
      <c r="D632" t="s">
        <v>124</v>
      </c>
      <c r="E632" t="str">
        <f>"03"</f>
        <v>03</v>
      </c>
      <c r="H632">
        <v>160</v>
      </c>
      <c r="I632" t="s">
        <v>125</v>
      </c>
      <c r="J632" t="s">
        <v>126</v>
      </c>
      <c r="K632">
        <v>0</v>
      </c>
      <c r="L632">
        <v>3</v>
      </c>
      <c r="M632">
        <v>0</v>
      </c>
      <c r="N632">
        <v>2</v>
      </c>
      <c r="O632">
        <v>1</v>
      </c>
      <c r="P632">
        <v>0</v>
      </c>
      <c r="Q632">
        <v>0</v>
      </c>
      <c r="R632" t="s">
        <v>127</v>
      </c>
      <c r="S632" t="str">
        <f>"15:40:17.195"</f>
        <v>15:40:17.195</v>
      </c>
      <c r="T632" t="str">
        <f>"15:40:16.695"</f>
        <v>15:40:16.695</v>
      </c>
      <c r="U632" t="str">
        <f t="shared" si="52"/>
        <v>A55E09</v>
      </c>
      <c r="V632">
        <v>0</v>
      </c>
      <c r="W632">
        <v>0</v>
      </c>
      <c r="X632">
        <v>2</v>
      </c>
      <c r="Y632">
        <v>0</v>
      </c>
      <c r="AA632">
        <v>0</v>
      </c>
      <c r="AB632">
        <v>9</v>
      </c>
      <c r="AC632">
        <v>3</v>
      </c>
      <c r="AD632">
        <v>0</v>
      </c>
      <c r="AE632">
        <v>9</v>
      </c>
      <c r="AF632" t="s">
        <v>128</v>
      </c>
      <c r="AG632">
        <v>0</v>
      </c>
      <c r="AH632">
        <v>0</v>
      </c>
      <c r="AI632">
        <v>1</v>
      </c>
      <c r="AJ632">
        <v>0</v>
      </c>
      <c r="AK632" t="s">
        <v>422</v>
      </c>
      <c r="AL632">
        <v>33.719873</v>
      </c>
      <c r="AM632" t="s">
        <v>423</v>
      </c>
      <c r="AN632">
        <v>-101.20616200000001</v>
      </c>
      <c r="AO632">
        <v>100</v>
      </c>
      <c r="AP632">
        <v>3100</v>
      </c>
      <c r="AQ632" t="s">
        <v>131</v>
      </c>
      <c r="AR632">
        <v>35</v>
      </c>
      <c r="AS632">
        <v>86</v>
      </c>
      <c r="AT632">
        <v>-64</v>
      </c>
      <c r="BB632" t="str">
        <f t="shared" si="53"/>
        <v>1200</v>
      </c>
      <c r="BC632">
        <v>1</v>
      </c>
      <c r="BD632" t="str">
        <f t="shared" si="54"/>
        <v xml:space="preserve">N445JS  </v>
      </c>
      <c r="BE632">
        <v>7</v>
      </c>
      <c r="BG632">
        <v>0</v>
      </c>
      <c r="BH632">
        <v>0</v>
      </c>
      <c r="BI632">
        <v>0</v>
      </c>
      <c r="BJ632">
        <v>2900</v>
      </c>
      <c r="BK632">
        <v>-200</v>
      </c>
      <c r="BL632" t="s">
        <v>132</v>
      </c>
      <c r="BM632">
        <v>1</v>
      </c>
      <c r="BN632">
        <v>1</v>
      </c>
      <c r="BO632">
        <v>1</v>
      </c>
      <c r="BP632">
        <v>0</v>
      </c>
      <c r="BT632">
        <v>0</v>
      </c>
      <c r="BU632">
        <v>0</v>
      </c>
      <c r="CE632" t="str">
        <f>"15:40:17.202"</f>
        <v>15:40:17.202</v>
      </c>
      <c r="CF632">
        <v>201912618</v>
      </c>
      <c r="CS632">
        <v>0</v>
      </c>
      <c r="CT632">
        <v>2</v>
      </c>
      <c r="CU632">
        <v>0</v>
      </c>
      <c r="CV632">
        <v>2</v>
      </c>
      <c r="CW632">
        <v>0</v>
      </c>
      <c r="CX632">
        <v>3</v>
      </c>
      <c r="CY632">
        <v>7</v>
      </c>
      <c r="CZ632" t="s">
        <v>133</v>
      </c>
      <c r="DA632">
        <v>125</v>
      </c>
      <c r="DB632">
        <v>1</v>
      </c>
      <c r="DC632" t="s">
        <v>134</v>
      </c>
      <c r="DD632" t="s">
        <v>135</v>
      </c>
      <c r="DG632">
        <v>2607154</v>
      </c>
      <c r="DI632">
        <v>0</v>
      </c>
      <c r="DJ632">
        <v>0</v>
      </c>
      <c r="DK632">
        <v>1</v>
      </c>
      <c r="DL632">
        <v>0</v>
      </c>
      <c r="DM632">
        <v>0</v>
      </c>
      <c r="DN632">
        <v>0</v>
      </c>
      <c r="DO632">
        <v>0</v>
      </c>
      <c r="DP632">
        <v>0</v>
      </c>
      <c r="DQ632">
        <v>0</v>
      </c>
      <c r="DR632">
        <v>0</v>
      </c>
      <c r="DS632">
        <v>0</v>
      </c>
    </row>
    <row r="633" spans="1:123" x14ac:dyDescent="0.25">
      <c r="A633" t="str">
        <f>"04/17/2026 15:40:17.463"</f>
        <v>04/17/2026 15:40:17.463</v>
      </c>
      <c r="C633" t="str">
        <f t="shared" si="50"/>
        <v>FFDFD3C0</v>
      </c>
      <c r="D633" t="s">
        <v>136</v>
      </c>
      <c r="E633" t="str">
        <f>"0E"</f>
        <v>0E</v>
      </c>
      <c r="F633">
        <v>1014</v>
      </c>
      <c r="G633" t="s">
        <v>125</v>
      </c>
      <c r="J633" t="s">
        <v>137</v>
      </c>
      <c r="K633">
        <v>0</v>
      </c>
      <c r="L633">
        <v>3</v>
      </c>
      <c r="M633">
        <v>0</v>
      </c>
      <c r="N633">
        <v>2</v>
      </c>
      <c r="O633">
        <v>1</v>
      </c>
      <c r="P633">
        <v>0</v>
      </c>
      <c r="Q633">
        <v>0</v>
      </c>
      <c r="R633" t="s">
        <v>127</v>
      </c>
      <c r="S633" t="str">
        <f>"15:40:17.195"</f>
        <v>15:40:17.195</v>
      </c>
      <c r="T633" t="str">
        <f>"15:40:16.695"</f>
        <v>15:40:16.695</v>
      </c>
      <c r="U633" t="str">
        <f t="shared" si="52"/>
        <v>A55E09</v>
      </c>
      <c r="V633">
        <v>0</v>
      </c>
      <c r="W633">
        <v>0</v>
      </c>
      <c r="X633">
        <v>2</v>
      </c>
      <c r="Y633">
        <v>0</v>
      </c>
      <c r="AA633">
        <v>0</v>
      </c>
      <c r="AB633">
        <v>9</v>
      </c>
      <c r="AC633">
        <v>3</v>
      </c>
      <c r="AD633">
        <v>0</v>
      </c>
      <c r="AE633">
        <v>9</v>
      </c>
      <c r="AF633" t="s">
        <v>128</v>
      </c>
      <c r="AG633">
        <v>0</v>
      </c>
      <c r="AH633">
        <v>0</v>
      </c>
      <c r="AI633">
        <v>1</v>
      </c>
      <c r="AJ633">
        <v>0</v>
      </c>
      <c r="AK633" t="s">
        <v>422</v>
      </c>
      <c r="AL633">
        <v>33.719873</v>
      </c>
      <c r="AM633" t="s">
        <v>423</v>
      </c>
      <c r="AN633">
        <v>-101.20616200000001</v>
      </c>
      <c r="AO633">
        <v>100</v>
      </c>
      <c r="AP633">
        <v>3100</v>
      </c>
      <c r="AQ633" t="s">
        <v>131</v>
      </c>
      <c r="AR633">
        <v>35</v>
      </c>
      <c r="AS633">
        <v>86</v>
      </c>
      <c r="AT633">
        <v>-64</v>
      </c>
      <c r="BB633" t="str">
        <f t="shared" si="53"/>
        <v>1200</v>
      </c>
      <c r="BC633">
        <v>1</v>
      </c>
      <c r="BD633" t="str">
        <f t="shared" si="54"/>
        <v xml:space="preserve">N445JS  </v>
      </c>
      <c r="BE633">
        <v>7</v>
      </c>
      <c r="BG633">
        <v>0</v>
      </c>
      <c r="BH633">
        <v>0</v>
      </c>
      <c r="BI633">
        <v>0</v>
      </c>
      <c r="BJ633">
        <v>2900</v>
      </c>
      <c r="BK633">
        <v>-200</v>
      </c>
      <c r="BL633" t="s">
        <v>132</v>
      </c>
      <c r="BM633">
        <v>1</v>
      </c>
      <c r="BN633">
        <v>1</v>
      </c>
      <c r="BO633">
        <v>1</v>
      </c>
      <c r="BP633">
        <v>0</v>
      </c>
      <c r="BT633">
        <v>0</v>
      </c>
      <c r="BU633">
        <v>0</v>
      </c>
      <c r="CE633" t="str">
        <f>"15:40:17.202"</f>
        <v>15:40:17.202</v>
      </c>
      <c r="CF633">
        <v>201912618</v>
      </c>
      <c r="CS633">
        <v>0</v>
      </c>
      <c r="CT633">
        <v>2</v>
      </c>
      <c r="CU633">
        <v>0</v>
      </c>
      <c r="CV633">
        <v>2</v>
      </c>
      <c r="CW633">
        <v>0</v>
      </c>
      <c r="CX633">
        <v>3</v>
      </c>
      <c r="CY633">
        <v>7</v>
      </c>
      <c r="CZ633" t="s">
        <v>133</v>
      </c>
      <c r="DA633">
        <v>125</v>
      </c>
      <c r="DB633">
        <v>1</v>
      </c>
      <c r="DC633" t="s">
        <v>134</v>
      </c>
      <c r="DD633" t="s">
        <v>135</v>
      </c>
      <c r="DG633">
        <v>2607154</v>
      </c>
      <c r="DI633">
        <v>0</v>
      </c>
      <c r="DJ633">
        <v>0</v>
      </c>
      <c r="DK633">
        <v>1</v>
      </c>
      <c r="DL633">
        <v>0</v>
      </c>
      <c r="DM633">
        <v>0</v>
      </c>
      <c r="DN633">
        <v>0</v>
      </c>
      <c r="DO633">
        <v>0</v>
      </c>
      <c r="DP633">
        <v>0</v>
      </c>
      <c r="DQ633">
        <v>0</v>
      </c>
      <c r="DR633">
        <v>0</v>
      </c>
      <c r="DS633">
        <v>0</v>
      </c>
    </row>
    <row r="634" spans="1:123" x14ac:dyDescent="0.25">
      <c r="A634" t="str">
        <f>"04/17/2026 15:40:18.815"</f>
        <v>04/17/2026 15:40:18.815</v>
      </c>
      <c r="C634" t="str">
        <f t="shared" si="50"/>
        <v>FFDFD3C0</v>
      </c>
      <c r="D634" t="s">
        <v>136</v>
      </c>
      <c r="E634" t="str">
        <f>"0E"</f>
        <v>0E</v>
      </c>
      <c r="F634">
        <v>1014</v>
      </c>
      <c r="G634" t="s">
        <v>125</v>
      </c>
      <c r="J634" t="s">
        <v>137</v>
      </c>
      <c r="K634">
        <v>0</v>
      </c>
      <c r="L634">
        <v>3</v>
      </c>
      <c r="M634">
        <v>0</v>
      </c>
      <c r="N634">
        <v>2</v>
      </c>
      <c r="O634">
        <v>1</v>
      </c>
      <c r="P634">
        <v>0</v>
      </c>
      <c r="Q634">
        <v>0</v>
      </c>
      <c r="R634" t="s">
        <v>127</v>
      </c>
      <c r="S634" t="str">
        <f>"15:40:18.578"</f>
        <v>15:40:18.578</v>
      </c>
      <c r="T634" t="str">
        <f>"15:40:18.278"</f>
        <v>15:40:18.278</v>
      </c>
      <c r="U634" t="str">
        <f t="shared" si="52"/>
        <v>A55E09</v>
      </c>
      <c r="V634">
        <v>0</v>
      </c>
      <c r="W634">
        <v>0</v>
      </c>
      <c r="X634">
        <v>2</v>
      </c>
      <c r="Y634">
        <v>0</v>
      </c>
      <c r="AA634">
        <v>0</v>
      </c>
      <c r="AB634">
        <v>9</v>
      </c>
      <c r="AC634">
        <v>3</v>
      </c>
      <c r="AD634">
        <v>0</v>
      </c>
      <c r="AE634">
        <v>9</v>
      </c>
      <c r="AF634" t="s">
        <v>128</v>
      </c>
      <c r="AG634">
        <v>0</v>
      </c>
      <c r="AH634">
        <v>0</v>
      </c>
      <c r="AI634">
        <v>1</v>
      </c>
      <c r="AJ634">
        <v>0</v>
      </c>
      <c r="AK634" t="s">
        <v>424</v>
      </c>
      <c r="AL634">
        <v>33.720430999999998</v>
      </c>
      <c r="AM634" t="s">
        <v>425</v>
      </c>
      <c r="AN634">
        <v>-101.205883</v>
      </c>
      <c r="AO634">
        <v>100</v>
      </c>
      <c r="AP634">
        <v>3100</v>
      </c>
      <c r="AQ634" t="s">
        <v>131</v>
      </c>
      <c r="AR634">
        <v>36</v>
      </c>
      <c r="AS634">
        <v>86</v>
      </c>
      <c r="AT634">
        <v>0</v>
      </c>
      <c r="BB634" t="str">
        <f t="shared" si="53"/>
        <v>1200</v>
      </c>
      <c r="BC634">
        <v>1</v>
      </c>
      <c r="BD634" t="str">
        <f t="shared" si="54"/>
        <v xml:space="preserve">N445JS  </v>
      </c>
      <c r="BE634">
        <v>7</v>
      </c>
      <c r="BG634">
        <v>0</v>
      </c>
      <c r="BH634">
        <v>0</v>
      </c>
      <c r="BI634">
        <v>0</v>
      </c>
      <c r="BJ634">
        <v>2900</v>
      </c>
      <c r="BK634">
        <v>-200</v>
      </c>
      <c r="BL634" t="s">
        <v>132</v>
      </c>
      <c r="BM634">
        <v>1</v>
      </c>
      <c r="BN634">
        <v>1</v>
      </c>
      <c r="BO634">
        <v>1</v>
      </c>
      <c r="BP634">
        <v>0</v>
      </c>
      <c r="BT634">
        <v>0</v>
      </c>
      <c r="BU634">
        <v>0</v>
      </c>
      <c r="CE634" t="str">
        <f>"15:40:18.582"</f>
        <v>15:40:18.582</v>
      </c>
      <c r="CF634">
        <v>581777519</v>
      </c>
      <c r="CS634">
        <v>0</v>
      </c>
      <c r="CT634">
        <v>2</v>
      </c>
      <c r="CU634">
        <v>0</v>
      </c>
      <c r="CV634">
        <v>2</v>
      </c>
      <c r="CW634">
        <v>0</v>
      </c>
      <c r="CX634">
        <v>3</v>
      </c>
      <c r="CY634">
        <v>7</v>
      </c>
      <c r="CZ634" t="s">
        <v>133</v>
      </c>
      <c r="DA634">
        <v>125</v>
      </c>
      <c r="DB634">
        <v>1</v>
      </c>
      <c r="DC634" t="s">
        <v>134</v>
      </c>
      <c r="DD634" t="s">
        <v>135</v>
      </c>
      <c r="DG634">
        <v>2608542</v>
      </c>
      <c r="DI634">
        <v>0</v>
      </c>
      <c r="DJ634">
        <v>0</v>
      </c>
      <c r="DK634">
        <v>0</v>
      </c>
      <c r="DL634">
        <v>0</v>
      </c>
      <c r="DM634">
        <v>0</v>
      </c>
      <c r="DN634">
        <v>0</v>
      </c>
      <c r="DO634">
        <v>0</v>
      </c>
      <c r="DP634">
        <v>0</v>
      </c>
      <c r="DQ634">
        <v>0</v>
      </c>
      <c r="DR634">
        <v>0</v>
      </c>
      <c r="DS634">
        <v>0</v>
      </c>
    </row>
    <row r="635" spans="1:123" x14ac:dyDescent="0.25">
      <c r="A635" t="str">
        <f>"04/17/2026 15:40:18.831"</f>
        <v>04/17/2026 15:40:18.831</v>
      </c>
      <c r="C635" t="str">
        <f t="shared" si="50"/>
        <v>FFDFD3C0</v>
      </c>
      <c r="D635" t="s">
        <v>136</v>
      </c>
      <c r="E635" t="str">
        <f>"0F"</f>
        <v>0F</v>
      </c>
      <c r="F635">
        <v>1015</v>
      </c>
      <c r="G635" t="s">
        <v>138</v>
      </c>
      <c r="J635" t="s">
        <v>137</v>
      </c>
      <c r="K635">
        <v>0</v>
      </c>
      <c r="L635">
        <v>3</v>
      </c>
      <c r="M635">
        <v>0</v>
      </c>
      <c r="N635">
        <v>2</v>
      </c>
      <c r="O635">
        <v>1</v>
      </c>
      <c r="P635">
        <v>0</v>
      </c>
      <c r="Q635">
        <v>0</v>
      </c>
      <c r="R635" t="s">
        <v>127</v>
      </c>
      <c r="S635" t="str">
        <f>"15:40:18.578"</f>
        <v>15:40:18.578</v>
      </c>
      <c r="T635" t="str">
        <f>"15:40:18.278"</f>
        <v>15:40:18.278</v>
      </c>
      <c r="U635" t="str">
        <f t="shared" si="52"/>
        <v>A55E09</v>
      </c>
      <c r="V635">
        <v>0</v>
      </c>
      <c r="W635">
        <v>0</v>
      </c>
      <c r="X635">
        <v>2</v>
      </c>
      <c r="Y635">
        <v>0</v>
      </c>
      <c r="AA635">
        <v>0</v>
      </c>
      <c r="AB635">
        <v>9</v>
      </c>
      <c r="AC635">
        <v>3</v>
      </c>
      <c r="AD635">
        <v>0</v>
      </c>
      <c r="AE635">
        <v>9</v>
      </c>
      <c r="AF635" t="s">
        <v>128</v>
      </c>
      <c r="AG635">
        <v>0</v>
      </c>
      <c r="AH635">
        <v>0</v>
      </c>
      <c r="AI635">
        <v>1</v>
      </c>
      <c r="AJ635">
        <v>0</v>
      </c>
      <c r="AK635" t="s">
        <v>424</v>
      </c>
      <c r="AL635">
        <v>33.720430999999998</v>
      </c>
      <c r="AM635" t="s">
        <v>425</v>
      </c>
      <c r="AN635">
        <v>-101.205883</v>
      </c>
      <c r="AO635">
        <v>100</v>
      </c>
      <c r="AP635">
        <v>3100</v>
      </c>
      <c r="AQ635" t="s">
        <v>131</v>
      </c>
      <c r="AR635">
        <v>36</v>
      </c>
      <c r="AS635">
        <v>86</v>
      </c>
      <c r="AT635">
        <v>0</v>
      </c>
      <c r="BB635" t="str">
        <f t="shared" si="53"/>
        <v>1200</v>
      </c>
      <c r="BC635">
        <v>1</v>
      </c>
      <c r="BD635" t="str">
        <f t="shared" si="54"/>
        <v xml:space="preserve">N445JS  </v>
      </c>
      <c r="BE635">
        <v>7</v>
      </c>
      <c r="BG635">
        <v>0</v>
      </c>
      <c r="BH635">
        <v>0</v>
      </c>
      <c r="BI635">
        <v>0</v>
      </c>
      <c r="BJ635">
        <v>2900</v>
      </c>
      <c r="BK635">
        <v>-200</v>
      </c>
      <c r="BL635" t="s">
        <v>132</v>
      </c>
      <c r="BM635">
        <v>1</v>
      </c>
      <c r="BN635">
        <v>1</v>
      </c>
      <c r="BO635">
        <v>1</v>
      </c>
      <c r="BP635">
        <v>0</v>
      </c>
      <c r="BT635">
        <v>0</v>
      </c>
      <c r="BU635">
        <v>0</v>
      </c>
      <c r="CE635" t="str">
        <f>"15:40:18.582"</f>
        <v>15:40:18.582</v>
      </c>
      <c r="CF635">
        <v>581777519</v>
      </c>
      <c r="CS635">
        <v>0</v>
      </c>
      <c r="CT635">
        <v>2</v>
      </c>
      <c r="CU635">
        <v>0</v>
      </c>
      <c r="CV635">
        <v>2</v>
      </c>
      <c r="CW635">
        <v>0</v>
      </c>
      <c r="CX635">
        <v>3</v>
      </c>
      <c r="CY635">
        <v>7</v>
      </c>
      <c r="CZ635" t="s">
        <v>133</v>
      </c>
      <c r="DA635">
        <v>125</v>
      </c>
      <c r="DB635">
        <v>1</v>
      </c>
      <c r="DC635" t="s">
        <v>134</v>
      </c>
      <c r="DD635" t="s">
        <v>135</v>
      </c>
      <c r="DG635">
        <v>2608542</v>
      </c>
      <c r="DI635">
        <v>0</v>
      </c>
      <c r="DJ635">
        <v>0</v>
      </c>
      <c r="DK635">
        <v>1</v>
      </c>
      <c r="DL635">
        <v>0</v>
      </c>
      <c r="DM635">
        <v>0</v>
      </c>
      <c r="DN635">
        <v>0</v>
      </c>
      <c r="DO635">
        <v>0</v>
      </c>
      <c r="DP635">
        <v>0</v>
      </c>
      <c r="DQ635">
        <v>0</v>
      </c>
      <c r="DR635">
        <v>0</v>
      </c>
      <c r="DS635">
        <v>0</v>
      </c>
    </row>
    <row r="636" spans="1:123" x14ac:dyDescent="0.25">
      <c r="A636" t="str">
        <f>"04/17/2026 15:40:18.833"</f>
        <v>04/17/2026 15:40:18.833</v>
      </c>
      <c r="C636" t="str">
        <f t="shared" si="50"/>
        <v>FFDFD3C0</v>
      </c>
      <c r="D636" t="s">
        <v>139</v>
      </c>
      <c r="E636" t="str">
        <f>"28"</f>
        <v>28</v>
      </c>
      <c r="H636">
        <v>140</v>
      </c>
      <c r="I636" t="s">
        <v>140</v>
      </c>
      <c r="J636" t="s">
        <v>141</v>
      </c>
      <c r="K636">
        <v>0</v>
      </c>
      <c r="L636">
        <v>3</v>
      </c>
      <c r="M636">
        <v>0</v>
      </c>
      <c r="N636">
        <v>2</v>
      </c>
      <c r="O636">
        <v>1</v>
      </c>
      <c r="P636">
        <v>0</v>
      </c>
      <c r="Q636">
        <v>0</v>
      </c>
      <c r="R636" t="s">
        <v>127</v>
      </c>
      <c r="S636" t="str">
        <f>"15:40:18.578"</f>
        <v>15:40:18.578</v>
      </c>
      <c r="T636" t="str">
        <f>"15:40:18.278"</f>
        <v>15:40:18.278</v>
      </c>
      <c r="U636" t="str">
        <f t="shared" si="52"/>
        <v>A55E09</v>
      </c>
      <c r="V636">
        <v>0</v>
      </c>
      <c r="W636">
        <v>0</v>
      </c>
      <c r="X636">
        <v>2</v>
      </c>
      <c r="Y636">
        <v>0</v>
      </c>
      <c r="AA636">
        <v>0</v>
      </c>
      <c r="AB636">
        <v>9</v>
      </c>
      <c r="AC636">
        <v>3</v>
      </c>
      <c r="AD636">
        <v>0</v>
      </c>
      <c r="AE636">
        <v>9</v>
      </c>
      <c r="AF636" t="s">
        <v>128</v>
      </c>
      <c r="AG636">
        <v>0</v>
      </c>
      <c r="AH636">
        <v>0</v>
      </c>
      <c r="AI636">
        <v>1</v>
      </c>
      <c r="AJ636">
        <v>0</v>
      </c>
      <c r="AK636" t="s">
        <v>424</v>
      </c>
      <c r="AL636">
        <v>33.720430999999998</v>
      </c>
      <c r="AM636" t="s">
        <v>425</v>
      </c>
      <c r="AN636">
        <v>-101.205883</v>
      </c>
      <c r="AO636">
        <v>100</v>
      </c>
      <c r="AP636">
        <v>3100</v>
      </c>
      <c r="AQ636" t="s">
        <v>131</v>
      </c>
      <c r="AR636">
        <v>36</v>
      </c>
      <c r="AS636">
        <v>86</v>
      </c>
      <c r="AT636">
        <v>0</v>
      </c>
      <c r="BB636" t="str">
        <f t="shared" si="53"/>
        <v>1200</v>
      </c>
      <c r="BC636">
        <v>1</v>
      </c>
      <c r="BD636" t="str">
        <f t="shared" si="54"/>
        <v xml:space="preserve">N445JS  </v>
      </c>
      <c r="BE636">
        <v>7</v>
      </c>
      <c r="BG636">
        <v>0</v>
      </c>
      <c r="BH636">
        <v>0</v>
      </c>
      <c r="BI636">
        <v>0</v>
      </c>
      <c r="BJ636">
        <v>2900</v>
      </c>
      <c r="BK636">
        <v>-200</v>
      </c>
      <c r="BL636" t="s">
        <v>132</v>
      </c>
      <c r="BM636">
        <v>1</v>
      </c>
      <c r="BN636">
        <v>1</v>
      </c>
      <c r="BO636">
        <v>1</v>
      </c>
      <c r="BP636">
        <v>0</v>
      </c>
      <c r="BT636">
        <v>0</v>
      </c>
      <c r="BU636">
        <v>0</v>
      </c>
      <c r="CE636" t="str">
        <f>"15:40:18.582"</f>
        <v>15:40:18.582</v>
      </c>
      <c r="CF636">
        <v>581777519</v>
      </c>
      <c r="CS636">
        <v>0</v>
      </c>
      <c r="CT636">
        <v>2</v>
      </c>
      <c r="CU636">
        <v>0</v>
      </c>
      <c r="CV636">
        <v>2</v>
      </c>
      <c r="CW636">
        <v>0</v>
      </c>
      <c r="CX636">
        <v>3</v>
      </c>
      <c r="CY636">
        <v>7</v>
      </c>
      <c r="CZ636" t="s">
        <v>133</v>
      </c>
      <c r="DA636">
        <v>125</v>
      </c>
      <c r="DB636">
        <v>1</v>
      </c>
      <c r="DC636" t="s">
        <v>134</v>
      </c>
      <c r="DD636" t="s">
        <v>135</v>
      </c>
      <c r="DG636">
        <v>2608542</v>
      </c>
      <c r="DI636">
        <v>0</v>
      </c>
      <c r="DJ636">
        <v>0</v>
      </c>
      <c r="DK636">
        <v>1</v>
      </c>
      <c r="DL636">
        <v>0</v>
      </c>
      <c r="DM636">
        <v>0</v>
      </c>
      <c r="DN636">
        <v>0</v>
      </c>
      <c r="DO636">
        <v>0</v>
      </c>
      <c r="DP636">
        <v>0</v>
      </c>
      <c r="DQ636">
        <v>0</v>
      </c>
      <c r="DR636">
        <v>0</v>
      </c>
      <c r="DS636">
        <v>0</v>
      </c>
    </row>
    <row r="637" spans="1:123" x14ac:dyDescent="0.25">
      <c r="A637" t="str">
        <f>"04/17/2026 15:40:18.849"</f>
        <v>04/17/2026 15:40:18.849</v>
      </c>
      <c r="C637" t="str">
        <f t="shared" si="50"/>
        <v>FFDFD3C0</v>
      </c>
      <c r="D637" t="s">
        <v>124</v>
      </c>
      <c r="E637" t="str">
        <f>"03"</f>
        <v>03</v>
      </c>
      <c r="H637">
        <v>160</v>
      </c>
      <c r="I637" t="s">
        <v>125</v>
      </c>
      <c r="J637" t="s">
        <v>126</v>
      </c>
      <c r="K637">
        <v>0</v>
      </c>
      <c r="L637">
        <v>3</v>
      </c>
      <c r="M637">
        <v>0</v>
      </c>
      <c r="N637">
        <v>2</v>
      </c>
      <c r="O637">
        <v>1</v>
      </c>
      <c r="P637">
        <v>0</v>
      </c>
      <c r="Q637">
        <v>0</v>
      </c>
      <c r="R637" t="s">
        <v>127</v>
      </c>
      <c r="S637" t="str">
        <f>"15:40:18.578"</f>
        <v>15:40:18.578</v>
      </c>
      <c r="T637" t="str">
        <f>"15:40:18.278"</f>
        <v>15:40:18.278</v>
      </c>
      <c r="U637" t="str">
        <f t="shared" si="52"/>
        <v>A55E09</v>
      </c>
      <c r="V637">
        <v>0</v>
      </c>
      <c r="W637">
        <v>0</v>
      </c>
      <c r="X637">
        <v>2</v>
      </c>
      <c r="Y637">
        <v>0</v>
      </c>
      <c r="AA637">
        <v>0</v>
      </c>
      <c r="AB637">
        <v>9</v>
      </c>
      <c r="AC637">
        <v>3</v>
      </c>
      <c r="AD637">
        <v>0</v>
      </c>
      <c r="AE637">
        <v>9</v>
      </c>
      <c r="AF637" t="s">
        <v>128</v>
      </c>
      <c r="AG637">
        <v>0</v>
      </c>
      <c r="AH637">
        <v>0</v>
      </c>
      <c r="AI637">
        <v>1</v>
      </c>
      <c r="AJ637">
        <v>0</v>
      </c>
      <c r="AK637" t="s">
        <v>424</v>
      </c>
      <c r="AL637">
        <v>33.720430999999998</v>
      </c>
      <c r="AM637" t="s">
        <v>425</v>
      </c>
      <c r="AN637">
        <v>-101.205883</v>
      </c>
      <c r="AO637">
        <v>100</v>
      </c>
      <c r="AP637">
        <v>3100</v>
      </c>
      <c r="AQ637" t="s">
        <v>131</v>
      </c>
      <c r="AR637">
        <v>36</v>
      </c>
      <c r="AS637">
        <v>86</v>
      </c>
      <c r="AT637">
        <v>0</v>
      </c>
      <c r="BB637" t="str">
        <f t="shared" si="53"/>
        <v>1200</v>
      </c>
      <c r="BC637">
        <v>1</v>
      </c>
      <c r="BD637" t="str">
        <f t="shared" si="54"/>
        <v xml:space="preserve">N445JS  </v>
      </c>
      <c r="BE637">
        <v>7</v>
      </c>
      <c r="BG637">
        <v>0</v>
      </c>
      <c r="BH637">
        <v>0</v>
      </c>
      <c r="BI637">
        <v>0</v>
      </c>
      <c r="BJ637">
        <v>2900</v>
      </c>
      <c r="BK637">
        <v>-200</v>
      </c>
      <c r="BL637" t="s">
        <v>132</v>
      </c>
      <c r="BM637">
        <v>1</v>
      </c>
      <c r="BN637">
        <v>1</v>
      </c>
      <c r="BO637">
        <v>1</v>
      </c>
      <c r="BP637">
        <v>0</v>
      </c>
      <c r="BT637">
        <v>0</v>
      </c>
      <c r="BU637">
        <v>0</v>
      </c>
      <c r="CE637" t="str">
        <f>"15:40:18.582"</f>
        <v>15:40:18.582</v>
      </c>
      <c r="CF637">
        <v>581777519</v>
      </c>
      <c r="CS637">
        <v>0</v>
      </c>
      <c r="CT637">
        <v>2</v>
      </c>
      <c r="CU637">
        <v>0</v>
      </c>
      <c r="CV637">
        <v>2</v>
      </c>
      <c r="CW637">
        <v>0</v>
      </c>
      <c r="CX637">
        <v>3</v>
      </c>
      <c r="CY637">
        <v>7</v>
      </c>
      <c r="CZ637" t="s">
        <v>133</v>
      </c>
      <c r="DA637">
        <v>125</v>
      </c>
      <c r="DB637">
        <v>1</v>
      </c>
      <c r="DC637" t="s">
        <v>134</v>
      </c>
      <c r="DD637" t="s">
        <v>135</v>
      </c>
      <c r="DG637">
        <v>2608542</v>
      </c>
      <c r="DI637">
        <v>0</v>
      </c>
      <c r="DJ637">
        <v>0</v>
      </c>
      <c r="DK637">
        <v>1</v>
      </c>
      <c r="DL637">
        <v>0</v>
      </c>
      <c r="DM637">
        <v>0</v>
      </c>
      <c r="DN637">
        <v>0</v>
      </c>
      <c r="DO637">
        <v>0</v>
      </c>
      <c r="DP637">
        <v>0</v>
      </c>
      <c r="DQ637">
        <v>0</v>
      </c>
      <c r="DR637">
        <v>0</v>
      </c>
      <c r="DS637">
        <v>0</v>
      </c>
    </row>
    <row r="638" spans="1:123" x14ac:dyDescent="0.25">
      <c r="A638" t="str">
        <f>"04/17/2026 15:40:21.003"</f>
        <v>04/17/2026 15:40:21.003</v>
      </c>
      <c r="C638" t="str">
        <f t="shared" si="50"/>
        <v>FFDFD3C0</v>
      </c>
      <c r="D638" t="s">
        <v>124</v>
      </c>
      <c r="E638" t="str">
        <f>"03"</f>
        <v>03</v>
      </c>
      <c r="H638">
        <v>160</v>
      </c>
      <c r="I638" t="s">
        <v>125</v>
      </c>
      <c r="J638" t="s">
        <v>126</v>
      </c>
      <c r="K638">
        <v>0</v>
      </c>
      <c r="L638">
        <v>3</v>
      </c>
      <c r="M638">
        <v>0</v>
      </c>
      <c r="N638">
        <v>2</v>
      </c>
      <c r="O638">
        <v>1</v>
      </c>
      <c r="P638">
        <v>0</v>
      </c>
      <c r="Q638">
        <v>0</v>
      </c>
      <c r="R638" t="s">
        <v>127</v>
      </c>
      <c r="S638" t="str">
        <f>"15:40:20.734"</f>
        <v>15:40:20.734</v>
      </c>
      <c r="T638" t="str">
        <f>"15:40:18.834"</f>
        <v>15:40:18.834</v>
      </c>
      <c r="U638" t="str">
        <f t="shared" si="52"/>
        <v>A55E09</v>
      </c>
      <c r="V638">
        <v>0</v>
      </c>
      <c r="W638">
        <v>0</v>
      </c>
      <c r="X638">
        <v>2</v>
      </c>
      <c r="Y638">
        <v>0</v>
      </c>
      <c r="AA638">
        <v>0</v>
      </c>
      <c r="AB638">
        <v>9</v>
      </c>
      <c r="AC638">
        <v>3</v>
      </c>
      <c r="AD638">
        <v>0</v>
      </c>
      <c r="AE638">
        <v>9</v>
      </c>
      <c r="AF638" t="s">
        <v>128</v>
      </c>
      <c r="AG638">
        <v>0</v>
      </c>
      <c r="AH638">
        <v>0</v>
      </c>
      <c r="AI638">
        <v>1</v>
      </c>
      <c r="AJ638">
        <v>0</v>
      </c>
      <c r="AK638" t="s">
        <v>426</v>
      </c>
      <c r="AL638">
        <v>33.721290000000003</v>
      </c>
      <c r="AM638" t="s">
        <v>255</v>
      </c>
      <c r="AN638">
        <v>-101.20549699999999</v>
      </c>
      <c r="AO638">
        <v>100</v>
      </c>
      <c r="AP638">
        <v>3100</v>
      </c>
      <c r="AQ638" t="s">
        <v>131</v>
      </c>
      <c r="AR638">
        <v>36</v>
      </c>
      <c r="AS638">
        <v>86</v>
      </c>
      <c r="AT638">
        <v>0</v>
      </c>
      <c r="BB638" t="str">
        <f t="shared" si="53"/>
        <v>1200</v>
      </c>
      <c r="BC638">
        <v>1</v>
      </c>
      <c r="BD638" t="str">
        <f t="shared" si="54"/>
        <v xml:space="preserve">N445JS  </v>
      </c>
      <c r="BE638">
        <v>7</v>
      </c>
      <c r="BG638">
        <v>0</v>
      </c>
      <c r="BH638">
        <v>0</v>
      </c>
      <c r="BI638">
        <v>0</v>
      </c>
      <c r="BJ638">
        <v>2900</v>
      </c>
      <c r="BK638">
        <v>-200</v>
      </c>
      <c r="BL638" t="s">
        <v>132</v>
      </c>
      <c r="BM638">
        <v>1</v>
      </c>
      <c r="BN638">
        <v>1</v>
      </c>
      <c r="BO638">
        <v>1</v>
      </c>
      <c r="BP638">
        <v>0</v>
      </c>
      <c r="BT638">
        <v>0</v>
      </c>
      <c r="BU638">
        <v>0</v>
      </c>
      <c r="CE638" t="str">
        <f>"15:40:20.742"</f>
        <v>15:40:20.742</v>
      </c>
      <c r="CF638">
        <v>741566090</v>
      </c>
      <c r="CS638">
        <v>0</v>
      </c>
      <c r="CT638">
        <v>2</v>
      </c>
      <c r="CU638">
        <v>0</v>
      </c>
      <c r="CV638">
        <v>2</v>
      </c>
      <c r="CW638">
        <v>0</v>
      </c>
      <c r="CX638">
        <v>4</v>
      </c>
      <c r="CY638">
        <v>7</v>
      </c>
      <c r="CZ638" t="s">
        <v>133</v>
      </c>
      <c r="DA638">
        <v>125</v>
      </c>
      <c r="DB638">
        <v>1</v>
      </c>
      <c r="DC638" t="s">
        <v>134</v>
      </c>
      <c r="DD638" t="s">
        <v>135</v>
      </c>
      <c r="DG638">
        <v>2610870</v>
      </c>
      <c r="DI638">
        <v>0</v>
      </c>
      <c r="DJ638">
        <v>0</v>
      </c>
      <c r="DK638">
        <v>0</v>
      </c>
      <c r="DL638">
        <v>0</v>
      </c>
      <c r="DM638">
        <v>0</v>
      </c>
      <c r="DN638">
        <v>0</v>
      </c>
      <c r="DO638">
        <v>0</v>
      </c>
      <c r="DP638">
        <v>0</v>
      </c>
      <c r="DQ638">
        <v>0</v>
      </c>
      <c r="DR638">
        <v>0</v>
      </c>
      <c r="DS638">
        <v>0</v>
      </c>
    </row>
    <row r="639" spans="1:123" x14ac:dyDescent="0.25">
      <c r="A639" t="str">
        <f>"04/17/2026 15:40:21.018"</f>
        <v>04/17/2026 15:40:21.018</v>
      </c>
      <c r="C639" t="str">
        <f t="shared" si="50"/>
        <v>FFDFD3C0</v>
      </c>
      <c r="D639" t="s">
        <v>136</v>
      </c>
      <c r="E639" t="str">
        <f>"0E"</f>
        <v>0E</v>
      </c>
      <c r="F639">
        <v>1014</v>
      </c>
      <c r="G639" t="s">
        <v>125</v>
      </c>
      <c r="J639" t="s">
        <v>137</v>
      </c>
      <c r="K639">
        <v>0</v>
      </c>
      <c r="L639">
        <v>3</v>
      </c>
      <c r="M639">
        <v>0</v>
      </c>
      <c r="N639">
        <v>2</v>
      </c>
      <c r="O639">
        <v>1</v>
      </c>
      <c r="P639">
        <v>0</v>
      </c>
      <c r="Q639">
        <v>0</v>
      </c>
      <c r="R639" t="s">
        <v>127</v>
      </c>
      <c r="S639" t="str">
        <f>"15:40:20.734"</f>
        <v>15:40:20.734</v>
      </c>
      <c r="T639" t="str">
        <f>"15:40:18.834"</f>
        <v>15:40:18.834</v>
      </c>
      <c r="U639" t="str">
        <f t="shared" si="52"/>
        <v>A55E09</v>
      </c>
      <c r="V639">
        <v>0</v>
      </c>
      <c r="W639">
        <v>0</v>
      </c>
      <c r="X639">
        <v>2</v>
      </c>
      <c r="Y639">
        <v>0</v>
      </c>
      <c r="AA639">
        <v>0</v>
      </c>
      <c r="AB639">
        <v>9</v>
      </c>
      <c r="AC639">
        <v>3</v>
      </c>
      <c r="AD639">
        <v>0</v>
      </c>
      <c r="AE639">
        <v>9</v>
      </c>
      <c r="AF639" t="s">
        <v>128</v>
      </c>
      <c r="AG639">
        <v>0</v>
      </c>
      <c r="AH639">
        <v>0</v>
      </c>
      <c r="AI639">
        <v>1</v>
      </c>
      <c r="AJ639">
        <v>0</v>
      </c>
      <c r="AK639" t="s">
        <v>426</v>
      </c>
      <c r="AL639">
        <v>33.721290000000003</v>
      </c>
      <c r="AM639" t="s">
        <v>255</v>
      </c>
      <c r="AN639">
        <v>-101.20549699999999</v>
      </c>
      <c r="AO639">
        <v>100</v>
      </c>
      <c r="AP639">
        <v>3100</v>
      </c>
      <c r="AQ639" t="s">
        <v>131</v>
      </c>
      <c r="AR639">
        <v>36</v>
      </c>
      <c r="AS639">
        <v>86</v>
      </c>
      <c r="AT639">
        <v>0</v>
      </c>
      <c r="BB639" t="str">
        <f t="shared" si="53"/>
        <v>1200</v>
      </c>
      <c r="BC639">
        <v>1</v>
      </c>
      <c r="BD639" t="str">
        <f t="shared" si="54"/>
        <v xml:space="preserve">N445JS  </v>
      </c>
      <c r="BE639">
        <v>7</v>
      </c>
      <c r="BG639">
        <v>0</v>
      </c>
      <c r="BH639">
        <v>0</v>
      </c>
      <c r="BI639">
        <v>0</v>
      </c>
      <c r="BJ639">
        <v>2900</v>
      </c>
      <c r="BK639">
        <v>-200</v>
      </c>
      <c r="BL639" t="s">
        <v>132</v>
      </c>
      <c r="BM639">
        <v>1</v>
      </c>
      <c r="BN639">
        <v>1</v>
      </c>
      <c r="BO639">
        <v>1</v>
      </c>
      <c r="BP639">
        <v>0</v>
      </c>
      <c r="BT639">
        <v>0</v>
      </c>
      <c r="BU639">
        <v>0</v>
      </c>
      <c r="CE639" t="str">
        <f>"15:40:20.742"</f>
        <v>15:40:20.742</v>
      </c>
      <c r="CF639">
        <v>741566090</v>
      </c>
      <c r="CS639">
        <v>0</v>
      </c>
      <c r="CT639">
        <v>2</v>
      </c>
      <c r="CU639">
        <v>0</v>
      </c>
      <c r="CV639">
        <v>2</v>
      </c>
      <c r="CW639">
        <v>0</v>
      </c>
      <c r="CX639">
        <v>4</v>
      </c>
      <c r="CY639">
        <v>7</v>
      </c>
      <c r="CZ639" t="s">
        <v>133</v>
      </c>
      <c r="DA639">
        <v>125</v>
      </c>
      <c r="DB639">
        <v>1</v>
      </c>
      <c r="DC639" t="s">
        <v>134</v>
      </c>
      <c r="DD639" t="s">
        <v>135</v>
      </c>
      <c r="DG639">
        <v>2610870</v>
      </c>
      <c r="DI639">
        <v>0</v>
      </c>
      <c r="DJ639">
        <v>0</v>
      </c>
      <c r="DK639">
        <v>1</v>
      </c>
      <c r="DL639">
        <v>0</v>
      </c>
      <c r="DM639">
        <v>0</v>
      </c>
      <c r="DN639">
        <v>0</v>
      </c>
      <c r="DO639">
        <v>0</v>
      </c>
      <c r="DP639">
        <v>0</v>
      </c>
      <c r="DQ639">
        <v>0</v>
      </c>
      <c r="DR639">
        <v>0</v>
      </c>
      <c r="DS639">
        <v>0</v>
      </c>
    </row>
    <row r="640" spans="1:123" x14ac:dyDescent="0.25">
      <c r="A640" t="str">
        <f>"04/17/2026 15:40:21.037"</f>
        <v>04/17/2026 15:40:21.037</v>
      </c>
      <c r="C640" t="str">
        <f t="shared" si="50"/>
        <v>FFDFD3C0</v>
      </c>
      <c r="D640" t="s">
        <v>139</v>
      </c>
      <c r="E640" t="str">
        <f>"28"</f>
        <v>28</v>
      </c>
      <c r="H640">
        <v>140</v>
      </c>
      <c r="I640" t="s">
        <v>140</v>
      </c>
      <c r="J640" t="s">
        <v>141</v>
      </c>
      <c r="K640">
        <v>0</v>
      </c>
      <c r="L640">
        <v>3</v>
      </c>
      <c r="M640">
        <v>0</v>
      </c>
      <c r="N640">
        <v>2</v>
      </c>
      <c r="O640">
        <v>1</v>
      </c>
      <c r="P640">
        <v>0</v>
      </c>
      <c r="Q640">
        <v>0</v>
      </c>
      <c r="R640" t="s">
        <v>127</v>
      </c>
      <c r="S640" t="str">
        <f>"15:40:20.734"</f>
        <v>15:40:20.734</v>
      </c>
      <c r="T640" t="str">
        <f>"15:40:18.834"</f>
        <v>15:40:18.834</v>
      </c>
      <c r="U640" t="str">
        <f t="shared" si="52"/>
        <v>A55E09</v>
      </c>
      <c r="V640">
        <v>0</v>
      </c>
      <c r="W640">
        <v>0</v>
      </c>
      <c r="X640">
        <v>2</v>
      </c>
      <c r="Y640">
        <v>0</v>
      </c>
      <c r="AA640">
        <v>0</v>
      </c>
      <c r="AB640">
        <v>9</v>
      </c>
      <c r="AC640">
        <v>3</v>
      </c>
      <c r="AD640">
        <v>0</v>
      </c>
      <c r="AE640">
        <v>9</v>
      </c>
      <c r="AF640" t="s">
        <v>128</v>
      </c>
      <c r="AG640">
        <v>0</v>
      </c>
      <c r="AH640">
        <v>0</v>
      </c>
      <c r="AI640">
        <v>1</v>
      </c>
      <c r="AJ640">
        <v>0</v>
      </c>
      <c r="AK640" t="s">
        <v>426</v>
      </c>
      <c r="AL640">
        <v>33.721290000000003</v>
      </c>
      <c r="AM640" t="s">
        <v>255</v>
      </c>
      <c r="AN640">
        <v>-101.20549699999999</v>
      </c>
      <c r="AO640">
        <v>100</v>
      </c>
      <c r="AP640">
        <v>3100</v>
      </c>
      <c r="AQ640" t="s">
        <v>131</v>
      </c>
      <c r="AR640">
        <v>36</v>
      </c>
      <c r="AS640">
        <v>86</v>
      </c>
      <c r="AT640">
        <v>0</v>
      </c>
      <c r="BB640" t="str">
        <f t="shared" si="53"/>
        <v>1200</v>
      </c>
      <c r="BC640">
        <v>1</v>
      </c>
      <c r="BD640" t="str">
        <f t="shared" si="54"/>
        <v xml:space="preserve">N445JS  </v>
      </c>
      <c r="BE640">
        <v>7</v>
      </c>
      <c r="BG640">
        <v>0</v>
      </c>
      <c r="BH640">
        <v>0</v>
      </c>
      <c r="BI640">
        <v>0</v>
      </c>
      <c r="BJ640">
        <v>2900</v>
      </c>
      <c r="BK640">
        <v>-200</v>
      </c>
      <c r="BL640" t="s">
        <v>132</v>
      </c>
      <c r="BM640">
        <v>1</v>
      </c>
      <c r="BN640">
        <v>1</v>
      </c>
      <c r="BO640">
        <v>1</v>
      </c>
      <c r="BP640">
        <v>0</v>
      </c>
      <c r="BT640">
        <v>0</v>
      </c>
      <c r="BU640">
        <v>0</v>
      </c>
      <c r="CE640" t="str">
        <f>"15:40:20.742"</f>
        <v>15:40:20.742</v>
      </c>
      <c r="CF640">
        <v>741566090</v>
      </c>
      <c r="CS640">
        <v>0</v>
      </c>
      <c r="CT640">
        <v>2</v>
      </c>
      <c r="CU640">
        <v>0</v>
      </c>
      <c r="CV640">
        <v>2</v>
      </c>
      <c r="CW640">
        <v>0</v>
      </c>
      <c r="CX640">
        <v>4</v>
      </c>
      <c r="CY640">
        <v>7</v>
      </c>
      <c r="CZ640" t="s">
        <v>133</v>
      </c>
      <c r="DA640">
        <v>125</v>
      </c>
      <c r="DB640">
        <v>1</v>
      </c>
      <c r="DC640" t="s">
        <v>134</v>
      </c>
      <c r="DD640" t="s">
        <v>135</v>
      </c>
      <c r="DG640">
        <v>2610870</v>
      </c>
      <c r="DI640">
        <v>0</v>
      </c>
      <c r="DJ640">
        <v>0</v>
      </c>
      <c r="DK640">
        <v>1</v>
      </c>
      <c r="DL640">
        <v>0</v>
      </c>
      <c r="DM640">
        <v>0</v>
      </c>
      <c r="DN640">
        <v>0</v>
      </c>
      <c r="DO640">
        <v>0</v>
      </c>
      <c r="DP640">
        <v>0</v>
      </c>
      <c r="DQ640">
        <v>0</v>
      </c>
      <c r="DR640">
        <v>0</v>
      </c>
      <c r="DS640">
        <v>0</v>
      </c>
    </row>
    <row r="641" spans="1:123" x14ac:dyDescent="0.25">
      <c r="A641" t="str">
        <f>"04/17/2026 15:40:21.035"</f>
        <v>04/17/2026 15:40:21.035</v>
      </c>
      <c r="C641" t="str">
        <f t="shared" si="50"/>
        <v>FFDFD3C0</v>
      </c>
      <c r="D641" t="s">
        <v>136</v>
      </c>
      <c r="E641" t="str">
        <f>"0F"</f>
        <v>0F</v>
      </c>
      <c r="F641">
        <v>1015</v>
      </c>
      <c r="G641" t="s">
        <v>138</v>
      </c>
      <c r="J641" t="s">
        <v>137</v>
      </c>
      <c r="K641">
        <v>0</v>
      </c>
      <c r="L641">
        <v>3</v>
      </c>
      <c r="M641">
        <v>0</v>
      </c>
      <c r="N641">
        <v>2</v>
      </c>
      <c r="O641">
        <v>1</v>
      </c>
      <c r="P641">
        <v>0</v>
      </c>
      <c r="Q641">
        <v>0</v>
      </c>
      <c r="R641" t="s">
        <v>127</v>
      </c>
      <c r="S641" t="str">
        <f>"15:40:20.734"</f>
        <v>15:40:20.734</v>
      </c>
      <c r="T641" t="str">
        <f>"15:40:18.834"</f>
        <v>15:40:18.834</v>
      </c>
      <c r="U641" t="str">
        <f t="shared" si="52"/>
        <v>A55E09</v>
      </c>
      <c r="V641">
        <v>0</v>
      </c>
      <c r="W641">
        <v>0</v>
      </c>
      <c r="X641">
        <v>2</v>
      </c>
      <c r="Y641">
        <v>0</v>
      </c>
      <c r="AA641">
        <v>0</v>
      </c>
      <c r="AB641">
        <v>9</v>
      </c>
      <c r="AC641">
        <v>3</v>
      </c>
      <c r="AD641">
        <v>0</v>
      </c>
      <c r="AE641">
        <v>9</v>
      </c>
      <c r="AF641" t="s">
        <v>128</v>
      </c>
      <c r="AG641">
        <v>0</v>
      </c>
      <c r="AH641">
        <v>0</v>
      </c>
      <c r="AI641">
        <v>1</v>
      </c>
      <c r="AJ641">
        <v>0</v>
      </c>
      <c r="AK641" t="s">
        <v>426</v>
      </c>
      <c r="AL641">
        <v>33.721290000000003</v>
      </c>
      <c r="AM641" t="s">
        <v>255</v>
      </c>
      <c r="AN641">
        <v>-101.20549699999999</v>
      </c>
      <c r="AO641">
        <v>100</v>
      </c>
      <c r="AP641">
        <v>3100</v>
      </c>
      <c r="AQ641" t="s">
        <v>131</v>
      </c>
      <c r="AR641">
        <v>36</v>
      </c>
      <c r="AS641">
        <v>86</v>
      </c>
      <c r="AT641">
        <v>0</v>
      </c>
      <c r="BB641" t="str">
        <f t="shared" si="53"/>
        <v>1200</v>
      </c>
      <c r="BC641">
        <v>1</v>
      </c>
      <c r="BD641" t="str">
        <f t="shared" si="54"/>
        <v xml:space="preserve">N445JS  </v>
      </c>
      <c r="BE641">
        <v>7</v>
      </c>
      <c r="BG641">
        <v>0</v>
      </c>
      <c r="BH641">
        <v>0</v>
      </c>
      <c r="BI641">
        <v>0</v>
      </c>
      <c r="BJ641">
        <v>2900</v>
      </c>
      <c r="BK641">
        <v>-200</v>
      </c>
      <c r="BL641" t="s">
        <v>132</v>
      </c>
      <c r="BM641">
        <v>1</v>
      </c>
      <c r="BN641">
        <v>1</v>
      </c>
      <c r="BO641">
        <v>1</v>
      </c>
      <c r="BP641">
        <v>0</v>
      </c>
      <c r="BT641">
        <v>0</v>
      </c>
      <c r="BU641">
        <v>0</v>
      </c>
      <c r="CE641" t="str">
        <f>"15:40:20.742"</f>
        <v>15:40:20.742</v>
      </c>
      <c r="CF641">
        <v>741566090</v>
      </c>
      <c r="CS641">
        <v>0</v>
      </c>
      <c r="CT641">
        <v>2</v>
      </c>
      <c r="CU641">
        <v>0</v>
      </c>
      <c r="CV641">
        <v>2</v>
      </c>
      <c r="CW641">
        <v>0</v>
      </c>
      <c r="CX641">
        <v>4</v>
      </c>
      <c r="CY641">
        <v>7</v>
      </c>
      <c r="CZ641" t="s">
        <v>133</v>
      </c>
      <c r="DA641">
        <v>125</v>
      </c>
      <c r="DB641">
        <v>1</v>
      </c>
      <c r="DC641" t="s">
        <v>134</v>
      </c>
      <c r="DD641" t="s">
        <v>135</v>
      </c>
      <c r="DG641">
        <v>2610870</v>
      </c>
      <c r="DI641">
        <v>0</v>
      </c>
      <c r="DJ641">
        <v>0</v>
      </c>
      <c r="DK641">
        <v>1</v>
      </c>
      <c r="DL641">
        <v>0</v>
      </c>
      <c r="DM641">
        <v>0</v>
      </c>
      <c r="DN641">
        <v>0</v>
      </c>
      <c r="DO641">
        <v>0</v>
      </c>
      <c r="DP641">
        <v>0</v>
      </c>
      <c r="DQ641">
        <v>0</v>
      </c>
      <c r="DR641">
        <v>0</v>
      </c>
      <c r="DS641">
        <v>0</v>
      </c>
    </row>
    <row r="642" spans="1:123" x14ac:dyDescent="0.25">
      <c r="A642" t="str">
        <f>"04/17/2026 15:40:21.805"</f>
        <v>04/17/2026 15:40:21.805</v>
      </c>
      <c r="C642" t="str">
        <f t="shared" ref="C642:C685" si="55">"FFDFD3C0"</f>
        <v>FFDFD3C0</v>
      </c>
      <c r="D642" t="s">
        <v>124</v>
      </c>
      <c r="E642" t="str">
        <f>"03"</f>
        <v>03</v>
      </c>
      <c r="H642">
        <v>160</v>
      </c>
      <c r="I642" t="s">
        <v>125</v>
      </c>
      <c r="J642" t="s">
        <v>126</v>
      </c>
      <c r="K642">
        <v>0</v>
      </c>
      <c r="L642">
        <v>3</v>
      </c>
      <c r="M642">
        <v>0</v>
      </c>
      <c r="N642">
        <v>2</v>
      </c>
      <c r="O642">
        <v>1</v>
      </c>
      <c r="P642">
        <v>0</v>
      </c>
      <c r="Q642">
        <v>0</v>
      </c>
      <c r="R642" t="s">
        <v>127</v>
      </c>
      <c r="S642" t="str">
        <f>"15:40:21.563"</f>
        <v>15:40:21.563</v>
      </c>
      <c r="T642" t="str">
        <f>"15:40:20.863"</f>
        <v>15:40:20.863</v>
      </c>
      <c r="U642" t="str">
        <f t="shared" ref="U642:U705" si="56">"A55E09"</f>
        <v>A55E09</v>
      </c>
      <c r="V642">
        <v>0</v>
      </c>
      <c r="W642">
        <v>0</v>
      </c>
      <c r="X642">
        <v>2</v>
      </c>
      <c r="Y642">
        <v>0</v>
      </c>
      <c r="AA642">
        <v>0</v>
      </c>
      <c r="AB642">
        <v>8</v>
      </c>
      <c r="AC642">
        <v>3</v>
      </c>
      <c r="AD642">
        <v>0</v>
      </c>
      <c r="AE642">
        <v>8</v>
      </c>
      <c r="AF642" t="s">
        <v>128</v>
      </c>
      <c r="AG642">
        <v>0</v>
      </c>
      <c r="AH642">
        <v>0</v>
      </c>
      <c r="AI642">
        <v>1</v>
      </c>
      <c r="AJ642">
        <v>0</v>
      </c>
      <c r="AK642" t="s">
        <v>427</v>
      </c>
      <c r="AL642">
        <v>33.721611000000003</v>
      </c>
      <c r="AM642" t="s">
        <v>428</v>
      </c>
      <c r="AN642">
        <v>-101.205304</v>
      </c>
      <c r="AO642">
        <v>100</v>
      </c>
      <c r="AP642">
        <v>3100</v>
      </c>
      <c r="AQ642" t="s">
        <v>131</v>
      </c>
      <c r="AR642">
        <v>35</v>
      </c>
      <c r="AS642">
        <v>87</v>
      </c>
      <c r="AT642">
        <v>0</v>
      </c>
      <c r="BB642" t="str">
        <f t="shared" ref="BB642:BB685" si="57">"1200"</f>
        <v>1200</v>
      </c>
      <c r="BC642">
        <v>1</v>
      </c>
      <c r="BD642" t="str">
        <f t="shared" ref="BD642:BD685" si="58">"N445JS  "</f>
        <v xml:space="preserve">N445JS  </v>
      </c>
      <c r="BE642">
        <v>7</v>
      </c>
      <c r="BG642">
        <v>0</v>
      </c>
      <c r="BH642">
        <v>0</v>
      </c>
      <c r="BI642">
        <v>0</v>
      </c>
      <c r="BJ642">
        <v>2900</v>
      </c>
      <c r="BK642">
        <v>-200</v>
      </c>
      <c r="BL642" t="s">
        <v>132</v>
      </c>
      <c r="BM642">
        <v>1</v>
      </c>
      <c r="BN642">
        <v>1</v>
      </c>
      <c r="BO642">
        <v>1</v>
      </c>
      <c r="BP642">
        <v>0</v>
      </c>
      <c r="BT642">
        <v>0</v>
      </c>
      <c r="BU642">
        <v>0</v>
      </c>
      <c r="CE642" t="str">
        <f>"15:40:21.566"</f>
        <v>15:40:21.566</v>
      </c>
      <c r="CF642">
        <v>566485335</v>
      </c>
      <c r="CS642">
        <v>0</v>
      </c>
      <c r="CT642">
        <v>1</v>
      </c>
      <c r="CU642">
        <v>0</v>
      </c>
      <c r="CV642">
        <v>2</v>
      </c>
      <c r="CW642">
        <v>0</v>
      </c>
      <c r="CX642">
        <v>2</v>
      </c>
      <c r="CY642">
        <v>7</v>
      </c>
      <c r="CZ642" t="s">
        <v>133</v>
      </c>
      <c r="DA642">
        <v>125</v>
      </c>
      <c r="DB642">
        <v>0</v>
      </c>
      <c r="DC642" t="s">
        <v>134</v>
      </c>
      <c r="DD642" t="s">
        <v>135</v>
      </c>
      <c r="DG642">
        <v>3576331</v>
      </c>
      <c r="DI642">
        <v>0</v>
      </c>
      <c r="DJ642">
        <v>0</v>
      </c>
      <c r="DK642">
        <v>0</v>
      </c>
      <c r="DL642">
        <v>0</v>
      </c>
      <c r="DM642">
        <v>0</v>
      </c>
      <c r="DN642">
        <v>0</v>
      </c>
      <c r="DO642">
        <v>0</v>
      </c>
      <c r="DP642">
        <v>0</v>
      </c>
      <c r="DQ642">
        <v>0</v>
      </c>
      <c r="DR642">
        <v>0</v>
      </c>
      <c r="DS642">
        <v>0</v>
      </c>
    </row>
    <row r="643" spans="1:123" x14ac:dyDescent="0.25">
      <c r="A643" t="str">
        <f>"04/17/2026 15:40:21.819"</f>
        <v>04/17/2026 15:40:21.819</v>
      </c>
      <c r="C643" t="str">
        <f t="shared" si="55"/>
        <v>FFDFD3C0</v>
      </c>
      <c r="D643" t="s">
        <v>136</v>
      </c>
      <c r="E643" t="str">
        <f>"0E"</f>
        <v>0E</v>
      </c>
      <c r="F643">
        <v>1014</v>
      </c>
      <c r="G643" t="s">
        <v>125</v>
      </c>
      <c r="J643" t="s">
        <v>137</v>
      </c>
      <c r="K643">
        <v>0</v>
      </c>
      <c r="L643">
        <v>3</v>
      </c>
      <c r="M643">
        <v>0</v>
      </c>
      <c r="N643">
        <v>2</v>
      </c>
      <c r="O643">
        <v>1</v>
      </c>
      <c r="P643">
        <v>0</v>
      </c>
      <c r="Q643">
        <v>0</v>
      </c>
      <c r="R643" t="s">
        <v>127</v>
      </c>
      <c r="S643" t="str">
        <f>"15:40:21.563"</f>
        <v>15:40:21.563</v>
      </c>
      <c r="T643" t="str">
        <f>"15:40:20.863"</f>
        <v>15:40:20.863</v>
      </c>
      <c r="U643" t="str">
        <f t="shared" si="56"/>
        <v>A55E09</v>
      </c>
      <c r="V643">
        <v>0</v>
      </c>
      <c r="W643">
        <v>0</v>
      </c>
      <c r="X643">
        <v>2</v>
      </c>
      <c r="Y643">
        <v>0</v>
      </c>
      <c r="AA643">
        <v>0</v>
      </c>
      <c r="AB643">
        <v>8</v>
      </c>
      <c r="AC643">
        <v>3</v>
      </c>
      <c r="AD643">
        <v>0</v>
      </c>
      <c r="AE643">
        <v>8</v>
      </c>
      <c r="AF643" t="s">
        <v>128</v>
      </c>
      <c r="AG643">
        <v>0</v>
      </c>
      <c r="AH643">
        <v>0</v>
      </c>
      <c r="AI643">
        <v>1</v>
      </c>
      <c r="AJ643">
        <v>0</v>
      </c>
      <c r="AK643" t="s">
        <v>427</v>
      </c>
      <c r="AL643">
        <v>33.721611000000003</v>
      </c>
      <c r="AM643" t="s">
        <v>428</v>
      </c>
      <c r="AN643">
        <v>-101.205304</v>
      </c>
      <c r="AO643">
        <v>100</v>
      </c>
      <c r="AP643">
        <v>3100</v>
      </c>
      <c r="AQ643" t="s">
        <v>131</v>
      </c>
      <c r="AR643">
        <v>35</v>
      </c>
      <c r="AS643">
        <v>87</v>
      </c>
      <c r="AT643">
        <v>0</v>
      </c>
      <c r="BB643" t="str">
        <f t="shared" si="57"/>
        <v>1200</v>
      </c>
      <c r="BC643">
        <v>1</v>
      </c>
      <c r="BD643" t="str">
        <f t="shared" si="58"/>
        <v xml:space="preserve">N445JS  </v>
      </c>
      <c r="BE643">
        <v>7</v>
      </c>
      <c r="BG643">
        <v>0</v>
      </c>
      <c r="BH643">
        <v>0</v>
      </c>
      <c r="BI643">
        <v>0</v>
      </c>
      <c r="BJ643">
        <v>2900</v>
      </c>
      <c r="BK643">
        <v>-200</v>
      </c>
      <c r="BL643" t="s">
        <v>132</v>
      </c>
      <c r="BM643">
        <v>1</v>
      </c>
      <c r="BN643">
        <v>1</v>
      </c>
      <c r="BO643">
        <v>1</v>
      </c>
      <c r="BP643">
        <v>0</v>
      </c>
      <c r="BT643">
        <v>0</v>
      </c>
      <c r="BU643">
        <v>0</v>
      </c>
      <c r="CE643" t="str">
        <f>"15:40:21.566"</f>
        <v>15:40:21.566</v>
      </c>
      <c r="CF643">
        <v>566485335</v>
      </c>
      <c r="CS643">
        <v>0</v>
      </c>
      <c r="CT643">
        <v>1</v>
      </c>
      <c r="CU643">
        <v>0</v>
      </c>
      <c r="CV643">
        <v>2</v>
      </c>
      <c r="CW643">
        <v>0</v>
      </c>
      <c r="CX643">
        <v>2</v>
      </c>
      <c r="CY643">
        <v>7</v>
      </c>
      <c r="CZ643" t="s">
        <v>133</v>
      </c>
      <c r="DA643">
        <v>125</v>
      </c>
      <c r="DB643">
        <v>0</v>
      </c>
      <c r="DC643" t="s">
        <v>134</v>
      </c>
      <c r="DD643" t="s">
        <v>135</v>
      </c>
      <c r="DG643">
        <v>3576331</v>
      </c>
      <c r="DI643">
        <v>0</v>
      </c>
      <c r="DJ643">
        <v>0</v>
      </c>
      <c r="DK643">
        <v>1</v>
      </c>
      <c r="DL643">
        <v>0</v>
      </c>
      <c r="DM643">
        <v>0</v>
      </c>
      <c r="DN643">
        <v>0</v>
      </c>
      <c r="DO643">
        <v>0</v>
      </c>
      <c r="DP643">
        <v>0</v>
      </c>
      <c r="DQ643">
        <v>0</v>
      </c>
      <c r="DR643">
        <v>0</v>
      </c>
      <c r="DS643">
        <v>0</v>
      </c>
    </row>
    <row r="644" spans="1:123" x14ac:dyDescent="0.25">
      <c r="A644" t="str">
        <f>"04/17/2026 15:40:21.836"</f>
        <v>04/17/2026 15:40:21.836</v>
      </c>
      <c r="C644" t="str">
        <f t="shared" si="55"/>
        <v>FFDFD3C0</v>
      </c>
      <c r="D644" t="s">
        <v>136</v>
      </c>
      <c r="E644" t="str">
        <f>"0F"</f>
        <v>0F</v>
      </c>
      <c r="F644">
        <v>1015</v>
      </c>
      <c r="G644" t="s">
        <v>138</v>
      </c>
      <c r="J644" t="s">
        <v>137</v>
      </c>
      <c r="K644">
        <v>0</v>
      </c>
      <c r="L644">
        <v>3</v>
      </c>
      <c r="M644">
        <v>0</v>
      </c>
      <c r="N644">
        <v>2</v>
      </c>
      <c r="O644">
        <v>1</v>
      </c>
      <c r="P644">
        <v>0</v>
      </c>
      <c r="Q644">
        <v>0</v>
      </c>
      <c r="R644" t="s">
        <v>127</v>
      </c>
      <c r="S644" t="str">
        <f>"15:40:21.563"</f>
        <v>15:40:21.563</v>
      </c>
      <c r="T644" t="str">
        <f>"15:40:20.863"</f>
        <v>15:40:20.863</v>
      </c>
      <c r="U644" t="str">
        <f t="shared" si="56"/>
        <v>A55E09</v>
      </c>
      <c r="V644">
        <v>0</v>
      </c>
      <c r="W644">
        <v>0</v>
      </c>
      <c r="X644">
        <v>2</v>
      </c>
      <c r="Y644">
        <v>0</v>
      </c>
      <c r="AA644">
        <v>0</v>
      </c>
      <c r="AB644">
        <v>8</v>
      </c>
      <c r="AC644">
        <v>3</v>
      </c>
      <c r="AD644">
        <v>0</v>
      </c>
      <c r="AE644">
        <v>8</v>
      </c>
      <c r="AF644" t="s">
        <v>128</v>
      </c>
      <c r="AG644">
        <v>0</v>
      </c>
      <c r="AH644">
        <v>0</v>
      </c>
      <c r="AI644">
        <v>1</v>
      </c>
      <c r="AJ644">
        <v>0</v>
      </c>
      <c r="AK644" t="s">
        <v>427</v>
      </c>
      <c r="AL644">
        <v>33.721611000000003</v>
      </c>
      <c r="AM644" t="s">
        <v>428</v>
      </c>
      <c r="AN644">
        <v>-101.205304</v>
      </c>
      <c r="AO644">
        <v>100</v>
      </c>
      <c r="AP644">
        <v>3100</v>
      </c>
      <c r="AQ644" t="s">
        <v>131</v>
      </c>
      <c r="AR644">
        <v>35</v>
      </c>
      <c r="AS644">
        <v>87</v>
      </c>
      <c r="AT644">
        <v>0</v>
      </c>
      <c r="BB644" t="str">
        <f t="shared" si="57"/>
        <v>1200</v>
      </c>
      <c r="BC644">
        <v>1</v>
      </c>
      <c r="BD644" t="str">
        <f t="shared" si="58"/>
        <v xml:space="preserve">N445JS  </v>
      </c>
      <c r="BE644">
        <v>7</v>
      </c>
      <c r="BG644">
        <v>0</v>
      </c>
      <c r="BH644">
        <v>0</v>
      </c>
      <c r="BI644">
        <v>0</v>
      </c>
      <c r="BJ644">
        <v>2900</v>
      </c>
      <c r="BK644">
        <v>-200</v>
      </c>
      <c r="BL644" t="s">
        <v>132</v>
      </c>
      <c r="BM644">
        <v>1</v>
      </c>
      <c r="BN644">
        <v>1</v>
      </c>
      <c r="BO644">
        <v>1</v>
      </c>
      <c r="BP644">
        <v>0</v>
      </c>
      <c r="BT644">
        <v>0</v>
      </c>
      <c r="BU644">
        <v>0</v>
      </c>
      <c r="CE644" t="str">
        <f>"15:40:21.566"</f>
        <v>15:40:21.566</v>
      </c>
      <c r="CF644">
        <v>566485335</v>
      </c>
      <c r="CS644">
        <v>0</v>
      </c>
      <c r="CT644">
        <v>1</v>
      </c>
      <c r="CU644">
        <v>0</v>
      </c>
      <c r="CV644">
        <v>2</v>
      </c>
      <c r="CW644">
        <v>0</v>
      </c>
      <c r="CX644">
        <v>2</v>
      </c>
      <c r="CY644">
        <v>7</v>
      </c>
      <c r="CZ644" t="s">
        <v>133</v>
      </c>
      <c r="DA644">
        <v>125</v>
      </c>
      <c r="DB644">
        <v>0</v>
      </c>
      <c r="DC644" t="s">
        <v>134</v>
      </c>
      <c r="DD644" t="s">
        <v>135</v>
      </c>
      <c r="DG644">
        <v>3576331</v>
      </c>
      <c r="DI644">
        <v>0</v>
      </c>
      <c r="DJ644">
        <v>0</v>
      </c>
      <c r="DK644">
        <v>1</v>
      </c>
      <c r="DL644">
        <v>0</v>
      </c>
      <c r="DM644">
        <v>0</v>
      </c>
      <c r="DN644">
        <v>0</v>
      </c>
      <c r="DO644">
        <v>0</v>
      </c>
      <c r="DP644">
        <v>0</v>
      </c>
      <c r="DQ644">
        <v>0</v>
      </c>
      <c r="DR644">
        <v>0</v>
      </c>
      <c r="DS644">
        <v>0</v>
      </c>
    </row>
    <row r="645" spans="1:123" x14ac:dyDescent="0.25">
      <c r="A645" t="str">
        <f>"04/17/2026 15:40:21.838"</f>
        <v>04/17/2026 15:40:21.838</v>
      </c>
      <c r="C645" t="str">
        <f t="shared" si="55"/>
        <v>FFDFD3C0</v>
      </c>
      <c r="D645" t="s">
        <v>139</v>
      </c>
      <c r="E645" t="str">
        <f>"28"</f>
        <v>28</v>
      </c>
      <c r="H645">
        <v>140</v>
      </c>
      <c r="I645" t="s">
        <v>140</v>
      </c>
      <c r="J645" t="s">
        <v>141</v>
      </c>
      <c r="K645">
        <v>0</v>
      </c>
      <c r="L645">
        <v>3</v>
      </c>
      <c r="M645">
        <v>0</v>
      </c>
      <c r="N645">
        <v>2</v>
      </c>
      <c r="O645">
        <v>1</v>
      </c>
      <c r="P645">
        <v>0</v>
      </c>
      <c r="Q645">
        <v>0</v>
      </c>
      <c r="R645" t="s">
        <v>127</v>
      </c>
      <c r="S645" t="str">
        <f>"15:40:21.563"</f>
        <v>15:40:21.563</v>
      </c>
      <c r="T645" t="str">
        <f>"15:40:20.863"</f>
        <v>15:40:20.863</v>
      </c>
      <c r="U645" t="str">
        <f t="shared" si="56"/>
        <v>A55E09</v>
      </c>
      <c r="V645">
        <v>0</v>
      </c>
      <c r="W645">
        <v>0</v>
      </c>
      <c r="X645">
        <v>2</v>
      </c>
      <c r="Y645">
        <v>0</v>
      </c>
      <c r="AA645">
        <v>0</v>
      </c>
      <c r="AB645">
        <v>8</v>
      </c>
      <c r="AC645">
        <v>3</v>
      </c>
      <c r="AD645">
        <v>0</v>
      </c>
      <c r="AE645">
        <v>8</v>
      </c>
      <c r="AF645" t="s">
        <v>128</v>
      </c>
      <c r="AG645">
        <v>0</v>
      </c>
      <c r="AH645">
        <v>0</v>
      </c>
      <c r="AI645">
        <v>1</v>
      </c>
      <c r="AJ645">
        <v>0</v>
      </c>
      <c r="AK645" t="s">
        <v>427</v>
      </c>
      <c r="AL645">
        <v>33.721611000000003</v>
      </c>
      <c r="AM645" t="s">
        <v>428</v>
      </c>
      <c r="AN645">
        <v>-101.205304</v>
      </c>
      <c r="AO645">
        <v>100</v>
      </c>
      <c r="AP645">
        <v>3100</v>
      </c>
      <c r="AQ645" t="s">
        <v>131</v>
      </c>
      <c r="AR645">
        <v>35</v>
      </c>
      <c r="AS645">
        <v>87</v>
      </c>
      <c r="AT645">
        <v>0</v>
      </c>
      <c r="BB645" t="str">
        <f t="shared" si="57"/>
        <v>1200</v>
      </c>
      <c r="BC645">
        <v>1</v>
      </c>
      <c r="BD645" t="str">
        <f t="shared" si="58"/>
        <v xml:space="preserve">N445JS  </v>
      </c>
      <c r="BE645">
        <v>7</v>
      </c>
      <c r="BG645">
        <v>0</v>
      </c>
      <c r="BH645">
        <v>0</v>
      </c>
      <c r="BI645">
        <v>0</v>
      </c>
      <c r="BJ645">
        <v>2900</v>
      </c>
      <c r="BK645">
        <v>-200</v>
      </c>
      <c r="BL645" t="s">
        <v>132</v>
      </c>
      <c r="BM645">
        <v>1</v>
      </c>
      <c r="BN645">
        <v>1</v>
      </c>
      <c r="BO645">
        <v>1</v>
      </c>
      <c r="BP645">
        <v>0</v>
      </c>
      <c r="BT645">
        <v>0</v>
      </c>
      <c r="BU645">
        <v>0</v>
      </c>
      <c r="CE645" t="str">
        <f>"15:40:21.566"</f>
        <v>15:40:21.566</v>
      </c>
      <c r="CF645">
        <v>566485335</v>
      </c>
      <c r="CS645">
        <v>0</v>
      </c>
      <c r="CT645">
        <v>1</v>
      </c>
      <c r="CU645">
        <v>0</v>
      </c>
      <c r="CV645">
        <v>2</v>
      </c>
      <c r="CW645">
        <v>0</v>
      </c>
      <c r="CX645">
        <v>2</v>
      </c>
      <c r="CY645">
        <v>7</v>
      </c>
      <c r="CZ645" t="s">
        <v>133</v>
      </c>
      <c r="DA645">
        <v>125</v>
      </c>
      <c r="DB645">
        <v>0</v>
      </c>
      <c r="DC645" t="s">
        <v>134</v>
      </c>
      <c r="DD645" t="s">
        <v>135</v>
      </c>
      <c r="DG645">
        <v>3576331</v>
      </c>
      <c r="DI645">
        <v>0</v>
      </c>
      <c r="DJ645">
        <v>0</v>
      </c>
      <c r="DK645">
        <v>1</v>
      </c>
      <c r="DL645">
        <v>0</v>
      </c>
      <c r="DM645">
        <v>0</v>
      </c>
      <c r="DN645">
        <v>0</v>
      </c>
      <c r="DO645">
        <v>0</v>
      </c>
      <c r="DP645">
        <v>0</v>
      </c>
      <c r="DQ645">
        <v>0</v>
      </c>
      <c r="DR645">
        <v>0</v>
      </c>
      <c r="DS645">
        <v>0</v>
      </c>
    </row>
    <row r="646" spans="1:123" x14ac:dyDescent="0.25">
      <c r="A646" t="str">
        <f>"04/17/2026 15:40:22.888"</f>
        <v>04/17/2026 15:40:22.888</v>
      </c>
      <c r="C646" t="str">
        <f t="shared" si="55"/>
        <v>FFDFD3C0</v>
      </c>
      <c r="D646" t="s">
        <v>136</v>
      </c>
      <c r="E646" t="str">
        <f>"0F"</f>
        <v>0F</v>
      </c>
      <c r="F646">
        <v>1015</v>
      </c>
      <c r="G646" t="s">
        <v>138</v>
      </c>
      <c r="J646" t="s">
        <v>137</v>
      </c>
      <c r="K646">
        <v>0</v>
      </c>
      <c r="L646">
        <v>3</v>
      </c>
      <c r="M646">
        <v>0</v>
      </c>
      <c r="N646">
        <v>2</v>
      </c>
      <c r="O646">
        <v>1</v>
      </c>
      <c r="P646">
        <v>0</v>
      </c>
      <c r="Q646">
        <v>0</v>
      </c>
      <c r="R646" t="s">
        <v>127</v>
      </c>
      <c r="S646" t="str">
        <f>"15:40:22.641"</f>
        <v>15:40:22.641</v>
      </c>
      <c r="T646" t="str">
        <f>"15:40:22.341"</f>
        <v>15:40:22.341</v>
      </c>
      <c r="U646" t="str">
        <f t="shared" si="56"/>
        <v>A55E09</v>
      </c>
      <c r="V646">
        <v>0</v>
      </c>
      <c r="W646">
        <v>0</v>
      </c>
      <c r="X646">
        <v>2</v>
      </c>
      <c r="Y646">
        <v>0</v>
      </c>
      <c r="AA646">
        <v>0</v>
      </c>
      <c r="AB646">
        <v>9</v>
      </c>
      <c r="AC646">
        <v>3</v>
      </c>
      <c r="AD646">
        <v>0</v>
      </c>
      <c r="AE646">
        <v>9</v>
      </c>
      <c r="AF646" t="s">
        <v>128</v>
      </c>
      <c r="AG646">
        <v>0</v>
      </c>
      <c r="AH646">
        <v>0</v>
      </c>
      <c r="AI646">
        <v>1</v>
      </c>
      <c r="AJ646">
        <v>0</v>
      </c>
      <c r="AK646" t="s">
        <v>429</v>
      </c>
      <c r="AL646">
        <v>33.722084000000002</v>
      </c>
      <c r="AM646" t="s">
        <v>430</v>
      </c>
      <c r="AN646">
        <v>-101.205111</v>
      </c>
      <c r="AO646">
        <v>100</v>
      </c>
      <c r="AP646">
        <v>3100</v>
      </c>
      <c r="AQ646" t="s">
        <v>131</v>
      </c>
      <c r="AR646">
        <v>35</v>
      </c>
      <c r="AS646">
        <v>87</v>
      </c>
      <c r="AT646">
        <v>-128</v>
      </c>
      <c r="BB646" t="str">
        <f t="shared" si="57"/>
        <v>1200</v>
      </c>
      <c r="BC646">
        <v>1</v>
      </c>
      <c r="BD646" t="str">
        <f t="shared" si="58"/>
        <v xml:space="preserve">N445JS  </v>
      </c>
      <c r="BE646">
        <v>7</v>
      </c>
      <c r="BG646">
        <v>0</v>
      </c>
      <c r="BH646">
        <v>0</v>
      </c>
      <c r="BI646">
        <v>0</v>
      </c>
      <c r="BJ646">
        <v>2900</v>
      </c>
      <c r="BK646">
        <v>-200</v>
      </c>
      <c r="BL646" t="s">
        <v>132</v>
      </c>
      <c r="BM646">
        <v>1</v>
      </c>
      <c r="BN646">
        <v>1</v>
      </c>
      <c r="BO646">
        <v>1</v>
      </c>
      <c r="BP646">
        <v>0</v>
      </c>
      <c r="BT646">
        <v>0</v>
      </c>
      <c r="BU646">
        <v>0</v>
      </c>
      <c r="CE646" t="str">
        <f>"15:40:22.646"</f>
        <v>15:40:22.646</v>
      </c>
      <c r="CF646">
        <v>646379573</v>
      </c>
      <c r="CS646">
        <v>0</v>
      </c>
      <c r="CT646">
        <v>2</v>
      </c>
      <c r="CU646">
        <v>0</v>
      </c>
      <c r="CV646">
        <v>2</v>
      </c>
      <c r="CW646">
        <v>0</v>
      </c>
      <c r="CX646">
        <v>3</v>
      </c>
      <c r="CY646">
        <v>7</v>
      </c>
      <c r="CZ646" t="s">
        <v>133</v>
      </c>
      <c r="DA646">
        <v>125</v>
      </c>
      <c r="DB646">
        <v>1</v>
      </c>
      <c r="DC646" t="s">
        <v>134</v>
      </c>
      <c r="DD646" t="s">
        <v>135</v>
      </c>
      <c r="DG646">
        <v>2612795</v>
      </c>
      <c r="DI646">
        <v>0</v>
      </c>
      <c r="DJ646">
        <v>0</v>
      </c>
      <c r="DK646">
        <v>0</v>
      </c>
      <c r="DL646">
        <v>0</v>
      </c>
      <c r="DM646">
        <v>0</v>
      </c>
      <c r="DN646">
        <v>0</v>
      </c>
      <c r="DO646">
        <v>0</v>
      </c>
      <c r="DP646">
        <v>0</v>
      </c>
      <c r="DQ646">
        <v>0</v>
      </c>
      <c r="DR646">
        <v>0</v>
      </c>
      <c r="DS646">
        <v>0</v>
      </c>
    </row>
    <row r="647" spans="1:123" x14ac:dyDescent="0.25">
      <c r="A647" t="str">
        <f>"04/17/2026 15:40:22.890"</f>
        <v>04/17/2026 15:40:22.890</v>
      </c>
      <c r="C647" t="str">
        <f t="shared" si="55"/>
        <v>FFDFD3C0</v>
      </c>
      <c r="D647" t="s">
        <v>139</v>
      </c>
      <c r="E647" t="str">
        <f>"28"</f>
        <v>28</v>
      </c>
      <c r="H647">
        <v>140</v>
      </c>
      <c r="I647" t="s">
        <v>140</v>
      </c>
      <c r="J647" t="s">
        <v>141</v>
      </c>
      <c r="K647">
        <v>0</v>
      </c>
      <c r="L647">
        <v>3</v>
      </c>
      <c r="M647">
        <v>0</v>
      </c>
      <c r="N647">
        <v>2</v>
      </c>
      <c r="O647">
        <v>1</v>
      </c>
      <c r="P647">
        <v>0</v>
      </c>
      <c r="Q647">
        <v>0</v>
      </c>
      <c r="R647" t="s">
        <v>127</v>
      </c>
      <c r="S647" t="str">
        <f>"15:40:22.641"</f>
        <v>15:40:22.641</v>
      </c>
      <c r="T647" t="str">
        <f>"15:40:22.341"</f>
        <v>15:40:22.341</v>
      </c>
      <c r="U647" t="str">
        <f t="shared" si="56"/>
        <v>A55E09</v>
      </c>
      <c r="V647">
        <v>0</v>
      </c>
      <c r="W647">
        <v>0</v>
      </c>
      <c r="X647">
        <v>2</v>
      </c>
      <c r="Y647">
        <v>0</v>
      </c>
      <c r="AA647">
        <v>0</v>
      </c>
      <c r="AB647">
        <v>9</v>
      </c>
      <c r="AC647">
        <v>3</v>
      </c>
      <c r="AD647">
        <v>0</v>
      </c>
      <c r="AE647">
        <v>9</v>
      </c>
      <c r="AF647" t="s">
        <v>128</v>
      </c>
      <c r="AG647">
        <v>0</v>
      </c>
      <c r="AH647">
        <v>0</v>
      </c>
      <c r="AI647">
        <v>1</v>
      </c>
      <c r="AJ647">
        <v>0</v>
      </c>
      <c r="AK647" t="s">
        <v>429</v>
      </c>
      <c r="AL647">
        <v>33.722084000000002</v>
      </c>
      <c r="AM647" t="s">
        <v>430</v>
      </c>
      <c r="AN647">
        <v>-101.205111</v>
      </c>
      <c r="AO647">
        <v>100</v>
      </c>
      <c r="AP647">
        <v>3100</v>
      </c>
      <c r="AQ647" t="s">
        <v>131</v>
      </c>
      <c r="AR647">
        <v>35</v>
      </c>
      <c r="AS647">
        <v>87</v>
      </c>
      <c r="AT647">
        <v>-128</v>
      </c>
      <c r="BB647" t="str">
        <f t="shared" si="57"/>
        <v>1200</v>
      </c>
      <c r="BC647">
        <v>1</v>
      </c>
      <c r="BD647" t="str">
        <f t="shared" si="58"/>
        <v xml:space="preserve">N445JS  </v>
      </c>
      <c r="BE647">
        <v>7</v>
      </c>
      <c r="BG647">
        <v>0</v>
      </c>
      <c r="BH647">
        <v>0</v>
      </c>
      <c r="BI647">
        <v>0</v>
      </c>
      <c r="BJ647">
        <v>2900</v>
      </c>
      <c r="BK647">
        <v>-200</v>
      </c>
      <c r="BL647" t="s">
        <v>132</v>
      </c>
      <c r="BM647">
        <v>1</v>
      </c>
      <c r="BN647">
        <v>1</v>
      </c>
      <c r="BO647">
        <v>1</v>
      </c>
      <c r="BP647">
        <v>0</v>
      </c>
      <c r="BT647">
        <v>0</v>
      </c>
      <c r="BU647">
        <v>0</v>
      </c>
      <c r="CE647" t="str">
        <f>"15:40:22.646"</f>
        <v>15:40:22.646</v>
      </c>
      <c r="CF647">
        <v>646379573</v>
      </c>
      <c r="CS647">
        <v>0</v>
      </c>
      <c r="CT647">
        <v>2</v>
      </c>
      <c r="CU647">
        <v>0</v>
      </c>
      <c r="CV647">
        <v>2</v>
      </c>
      <c r="CW647">
        <v>0</v>
      </c>
      <c r="CX647">
        <v>3</v>
      </c>
      <c r="CY647">
        <v>7</v>
      </c>
      <c r="CZ647" t="s">
        <v>133</v>
      </c>
      <c r="DA647">
        <v>125</v>
      </c>
      <c r="DB647">
        <v>1</v>
      </c>
      <c r="DC647" t="s">
        <v>134</v>
      </c>
      <c r="DD647" t="s">
        <v>135</v>
      </c>
      <c r="DG647">
        <v>2612795</v>
      </c>
      <c r="DI647">
        <v>0</v>
      </c>
      <c r="DJ647">
        <v>0</v>
      </c>
      <c r="DK647">
        <v>1</v>
      </c>
      <c r="DL647">
        <v>0</v>
      </c>
      <c r="DM647">
        <v>0</v>
      </c>
      <c r="DN647">
        <v>0</v>
      </c>
      <c r="DO647">
        <v>0</v>
      </c>
      <c r="DP647">
        <v>0</v>
      </c>
      <c r="DQ647">
        <v>0</v>
      </c>
      <c r="DR647">
        <v>0</v>
      </c>
      <c r="DS647">
        <v>0</v>
      </c>
    </row>
    <row r="648" spans="1:123" x14ac:dyDescent="0.25">
      <c r="A648" t="str">
        <f>"04/17/2026 15:40:22.907"</f>
        <v>04/17/2026 15:40:22.907</v>
      </c>
      <c r="C648" t="str">
        <f t="shared" si="55"/>
        <v>FFDFD3C0</v>
      </c>
      <c r="D648" t="s">
        <v>124</v>
      </c>
      <c r="E648" t="str">
        <f>"03"</f>
        <v>03</v>
      </c>
      <c r="H648">
        <v>160</v>
      </c>
      <c r="I648" t="s">
        <v>125</v>
      </c>
      <c r="J648" t="s">
        <v>126</v>
      </c>
      <c r="K648">
        <v>0</v>
      </c>
      <c r="L648">
        <v>3</v>
      </c>
      <c r="M648">
        <v>0</v>
      </c>
      <c r="N648">
        <v>2</v>
      </c>
      <c r="O648">
        <v>1</v>
      </c>
      <c r="P648">
        <v>0</v>
      </c>
      <c r="Q648">
        <v>0</v>
      </c>
      <c r="R648" t="s">
        <v>127</v>
      </c>
      <c r="S648" t="str">
        <f>"15:40:22.641"</f>
        <v>15:40:22.641</v>
      </c>
      <c r="T648" t="str">
        <f>"15:40:22.341"</f>
        <v>15:40:22.341</v>
      </c>
      <c r="U648" t="str">
        <f t="shared" si="56"/>
        <v>A55E09</v>
      </c>
      <c r="V648">
        <v>0</v>
      </c>
      <c r="W648">
        <v>0</v>
      </c>
      <c r="X648">
        <v>2</v>
      </c>
      <c r="Y648">
        <v>0</v>
      </c>
      <c r="AA648">
        <v>0</v>
      </c>
      <c r="AB648">
        <v>9</v>
      </c>
      <c r="AC648">
        <v>3</v>
      </c>
      <c r="AD648">
        <v>0</v>
      </c>
      <c r="AE648">
        <v>9</v>
      </c>
      <c r="AF648" t="s">
        <v>128</v>
      </c>
      <c r="AG648">
        <v>0</v>
      </c>
      <c r="AH648">
        <v>0</v>
      </c>
      <c r="AI648">
        <v>1</v>
      </c>
      <c r="AJ648">
        <v>0</v>
      </c>
      <c r="AK648" t="s">
        <v>429</v>
      </c>
      <c r="AL648">
        <v>33.722084000000002</v>
      </c>
      <c r="AM648" t="s">
        <v>430</v>
      </c>
      <c r="AN648">
        <v>-101.205111</v>
      </c>
      <c r="AO648">
        <v>100</v>
      </c>
      <c r="AP648">
        <v>3100</v>
      </c>
      <c r="AQ648" t="s">
        <v>131</v>
      </c>
      <c r="AR648">
        <v>35</v>
      </c>
      <c r="AS648">
        <v>87</v>
      </c>
      <c r="AT648">
        <v>-128</v>
      </c>
      <c r="BB648" t="str">
        <f t="shared" si="57"/>
        <v>1200</v>
      </c>
      <c r="BC648">
        <v>1</v>
      </c>
      <c r="BD648" t="str">
        <f t="shared" si="58"/>
        <v xml:space="preserve">N445JS  </v>
      </c>
      <c r="BE648">
        <v>7</v>
      </c>
      <c r="BG648">
        <v>0</v>
      </c>
      <c r="BH648">
        <v>0</v>
      </c>
      <c r="BI648">
        <v>0</v>
      </c>
      <c r="BJ648">
        <v>2900</v>
      </c>
      <c r="BK648">
        <v>-200</v>
      </c>
      <c r="BL648" t="s">
        <v>132</v>
      </c>
      <c r="BM648">
        <v>1</v>
      </c>
      <c r="BN648">
        <v>1</v>
      </c>
      <c r="BO648">
        <v>1</v>
      </c>
      <c r="BP648">
        <v>0</v>
      </c>
      <c r="BT648">
        <v>0</v>
      </c>
      <c r="BU648">
        <v>0</v>
      </c>
      <c r="CE648" t="str">
        <f>"15:40:22.646"</f>
        <v>15:40:22.646</v>
      </c>
      <c r="CF648">
        <v>646379573</v>
      </c>
      <c r="CS648">
        <v>0</v>
      </c>
      <c r="CT648">
        <v>2</v>
      </c>
      <c r="CU648">
        <v>0</v>
      </c>
      <c r="CV648">
        <v>2</v>
      </c>
      <c r="CW648">
        <v>0</v>
      </c>
      <c r="CX648">
        <v>3</v>
      </c>
      <c r="CY648">
        <v>7</v>
      </c>
      <c r="CZ648" t="s">
        <v>133</v>
      </c>
      <c r="DA648">
        <v>125</v>
      </c>
      <c r="DB648">
        <v>1</v>
      </c>
      <c r="DC648" t="s">
        <v>134</v>
      </c>
      <c r="DD648" t="s">
        <v>135</v>
      </c>
      <c r="DG648">
        <v>2612795</v>
      </c>
      <c r="DI648">
        <v>0</v>
      </c>
      <c r="DJ648">
        <v>0</v>
      </c>
      <c r="DK648">
        <v>1</v>
      </c>
      <c r="DL648">
        <v>0</v>
      </c>
      <c r="DM648">
        <v>0</v>
      </c>
      <c r="DN648">
        <v>0</v>
      </c>
      <c r="DO648">
        <v>0</v>
      </c>
      <c r="DP648">
        <v>0</v>
      </c>
      <c r="DQ648">
        <v>0</v>
      </c>
      <c r="DR648">
        <v>0</v>
      </c>
      <c r="DS648">
        <v>0</v>
      </c>
    </row>
    <row r="649" spans="1:123" x14ac:dyDescent="0.25">
      <c r="A649" t="str">
        <f>"04/17/2026 15:40:22.921"</f>
        <v>04/17/2026 15:40:22.921</v>
      </c>
      <c r="C649" t="str">
        <f t="shared" si="55"/>
        <v>FFDFD3C0</v>
      </c>
      <c r="D649" t="s">
        <v>136</v>
      </c>
      <c r="E649" t="str">
        <f>"0E"</f>
        <v>0E</v>
      </c>
      <c r="F649">
        <v>1014</v>
      </c>
      <c r="G649" t="s">
        <v>125</v>
      </c>
      <c r="J649" t="s">
        <v>137</v>
      </c>
      <c r="K649">
        <v>0</v>
      </c>
      <c r="L649">
        <v>3</v>
      </c>
      <c r="M649">
        <v>0</v>
      </c>
      <c r="N649">
        <v>2</v>
      </c>
      <c r="O649">
        <v>1</v>
      </c>
      <c r="P649">
        <v>0</v>
      </c>
      <c r="Q649">
        <v>0</v>
      </c>
      <c r="R649" t="s">
        <v>127</v>
      </c>
      <c r="S649" t="str">
        <f>"15:40:22.641"</f>
        <v>15:40:22.641</v>
      </c>
      <c r="T649" t="str">
        <f>"15:40:22.341"</f>
        <v>15:40:22.341</v>
      </c>
      <c r="U649" t="str">
        <f t="shared" si="56"/>
        <v>A55E09</v>
      </c>
      <c r="V649">
        <v>0</v>
      </c>
      <c r="W649">
        <v>0</v>
      </c>
      <c r="X649">
        <v>2</v>
      </c>
      <c r="Y649">
        <v>0</v>
      </c>
      <c r="AA649">
        <v>0</v>
      </c>
      <c r="AB649">
        <v>9</v>
      </c>
      <c r="AC649">
        <v>3</v>
      </c>
      <c r="AD649">
        <v>0</v>
      </c>
      <c r="AE649">
        <v>9</v>
      </c>
      <c r="AF649" t="s">
        <v>128</v>
      </c>
      <c r="AG649">
        <v>0</v>
      </c>
      <c r="AH649">
        <v>0</v>
      </c>
      <c r="AI649">
        <v>1</v>
      </c>
      <c r="AJ649">
        <v>0</v>
      </c>
      <c r="AK649" t="s">
        <v>429</v>
      </c>
      <c r="AL649">
        <v>33.722084000000002</v>
      </c>
      <c r="AM649" t="s">
        <v>430</v>
      </c>
      <c r="AN649">
        <v>-101.205111</v>
      </c>
      <c r="AO649">
        <v>100</v>
      </c>
      <c r="AP649">
        <v>3100</v>
      </c>
      <c r="AQ649" t="s">
        <v>131</v>
      </c>
      <c r="AR649">
        <v>35</v>
      </c>
      <c r="AS649">
        <v>87</v>
      </c>
      <c r="AT649">
        <v>-128</v>
      </c>
      <c r="BB649" t="str">
        <f t="shared" si="57"/>
        <v>1200</v>
      </c>
      <c r="BC649">
        <v>1</v>
      </c>
      <c r="BD649" t="str">
        <f t="shared" si="58"/>
        <v xml:space="preserve">N445JS  </v>
      </c>
      <c r="BE649">
        <v>7</v>
      </c>
      <c r="BG649">
        <v>0</v>
      </c>
      <c r="BH649">
        <v>0</v>
      </c>
      <c r="BI649">
        <v>0</v>
      </c>
      <c r="BJ649">
        <v>2900</v>
      </c>
      <c r="BK649">
        <v>-200</v>
      </c>
      <c r="BL649" t="s">
        <v>132</v>
      </c>
      <c r="BM649">
        <v>1</v>
      </c>
      <c r="BN649">
        <v>1</v>
      </c>
      <c r="BO649">
        <v>1</v>
      </c>
      <c r="BP649">
        <v>0</v>
      </c>
      <c r="BT649">
        <v>0</v>
      </c>
      <c r="BU649">
        <v>0</v>
      </c>
      <c r="CE649" t="str">
        <f>"15:40:22.646"</f>
        <v>15:40:22.646</v>
      </c>
      <c r="CF649">
        <v>646379573</v>
      </c>
      <c r="CS649">
        <v>0</v>
      </c>
      <c r="CT649">
        <v>2</v>
      </c>
      <c r="CU649">
        <v>0</v>
      </c>
      <c r="CV649">
        <v>2</v>
      </c>
      <c r="CW649">
        <v>0</v>
      </c>
      <c r="CX649">
        <v>3</v>
      </c>
      <c r="CY649">
        <v>7</v>
      </c>
      <c r="CZ649" t="s">
        <v>133</v>
      </c>
      <c r="DA649">
        <v>125</v>
      </c>
      <c r="DB649">
        <v>1</v>
      </c>
      <c r="DC649" t="s">
        <v>134</v>
      </c>
      <c r="DD649" t="s">
        <v>135</v>
      </c>
      <c r="DG649">
        <v>2612795</v>
      </c>
      <c r="DI649">
        <v>0</v>
      </c>
      <c r="DJ649">
        <v>0</v>
      </c>
      <c r="DK649">
        <v>1</v>
      </c>
      <c r="DL649">
        <v>0</v>
      </c>
      <c r="DM649">
        <v>0</v>
      </c>
      <c r="DN649">
        <v>0</v>
      </c>
      <c r="DO649">
        <v>0</v>
      </c>
      <c r="DP649">
        <v>0</v>
      </c>
      <c r="DQ649">
        <v>0</v>
      </c>
      <c r="DR649">
        <v>0</v>
      </c>
      <c r="DS649">
        <v>0</v>
      </c>
    </row>
    <row r="650" spans="1:123" x14ac:dyDescent="0.25">
      <c r="A650" t="str">
        <f>"04/17/2026 15:40:24.409"</f>
        <v>04/17/2026 15:40:24.409</v>
      </c>
      <c r="C650" t="str">
        <f t="shared" si="55"/>
        <v>FFDFD3C0</v>
      </c>
      <c r="D650" t="s">
        <v>124</v>
      </c>
      <c r="E650" t="str">
        <f>"03"</f>
        <v>03</v>
      </c>
      <c r="H650">
        <v>160</v>
      </c>
      <c r="I650" t="s">
        <v>125</v>
      </c>
      <c r="J650" t="s">
        <v>126</v>
      </c>
      <c r="K650">
        <v>0</v>
      </c>
      <c r="L650">
        <v>3</v>
      </c>
      <c r="M650">
        <v>0</v>
      </c>
      <c r="N650">
        <v>2</v>
      </c>
      <c r="O650">
        <v>1</v>
      </c>
      <c r="P650">
        <v>0</v>
      </c>
      <c r="Q650">
        <v>0</v>
      </c>
      <c r="R650" t="s">
        <v>127</v>
      </c>
      <c r="S650" t="str">
        <f>"15:40:24.156"</f>
        <v>15:40:24.156</v>
      </c>
      <c r="T650" t="str">
        <f>"15:40:23.856"</f>
        <v>15:40:23.856</v>
      </c>
      <c r="U650" t="str">
        <f t="shared" si="56"/>
        <v>A55E09</v>
      </c>
      <c r="V650">
        <v>0</v>
      </c>
      <c r="W650">
        <v>0</v>
      </c>
      <c r="X650">
        <v>2</v>
      </c>
      <c r="Y650">
        <v>0</v>
      </c>
      <c r="AA650">
        <v>0</v>
      </c>
      <c r="AB650">
        <v>9</v>
      </c>
      <c r="AC650">
        <v>3</v>
      </c>
      <c r="AD650">
        <v>0</v>
      </c>
      <c r="AE650">
        <v>9</v>
      </c>
      <c r="AF650" t="s">
        <v>128</v>
      </c>
      <c r="AG650">
        <v>0</v>
      </c>
      <c r="AH650">
        <v>0</v>
      </c>
      <c r="AI650">
        <v>1</v>
      </c>
      <c r="AJ650">
        <v>0</v>
      </c>
      <c r="AK650" t="s">
        <v>431</v>
      </c>
      <c r="AL650">
        <v>33.722684000000001</v>
      </c>
      <c r="AM650" t="s">
        <v>432</v>
      </c>
      <c r="AN650">
        <v>-101.204853</v>
      </c>
      <c r="AO650">
        <v>100</v>
      </c>
      <c r="AP650">
        <v>3100</v>
      </c>
      <c r="AQ650" t="s">
        <v>131</v>
      </c>
      <c r="AR650">
        <v>34</v>
      </c>
      <c r="AS650">
        <v>88</v>
      </c>
      <c r="AT650">
        <v>-64</v>
      </c>
      <c r="BB650" t="str">
        <f t="shared" si="57"/>
        <v>1200</v>
      </c>
      <c r="BC650">
        <v>1</v>
      </c>
      <c r="BD650" t="str">
        <f t="shared" si="58"/>
        <v xml:space="preserve">N445JS  </v>
      </c>
      <c r="BE650">
        <v>7</v>
      </c>
      <c r="BG650">
        <v>0</v>
      </c>
      <c r="BH650">
        <v>0</v>
      </c>
      <c r="BI650">
        <v>0</v>
      </c>
      <c r="BJ650">
        <v>2900</v>
      </c>
      <c r="BK650">
        <v>-200</v>
      </c>
      <c r="BL650" t="s">
        <v>132</v>
      </c>
      <c r="BM650">
        <v>1</v>
      </c>
      <c r="BN650">
        <v>1</v>
      </c>
      <c r="BO650">
        <v>1</v>
      </c>
      <c r="BP650">
        <v>0</v>
      </c>
      <c r="BT650">
        <v>0</v>
      </c>
      <c r="BU650">
        <v>0</v>
      </c>
      <c r="CE650" t="str">
        <f>"15:40:24.161"</f>
        <v>15:40:24.161</v>
      </c>
      <c r="CF650">
        <v>161231256</v>
      </c>
      <c r="CS650">
        <v>0</v>
      </c>
      <c r="CT650">
        <v>2</v>
      </c>
      <c r="CU650">
        <v>0</v>
      </c>
      <c r="CV650">
        <v>2</v>
      </c>
      <c r="CW650">
        <v>0</v>
      </c>
      <c r="CX650">
        <v>3</v>
      </c>
      <c r="CY650">
        <v>7</v>
      </c>
      <c r="CZ650" t="s">
        <v>133</v>
      </c>
      <c r="DA650">
        <v>125</v>
      </c>
      <c r="DB650">
        <v>1</v>
      </c>
      <c r="DC650" t="s">
        <v>134</v>
      </c>
      <c r="DD650" t="s">
        <v>135</v>
      </c>
      <c r="DG650">
        <v>2614289</v>
      </c>
      <c r="DI650">
        <v>0</v>
      </c>
      <c r="DJ650">
        <v>0</v>
      </c>
      <c r="DK650">
        <v>0</v>
      </c>
      <c r="DL650">
        <v>0</v>
      </c>
      <c r="DM650">
        <v>0</v>
      </c>
      <c r="DN650">
        <v>0</v>
      </c>
      <c r="DO650">
        <v>0</v>
      </c>
      <c r="DP650">
        <v>0</v>
      </c>
      <c r="DQ650">
        <v>0</v>
      </c>
      <c r="DR650">
        <v>0</v>
      </c>
      <c r="DS650">
        <v>0</v>
      </c>
    </row>
    <row r="651" spans="1:123" x14ac:dyDescent="0.25">
      <c r="A651" t="str">
        <f>"04/17/2026 15:40:24.424"</f>
        <v>04/17/2026 15:40:24.424</v>
      </c>
      <c r="C651" t="str">
        <f t="shared" si="55"/>
        <v>FFDFD3C0</v>
      </c>
      <c r="D651" t="s">
        <v>136</v>
      </c>
      <c r="E651" t="str">
        <f>"0E"</f>
        <v>0E</v>
      </c>
      <c r="F651">
        <v>1014</v>
      </c>
      <c r="G651" t="s">
        <v>125</v>
      </c>
      <c r="J651" t="s">
        <v>137</v>
      </c>
      <c r="K651">
        <v>0</v>
      </c>
      <c r="L651">
        <v>3</v>
      </c>
      <c r="M651">
        <v>0</v>
      </c>
      <c r="N651">
        <v>2</v>
      </c>
      <c r="O651">
        <v>1</v>
      </c>
      <c r="P651">
        <v>0</v>
      </c>
      <c r="Q651">
        <v>0</v>
      </c>
      <c r="R651" t="s">
        <v>127</v>
      </c>
      <c r="S651" t="str">
        <f>"15:40:24.156"</f>
        <v>15:40:24.156</v>
      </c>
      <c r="T651" t="str">
        <f>"15:40:23.856"</f>
        <v>15:40:23.856</v>
      </c>
      <c r="U651" t="str">
        <f t="shared" si="56"/>
        <v>A55E09</v>
      </c>
      <c r="V651">
        <v>0</v>
      </c>
      <c r="W651">
        <v>0</v>
      </c>
      <c r="X651">
        <v>2</v>
      </c>
      <c r="Y651">
        <v>0</v>
      </c>
      <c r="AA651">
        <v>0</v>
      </c>
      <c r="AB651">
        <v>9</v>
      </c>
      <c r="AC651">
        <v>3</v>
      </c>
      <c r="AD651">
        <v>0</v>
      </c>
      <c r="AE651">
        <v>9</v>
      </c>
      <c r="AF651" t="s">
        <v>128</v>
      </c>
      <c r="AG651">
        <v>0</v>
      </c>
      <c r="AH651">
        <v>0</v>
      </c>
      <c r="AI651">
        <v>1</v>
      </c>
      <c r="AJ651">
        <v>0</v>
      </c>
      <c r="AK651" t="s">
        <v>431</v>
      </c>
      <c r="AL651">
        <v>33.722684000000001</v>
      </c>
      <c r="AM651" t="s">
        <v>432</v>
      </c>
      <c r="AN651">
        <v>-101.204853</v>
      </c>
      <c r="AO651">
        <v>100</v>
      </c>
      <c r="AP651">
        <v>3100</v>
      </c>
      <c r="AQ651" t="s">
        <v>131</v>
      </c>
      <c r="AR651">
        <v>34</v>
      </c>
      <c r="AS651">
        <v>88</v>
      </c>
      <c r="AT651">
        <v>-64</v>
      </c>
      <c r="BB651" t="str">
        <f t="shared" si="57"/>
        <v>1200</v>
      </c>
      <c r="BC651">
        <v>1</v>
      </c>
      <c r="BD651" t="str">
        <f t="shared" si="58"/>
        <v xml:space="preserve">N445JS  </v>
      </c>
      <c r="BE651">
        <v>7</v>
      </c>
      <c r="BG651">
        <v>0</v>
      </c>
      <c r="BH651">
        <v>0</v>
      </c>
      <c r="BI651">
        <v>0</v>
      </c>
      <c r="BJ651">
        <v>2900</v>
      </c>
      <c r="BK651">
        <v>-200</v>
      </c>
      <c r="BL651" t="s">
        <v>132</v>
      </c>
      <c r="BM651">
        <v>1</v>
      </c>
      <c r="BN651">
        <v>1</v>
      </c>
      <c r="BO651">
        <v>1</v>
      </c>
      <c r="BP651">
        <v>0</v>
      </c>
      <c r="BT651">
        <v>0</v>
      </c>
      <c r="BU651">
        <v>0</v>
      </c>
      <c r="CE651" t="str">
        <f>"15:40:24.161"</f>
        <v>15:40:24.161</v>
      </c>
      <c r="CF651">
        <v>161231256</v>
      </c>
      <c r="CS651">
        <v>0</v>
      </c>
      <c r="CT651">
        <v>2</v>
      </c>
      <c r="CU651">
        <v>0</v>
      </c>
      <c r="CV651">
        <v>2</v>
      </c>
      <c r="CW651">
        <v>0</v>
      </c>
      <c r="CX651">
        <v>3</v>
      </c>
      <c r="CY651">
        <v>7</v>
      </c>
      <c r="CZ651" t="s">
        <v>133</v>
      </c>
      <c r="DA651">
        <v>125</v>
      </c>
      <c r="DB651">
        <v>1</v>
      </c>
      <c r="DC651" t="s">
        <v>134</v>
      </c>
      <c r="DD651" t="s">
        <v>135</v>
      </c>
      <c r="DG651">
        <v>2614289</v>
      </c>
      <c r="DI651">
        <v>0</v>
      </c>
      <c r="DJ651">
        <v>0</v>
      </c>
      <c r="DK651">
        <v>1</v>
      </c>
      <c r="DL651">
        <v>0</v>
      </c>
      <c r="DM651">
        <v>0</v>
      </c>
      <c r="DN651">
        <v>0</v>
      </c>
      <c r="DO651">
        <v>0</v>
      </c>
      <c r="DP651">
        <v>0</v>
      </c>
      <c r="DQ651">
        <v>0</v>
      </c>
      <c r="DR651">
        <v>0</v>
      </c>
      <c r="DS651">
        <v>0</v>
      </c>
    </row>
    <row r="652" spans="1:123" x14ac:dyDescent="0.25">
      <c r="A652" t="str">
        <f>"04/17/2026 15:40:24.440"</f>
        <v>04/17/2026 15:40:24.440</v>
      </c>
      <c r="C652" t="str">
        <f t="shared" si="55"/>
        <v>FFDFD3C0</v>
      </c>
      <c r="D652" t="s">
        <v>136</v>
      </c>
      <c r="E652" t="str">
        <f>"0F"</f>
        <v>0F</v>
      </c>
      <c r="F652">
        <v>1015</v>
      </c>
      <c r="G652" t="s">
        <v>138</v>
      </c>
      <c r="J652" t="s">
        <v>137</v>
      </c>
      <c r="K652">
        <v>0</v>
      </c>
      <c r="L652">
        <v>3</v>
      </c>
      <c r="M652">
        <v>0</v>
      </c>
      <c r="N652">
        <v>2</v>
      </c>
      <c r="O652">
        <v>1</v>
      </c>
      <c r="P652">
        <v>0</v>
      </c>
      <c r="Q652">
        <v>0</v>
      </c>
      <c r="R652" t="s">
        <v>127</v>
      </c>
      <c r="S652" t="str">
        <f>"15:40:24.156"</f>
        <v>15:40:24.156</v>
      </c>
      <c r="T652" t="str">
        <f>"15:40:23.856"</f>
        <v>15:40:23.856</v>
      </c>
      <c r="U652" t="str">
        <f t="shared" si="56"/>
        <v>A55E09</v>
      </c>
      <c r="V652">
        <v>0</v>
      </c>
      <c r="W652">
        <v>0</v>
      </c>
      <c r="X652">
        <v>2</v>
      </c>
      <c r="Y652">
        <v>0</v>
      </c>
      <c r="AA652">
        <v>0</v>
      </c>
      <c r="AB652">
        <v>9</v>
      </c>
      <c r="AC652">
        <v>3</v>
      </c>
      <c r="AD652">
        <v>0</v>
      </c>
      <c r="AE652">
        <v>9</v>
      </c>
      <c r="AF652" t="s">
        <v>128</v>
      </c>
      <c r="AG652">
        <v>0</v>
      </c>
      <c r="AH652">
        <v>0</v>
      </c>
      <c r="AI652">
        <v>1</v>
      </c>
      <c r="AJ652">
        <v>0</v>
      </c>
      <c r="AK652" t="s">
        <v>431</v>
      </c>
      <c r="AL652">
        <v>33.722684000000001</v>
      </c>
      <c r="AM652" t="s">
        <v>432</v>
      </c>
      <c r="AN652">
        <v>-101.204853</v>
      </c>
      <c r="AO652">
        <v>100</v>
      </c>
      <c r="AP652">
        <v>3100</v>
      </c>
      <c r="AQ652" t="s">
        <v>131</v>
      </c>
      <c r="AR652">
        <v>34</v>
      </c>
      <c r="AS652">
        <v>88</v>
      </c>
      <c r="AT652">
        <v>-64</v>
      </c>
      <c r="BB652" t="str">
        <f t="shared" si="57"/>
        <v>1200</v>
      </c>
      <c r="BC652">
        <v>1</v>
      </c>
      <c r="BD652" t="str">
        <f t="shared" si="58"/>
        <v xml:space="preserve">N445JS  </v>
      </c>
      <c r="BE652">
        <v>7</v>
      </c>
      <c r="BG652">
        <v>0</v>
      </c>
      <c r="BH652">
        <v>0</v>
      </c>
      <c r="BI652">
        <v>0</v>
      </c>
      <c r="BJ652">
        <v>2900</v>
      </c>
      <c r="BK652">
        <v>-200</v>
      </c>
      <c r="BL652" t="s">
        <v>132</v>
      </c>
      <c r="BM652">
        <v>1</v>
      </c>
      <c r="BN652">
        <v>1</v>
      </c>
      <c r="BO652">
        <v>1</v>
      </c>
      <c r="BP652">
        <v>0</v>
      </c>
      <c r="BT652">
        <v>0</v>
      </c>
      <c r="BU652">
        <v>0</v>
      </c>
      <c r="CE652" t="str">
        <f>"15:40:24.161"</f>
        <v>15:40:24.161</v>
      </c>
      <c r="CF652">
        <v>161231256</v>
      </c>
      <c r="CS652">
        <v>0</v>
      </c>
      <c r="CT652">
        <v>2</v>
      </c>
      <c r="CU652">
        <v>0</v>
      </c>
      <c r="CV652">
        <v>2</v>
      </c>
      <c r="CW652">
        <v>0</v>
      </c>
      <c r="CX652">
        <v>3</v>
      </c>
      <c r="CY652">
        <v>7</v>
      </c>
      <c r="CZ652" t="s">
        <v>133</v>
      </c>
      <c r="DA652">
        <v>125</v>
      </c>
      <c r="DB652">
        <v>1</v>
      </c>
      <c r="DC652" t="s">
        <v>134</v>
      </c>
      <c r="DD652" t="s">
        <v>135</v>
      </c>
      <c r="DG652">
        <v>2614289</v>
      </c>
      <c r="DI652">
        <v>0</v>
      </c>
      <c r="DJ652">
        <v>0</v>
      </c>
      <c r="DK652">
        <v>1</v>
      </c>
      <c r="DL652">
        <v>0</v>
      </c>
      <c r="DM652">
        <v>0</v>
      </c>
      <c r="DN652">
        <v>0</v>
      </c>
      <c r="DO652">
        <v>0</v>
      </c>
      <c r="DP652">
        <v>0</v>
      </c>
      <c r="DQ652">
        <v>0</v>
      </c>
      <c r="DR652">
        <v>0</v>
      </c>
      <c r="DS652">
        <v>0</v>
      </c>
    </row>
    <row r="653" spans="1:123" x14ac:dyDescent="0.25">
      <c r="A653" t="str">
        <f>"04/17/2026 15:40:24.442"</f>
        <v>04/17/2026 15:40:24.442</v>
      </c>
      <c r="C653" t="str">
        <f t="shared" si="55"/>
        <v>FFDFD3C0</v>
      </c>
      <c r="D653" t="s">
        <v>139</v>
      </c>
      <c r="E653" t="str">
        <f>"28"</f>
        <v>28</v>
      </c>
      <c r="H653">
        <v>140</v>
      </c>
      <c r="I653" t="s">
        <v>140</v>
      </c>
      <c r="J653" t="s">
        <v>141</v>
      </c>
      <c r="K653">
        <v>0</v>
      </c>
      <c r="L653">
        <v>3</v>
      </c>
      <c r="M653">
        <v>0</v>
      </c>
      <c r="N653">
        <v>2</v>
      </c>
      <c r="O653">
        <v>1</v>
      </c>
      <c r="P653">
        <v>0</v>
      </c>
      <c r="Q653">
        <v>0</v>
      </c>
      <c r="R653" t="s">
        <v>127</v>
      </c>
      <c r="S653" t="str">
        <f>"15:40:24.156"</f>
        <v>15:40:24.156</v>
      </c>
      <c r="T653" t="str">
        <f>"15:40:23.856"</f>
        <v>15:40:23.856</v>
      </c>
      <c r="U653" t="str">
        <f t="shared" si="56"/>
        <v>A55E09</v>
      </c>
      <c r="V653">
        <v>0</v>
      </c>
      <c r="W653">
        <v>0</v>
      </c>
      <c r="X653">
        <v>2</v>
      </c>
      <c r="Y653">
        <v>0</v>
      </c>
      <c r="AA653">
        <v>0</v>
      </c>
      <c r="AB653">
        <v>9</v>
      </c>
      <c r="AC653">
        <v>3</v>
      </c>
      <c r="AD653">
        <v>0</v>
      </c>
      <c r="AE653">
        <v>9</v>
      </c>
      <c r="AF653" t="s">
        <v>128</v>
      </c>
      <c r="AG653">
        <v>0</v>
      </c>
      <c r="AH653">
        <v>0</v>
      </c>
      <c r="AI653">
        <v>1</v>
      </c>
      <c r="AJ653">
        <v>0</v>
      </c>
      <c r="AK653" t="s">
        <v>431</v>
      </c>
      <c r="AL653">
        <v>33.722684000000001</v>
      </c>
      <c r="AM653" t="s">
        <v>432</v>
      </c>
      <c r="AN653">
        <v>-101.204853</v>
      </c>
      <c r="AO653">
        <v>100</v>
      </c>
      <c r="AP653">
        <v>3100</v>
      </c>
      <c r="AQ653" t="s">
        <v>131</v>
      </c>
      <c r="AR653">
        <v>34</v>
      </c>
      <c r="AS653">
        <v>88</v>
      </c>
      <c r="AT653">
        <v>-64</v>
      </c>
      <c r="BB653" t="str">
        <f t="shared" si="57"/>
        <v>1200</v>
      </c>
      <c r="BC653">
        <v>1</v>
      </c>
      <c r="BD653" t="str">
        <f t="shared" si="58"/>
        <v xml:space="preserve">N445JS  </v>
      </c>
      <c r="BE653">
        <v>7</v>
      </c>
      <c r="BG653">
        <v>0</v>
      </c>
      <c r="BH653">
        <v>0</v>
      </c>
      <c r="BI653">
        <v>0</v>
      </c>
      <c r="BJ653">
        <v>2900</v>
      </c>
      <c r="BK653">
        <v>-200</v>
      </c>
      <c r="BL653" t="s">
        <v>132</v>
      </c>
      <c r="BM653">
        <v>1</v>
      </c>
      <c r="BN653">
        <v>1</v>
      </c>
      <c r="BO653">
        <v>1</v>
      </c>
      <c r="BP653">
        <v>0</v>
      </c>
      <c r="BT653">
        <v>0</v>
      </c>
      <c r="BU653">
        <v>0</v>
      </c>
      <c r="CE653" t="str">
        <f>"15:40:24.161"</f>
        <v>15:40:24.161</v>
      </c>
      <c r="CF653">
        <v>161231256</v>
      </c>
      <c r="CS653">
        <v>0</v>
      </c>
      <c r="CT653">
        <v>2</v>
      </c>
      <c r="CU653">
        <v>0</v>
      </c>
      <c r="CV653">
        <v>2</v>
      </c>
      <c r="CW653">
        <v>0</v>
      </c>
      <c r="CX653">
        <v>3</v>
      </c>
      <c r="CY653">
        <v>7</v>
      </c>
      <c r="CZ653" t="s">
        <v>133</v>
      </c>
      <c r="DA653">
        <v>125</v>
      </c>
      <c r="DB653">
        <v>1</v>
      </c>
      <c r="DC653" t="s">
        <v>134</v>
      </c>
      <c r="DD653" t="s">
        <v>135</v>
      </c>
      <c r="DG653">
        <v>2614289</v>
      </c>
      <c r="DI653">
        <v>0</v>
      </c>
      <c r="DJ653">
        <v>0</v>
      </c>
      <c r="DK653">
        <v>1</v>
      </c>
      <c r="DL653">
        <v>0</v>
      </c>
      <c r="DM653">
        <v>0</v>
      </c>
      <c r="DN653">
        <v>0</v>
      </c>
      <c r="DO653">
        <v>0</v>
      </c>
      <c r="DP653">
        <v>0</v>
      </c>
      <c r="DQ653">
        <v>0</v>
      </c>
      <c r="DR653">
        <v>0</v>
      </c>
      <c r="DS653">
        <v>0</v>
      </c>
    </row>
    <row r="654" spans="1:123" x14ac:dyDescent="0.25">
      <c r="A654" t="str">
        <f>"04/17/2026 15:40:25.927"</f>
        <v>04/17/2026 15:40:25.927</v>
      </c>
      <c r="C654" t="str">
        <f t="shared" si="55"/>
        <v>FFDFD3C0</v>
      </c>
      <c r="D654" t="s">
        <v>136</v>
      </c>
      <c r="E654" t="str">
        <f>"0E"</f>
        <v>0E</v>
      </c>
      <c r="F654">
        <v>1014</v>
      </c>
      <c r="G654" t="s">
        <v>125</v>
      </c>
      <c r="J654" t="s">
        <v>137</v>
      </c>
      <c r="K654">
        <v>0</v>
      </c>
      <c r="L654">
        <v>3</v>
      </c>
      <c r="M654">
        <v>0</v>
      </c>
      <c r="N654">
        <v>2</v>
      </c>
      <c r="O654">
        <v>1</v>
      </c>
      <c r="P654">
        <v>0</v>
      </c>
      <c r="Q654">
        <v>0</v>
      </c>
      <c r="R654" t="s">
        <v>127</v>
      </c>
      <c r="S654" t="str">
        <f>"15:40:25.656"</f>
        <v>15:40:25.656</v>
      </c>
      <c r="T654" t="str">
        <f>"15:40:25.256"</f>
        <v>15:40:25.256</v>
      </c>
      <c r="U654" t="str">
        <f t="shared" si="56"/>
        <v>A55E09</v>
      </c>
      <c r="V654">
        <v>0</v>
      </c>
      <c r="W654">
        <v>0</v>
      </c>
      <c r="X654">
        <v>2</v>
      </c>
      <c r="Y654">
        <v>0</v>
      </c>
      <c r="AA654">
        <v>0</v>
      </c>
      <c r="AB654">
        <v>9</v>
      </c>
      <c r="AC654">
        <v>3</v>
      </c>
      <c r="AD654">
        <v>0</v>
      </c>
      <c r="AE654">
        <v>9</v>
      </c>
      <c r="AF654" t="s">
        <v>128</v>
      </c>
      <c r="AG654">
        <v>0</v>
      </c>
      <c r="AH654">
        <v>0</v>
      </c>
      <c r="AI654">
        <v>1</v>
      </c>
      <c r="AJ654">
        <v>0</v>
      </c>
      <c r="AK654" t="s">
        <v>433</v>
      </c>
      <c r="AL654">
        <v>33.723284999999997</v>
      </c>
      <c r="AM654" t="s">
        <v>434</v>
      </c>
      <c r="AN654">
        <v>-101.20457399999999</v>
      </c>
      <c r="AO654">
        <v>100</v>
      </c>
      <c r="AP654">
        <v>3100</v>
      </c>
      <c r="AQ654" t="s">
        <v>131</v>
      </c>
      <c r="AR654">
        <v>32</v>
      </c>
      <c r="AS654">
        <v>88</v>
      </c>
      <c r="AT654">
        <v>64</v>
      </c>
      <c r="BB654" t="str">
        <f t="shared" si="57"/>
        <v>1200</v>
      </c>
      <c r="BC654">
        <v>1</v>
      </c>
      <c r="BD654" t="str">
        <f t="shared" si="58"/>
        <v xml:space="preserve">N445JS  </v>
      </c>
      <c r="BE654">
        <v>7</v>
      </c>
      <c r="BG654">
        <v>0</v>
      </c>
      <c r="BH654">
        <v>0</v>
      </c>
      <c r="BI654">
        <v>0</v>
      </c>
      <c r="BJ654">
        <v>2900</v>
      </c>
      <c r="BK654">
        <v>-200</v>
      </c>
      <c r="BL654" t="s">
        <v>132</v>
      </c>
      <c r="BM654">
        <v>1</v>
      </c>
      <c r="BN654">
        <v>1</v>
      </c>
      <c r="BO654">
        <v>1</v>
      </c>
      <c r="BP654">
        <v>0</v>
      </c>
      <c r="BT654">
        <v>0</v>
      </c>
      <c r="BU654">
        <v>0</v>
      </c>
      <c r="CE654" t="str">
        <f>"15:40:25.661"</f>
        <v>15:40:25.661</v>
      </c>
      <c r="CF654">
        <v>661084402</v>
      </c>
      <c r="CS654">
        <v>0</v>
      </c>
      <c r="CT654">
        <v>2</v>
      </c>
      <c r="CU654">
        <v>0</v>
      </c>
      <c r="CV654">
        <v>2</v>
      </c>
      <c r="CW654">
        <v>0</v>
      </c>
      <c r="CX654">
        <v>4</v>
      </c>
      <c r="CY654">
        <v>7</v>
      </c>
      <c r="CZ654" t="s">
        <v>133</v>
      </c>
      <c r="DA654">
        <v>125</v>
      </c>
      <c r="DB654">
        <v>1</v>
      </c>
      <c r="DC654" t="s">
        <v>134</v>
      </c>
      <c r="DD654" t="s">
        <v>135</v>
      </c>
      <c r="DG654">
        <v>2615993</v>
      </c>
      <c r="DI654">
        <v>0</v>
      </c>
      <c r="DJ654">
        <v>0</v>
      </c>
      <c r="DK654">
        <v>0</v>
      </c>
      <c r="DL654">
        <v>0</v>
      </c>
      <c r="DM654">
        <v>0</v>
      </c>
      <c r="DN654">
        <v>0</v>
      </c>
      <c r="DO654">
        <v>0</v>
      </c>
      <c r="DP654">
        <v>0</v>
      </c>
      <c r="DQ654">
        <v>0</v>
      </c>
      <c r="DR654">
        <v>0</v>
      </c>
      <c r="DS654">
        <v>0</v>
      </c>
    </row>
    <row r="655" spans="1:123" x14ac:dyDescent="0.25">
      <c r="A655" t="str">
        <f>"04/17/2026 15:40:25.943"</f>
        <v>04/17/2026 15:40:25.943</v>
      </c>
      <c r="C655" t="str">
        <f t="shared" si="55"/>
        <v>FFDFD3C0</v>
      </c>
      <c r="D655" t="s">
        <v>136</v>
      </c>
      <c r="E655" t="str">
        <f>"0F"</f>
        <v>0F</v>
      </c>
      <c r="F655">
        <v>1015</v>
      </c>
      <c r="G655" t="s">
        <v>138</v>
      </c>
      <c r="J655" t="s">
        <v>137</v>
      </c>
      <c r="K655">
        <v>0</v>
      </c>
      <c r="L655">
        <v>3</v>
      </c>
      <c r="M655">
        <v>0</v>
      </c>
      <c r="N655">
        <v>2</v>
      </c>
      <c r="O655">
        <v>1</v>
      </c>
      <c r="P655">
        <v>0</v>
      </c>
      <c r="Q655">
        <v>0</v>
      </c>
      <c r="R655" t="s">
        <v>127</v>
      </c>
      <c r="S655" t="str">
        <f>"15:40:25.656"</f>
        <v>15:40:25.656</v>
      </c>
      <c r="T655" t="str">
        <f>"15:40:25.256"</f>
        <v>15:40:25.256</v>
      </c>
      <c r="U655" t="str">
        <f t="shared" si="56"/>
        <v>A55E09</v>
      </c>
      <c r="V655">
        <v>0</v>
      </c>
      <c r="W655">
        <v>0</v>
      </c>
      <c r="X655">
        <v>2</v>
      </c>
      <c r="Y655">
        <v>0</v>
      </c>
      <c r="AA655">
        <v>0</v>
      </c>
      <c r="AB655">
        <v>9</v>
      </c>
      <c r="AC655">
        <v>3</v>
      </c>
      <c r="AD655">
        <v>0</v>
      </c>
      <c r="AE655">
        <v>9</v>
      </c>
      <c r="AF655" t="s">
        <v>128</v>
      </c>
      <c r="AG655">
        <v>0</v>
      </c>
      <c r="AH655">
        <v>0</v>
      </c>
      <c r="AI655">
        <v>1</v>
      </c>
      <c r="AJ655">
        <v>0</v>
      </c>
      <c r="AK655" t="s">
        <v>433</v>
      </c>
      <c r="AL655">
        <v>33.723284999999997</v>
      </c>
      <c r="AM655" t="s">
        <v>434</v>
      </c>
      <c r="AN655">
        <v>-101.20457399999999</v>
      </c>
      <c r="AO655">
        <v>100</v>
      </c>
      <c r="AP655">
        <v>3100</v>
      </c>
      <c r="AQ655" t="s">
        <v>131</v>
      </c>
      <c r="AR655">
        <v>32</v>
      </c>
      <c r="AS655">
        <v>88</v>
      </c>
      <c r="AT655">
        <v>64</v>
      </c>
      <c r="BB655" t="str">
        <f t="shared" si="57"/>
        <v>1200</v>
      </c>
      <c r="BC655">
        <v>1</v>
      </c>
      <c r="BD655" t="str">
        <f t="shared" si="58"/>
        <v xml:space="preserve">N445JS  </v>
      </c>
      <c r="BE655">
        <v>7</v>
      </c>
      <c r="BG655">
        <v>0</v>
      </c>
      <c r="BH655">
        <v>0</v>
      </c>
      <c r="BI655">
        <v>0</v>
      </c>
      <c r="BJ655">
        <v>2900</v>
      </c>
      <c r="BK655">
        <v>-200</v>
      </c>
      <c r="BL655" t="s">
        <v>132</v>
      </c>
      <c r="BM655">
        <v>1</v>
      </c>
      <c r="BN655">
        <v>1</v>
      </c>
      <c r="BO655">
        <v>1</v>
      </c>
      <c r="BP655">
        <v>0</v>
      </c>
      <c r="BT655">
        <v>0</v>
      </c>
      <c r="BU655">
        <v>0</v>
      </c>
      <c r="CE655" t="str">
        <f>"15:40:25.661"</f>
        <v>15:40:25.661</v>
      </c>
      <c r="CF655">
        <v>661084402</v>
      </c>
      <c r="CS655">
        <v>0</v>
      </c>
      <c r="CT655">
        <v>2</v>
      </c>
      <c r="CU655">
        <v>0</v>
      </c>
      <c r="CV655">
        <v>2</v>
      </c>
      <c r="CW655">
        <v>0</v>
      </c>
      <c r="CX655">
        <v>4</v>
      </c>
      <c r="CY655">
        <v>7</v>
      </c>
      <c r="CZ655" t="s">
        <v>133</v>
      </c>
      <c r="DA655">
        <v>125</v>
      </c>
      <c r="DB655">
        <v>1</v>
      </c>
      <c r="DC655" t="s">
        <v>134</v>
      </c>
      <c r="DD655" t="s">
        <v>135</v>
      </c>
      <c r="DG655">
        <v>2615993</v>
      </c>
      <c r="DI655">
        <v>0</v>
      </c>
      <c r="DJ655">
        <v>0</v>
      </c>
      <c r="DK655">
        <v>1</v>
      </c>
      <c r="DL655">
        <v>0</v>
      </c>
      <c r="DM655">
        <v>0</v>
      </c>
      <c r="DN655">
        <v>0</v>
      </c>
      <c r="DO655">
        <v>0</v>
      </c>
      <c r="DP655">
        <v>0</v>
      </c>
      <c r="DQ655">
        <v>0</v>
      </c>
      <c r="DR655">
        <v>0</v>
      </c>
      <c r="DS655">
        <v>0</v>
      </c>
    </row>
    <row r="656" spans="1:123" x14ac:dyDescent="0.25">
      <c r="A656" t="str">
        <f>"04/17/2026 15:40:25.945"</f>
        <v>04/17/2026 15:40:25.945</v>
      </c>
      <c r="C656" t="str">
        <f t="shared" si="55"/>
        <v>FFDFD3C0</v>
      </c>
      <c r="D656" t="s">
        <v>139</v>
      </c>
      <c r="E656" t="str">
        <f>"28"</f>
        <v>28</v>
      </c>
      <c r="H656">
        <v>140</v>
      </c>
      <c r="I656" t="s">
        <v>140</v>
      </c>
      <c r="J656" t="s">
        <v>141</v>
      </c>
      <c r="K656">
        <v>0</v>
      </c>
      <c r="L656">
        <v>3</v>
      </c>
      <c r="M656">
        <v>0</v>
      </c>
      <c r="N656">
        <v>2</v>
      </c>
      <c r="O656">
        <v>1</v>
      </c>
      <c r="P656">
        <v>0</v>
      </c>
      <c r="Q656">
        <v>0</v>
      </c>
      <c r="R656" t="s">
        <v>127</v>
      </c>
      <c r="S656" t="str">
        <f>"15:40:25.656"</f>
        <v>15:40:25.656</v>
      </c>
      <c r="T656" t="str">
        <f>"15:40:25.256"</f>
        <v>15:40:25.256</v>
      </c>
      <c r="U656" t="str">
        <f t="shared" si="56"/>
        <v>A55E09</v>
      </c>
      <c r="V656">
        <v>0</v>
      </c>
      <c r="W656">
        <v>0</v>
      </c>
      <c r="X656">
        <v>2</v>
      </c>
      <c r="Y656">
        <v>0</v>
      </c>
      <c r="AA656">
        <v>0</v>
      </c>
      <c r="AB656">
        <v>9</v>
      </c>
      <c r="AC656">
        <v>3</v>
      </c>
      <c r="AD656">
        <v>0</v>
      </c>
      <c r="AE656">
        <v>9</v>
      </c>
      <c r="AF656" t="s">
        <v>128</v>
      </c>
      <c r="AG656">
        <v>0</v>
      </c>
      <c r="AH656">
        <v>0</v>
      </c>
      <c r="AI656">
        <v>1</v>
      </c>
      <c r="AJ656">
        <v>0</v>
      </c>
      <c r="AK656" t="s">
        <v>433</v>
      </c>
      <c r="AL656">
        <v>33.723284999999997</v>
      </c>
      <c r="AM656" t="s">
        <v>434</v>
      </c>
      <c r="AN656">
        <v>-101.20457399999999</v>
      </c>
      <c r="AO656">
        <v>100</v>
      </c>
      <c r="AP656">
        <v>3100</v>
      </c>
      <c r="AQ656" t="s">
        <v>131</v>
      </c>
      <c r="AR656">
        <v>32</v>
      </c>
      <c r="AS656">
        <v>88</v>
      </c>
      <c r="AT656">
        <v>64</v>
      </c>
      <c r="BB656" t="str">
        <f t="shared" si="57"/>
        <v>1200</v>
      </c>
      <c r="BC656">
        <v>1</v>
      </c>
      <c r="BD656" t="str">
        <f t="shared" si="58"/>
        <v xml:space="preserve">N445JS  </v>
      </c>
      <c r="BE656">
        <v>7</v>
      </c>
      <c r="BG656">
        <v>0</v>
      </c>
      <c r="BH656">
        <v>0</v>
      </c>
      <c r="BI656">
        <v>0</v>
      </c>
      <c r="BJ656">
        <v>2900</v>
      </c>
      <c r="BK656">
        <v>-200</v>
      </c>
      <c r="BL656" t="s">
        <v>132</v>
      </c>
      <c r="BM656">
        <v>1</v>
      </c>
      <c r="BN656">
        <v>1</v>
      </c>
      <c r="BO656">
        <v>1</v>
      </c>
      <c r="BP656">
        <v>0</v>
      </c>
      <c r="BT656">
        <v>0</v>
      </c>
      <c r="BU656">
        <v>0</v>
      </c>
      <c r="CE656" t="str">
        <f>"15:40:25.661"</f>
        <v>15:40:25.661</v>
      </c>
      <c r="CF656">
        <v>661084402</v>
      </c>
      <c r="CS656">
        <v>0</v>
      </c>
      <c r="CT656">
        <v>2</v>
      </c>
      <c r="CU656">
        <v>0</v>
      </c>
      <c r="CV656">
        <v>2</v>
      </c>
      <c r="CW656">
        <v>0</v>
      </c>
      <c r="CX656">
        <v>4</v>
      </c>
      <c r="CY656">
        <v>7</v>
      </c>
      <c r="CZ656" t="s">
        <v>133</v>
      </c>
      <c r="DA656">
        <v>125</v>
      </c>
      <c r="DB656">
        <v>1</v>
      </c>
      <c r="DC656" t="s">
        <v>134</v>
      </c>
      <c r="DD656" t="s">
        <v>135</v>
      </c>
      <c r="DG656">
        <v>2615993</v>
      </c>
      <c r="DI656">
        <v>0</v>
      </c>
      <c r="DJ656">
        <v>0</v>
      </c>
      <c r="DK656">
        <v>1</v>
      </c>
      <c r="DL656">
        <v>0</v>
      </c>
      <c r="DM656">
        <v>0</v>
      </c>
      <c r="DN656">
        <v>0</v>
      </c>
      <c r="DO656">
        <v>0</v>
      </c>
      <c r="DP656">
        <v>0</v>
      </c>
      <c r="DQ656">
        <v>0</v>
      </c>
      <c r="DR656">
        <v>0</v>
      </c>
      <c r="DS656">
        <v>0</v>
      </c>
    </row>
    <row r="657" spans="1:123" x14ac:dyDescent="0.25">
      <c r="A657" t="str">
        <f>"04/17/2026 15:40:25.962"</f>
        <v>04/17/2026 15:40:25.962</v>
      </c>
      <c r="C657" t="str">
        <f t="shared" si="55"/>
        <v>FFDFD3C0</v>
      </c>
      <c r="D657" t="s">
        <v>124</v>
      </c>
      <c r="E657" t="str">
        <f>"03"</f>
        <v>03</v>
      </c>
      <c r="H657">
        <v>160</v>
      </c>
      <c r="I657" t="s">
        <v>125</v>
      </c>
      <c r="J657" t="s">
        <v>126</v>
      </c>
      <c r="K657">
        <v>0</v>
      </c>
      <c r="L657">
        <v>3</v>
      </c>
      <c r="M657">
        <v>0</v>
      </c>
      <c r="N657">
        <v>2</v>
      </c>
      <c r="O657">
        <v>1</v>
      </c>
      <c r="P657">
        <v>0</v>
      </c>
      <c r="Q657">
        <v>0</v>
      </c>
      <c r="R657" t="s">
        <v>127</v>
      </c>
      <c r="S657" t="str">
        <f>"15:40:25.656"</f>
        <v>15:40:25.656</v>
      </c>
      <c r="T657" t="str">
        <f>"15:40:25.256"</f>
        <v>15:40:25.256</v>
      </c>
      <c r="U657" t="str">
        <f t="shared" si="56"/>
        <v>A55E09</v>
      </c>
      <c r="V657">
        <v>0</v>
      </c>
      <c r="W657">
        <v>0</v>
      </c>
      <c r="X657">
        <v>2</v>
      </c>
      <c r="Y657">
        <v>0</v>
      </c>
      <c r="AA657">
        <v>0</v>
      </c>
      <c r="AB657">
        <v>9</v>
      </c>
      <c r="AC657">
        <v>3</v>
      </c>
      <c r="AD657">
        <v>0</v>
      </c>
      <c r="AE657">
        <v>9</v>
      </c>
      <c r="AF657" t="s">
        <v>128</v>
      </c>
      <c r="AG657">
        <v>0</v>
      </c>
      <c r="AH657">
        <v>0</v>
      </c>
      <c r="AI657">
        <v>1</v>
      </c>
      <c r="AJ657">
        <v>0</v>
      </c>
      <c r="AK657" t="s">
        <v>433</v>
      </c>
      <c r="AL657">
        <v>33.723284999999997</v>
      </c>
      <c r="AM657" t="s">
        <v>434</v>
      </c>
      <c r="AN657">
        <v>-101.20457399999999</v>
      </c>
      <c r="AO657">
        <v>100</v>
      </c>
      <c r="AP657">
        <v>3100</v>
      </c>
      <c r="AQ657" t="s">
        <v>131</v>
      </c>
      <c r="AR657">
        <v>32</v>
      </c>
      <c r="AS657">
        <v>88</v>
      </c>
      <c r="AT657">
        <v>64</v>
      </c>
      <c r="BB657" t="str">
        <f t="shared" si="57"/>
        <v>1200</v>
      </c>
      <c r="BC657">
        <v>1</v>
      </c>
      <c r="BD657" t="str">
        <f t="shared" si="58"/>
        <v xml:space="preserve">N445JS  </v>
      </c>
      <c r="BE657">
        <v>7</v>
      </c>
      <c r="BG657">
        <v>0</v>
      </c>
      <c r="BH657">
        <v>0</v>
      </c>
      <c r="BI657">
        <v>0</v>
      </c>
      <c r="BJ657">
        <v>2900</v>
      </c>
      <c r="BK657">
        <v>-200</v>
      </c>
      <c r="BL657" t="s">
        <v>132</v>
      </c>
      <c r="BM657">
        <v>1</v>
      </c>
      <c r="BN657">
        <v>1</v>
      </c>
      <c r="BO657">
        <v>1</v>
      </c>
      <c r="BP657">
        <v>0</v>
      </c>
      <c r="BT657">
        <v>0</v>
      </c>
      <c r="BU657">
        <v>0</v>
      </c>
      <c r="CE657" t="str">
        <f>"15:40:25.661"</f>
        <v>15:40:25.661</v>
      </c>
      <c r="CF657">
        <v>661084402</v>
      </c>
      <c r="CS657">
        <v>0</v>
      </c>
      <c r="CT657">
        <v>2</v>
      </c>
      <c r="CU657">
        <v>0</v>
      </c>
      <c r="CV657">
        <v>2</v>
      </c>
      <c r="CW657">
        <v>0</v>
      </c>
      <c r="CX657">
        <v>4</v>
      </c>
      <c r="CY657">
        <v>7</v>
      </c>
      <c r="CZ657" t="s">
        <v>133</v>
      </c>
      <c r="DA657">
        <v>125</v>
      </c>
      <c r="DB657">
        <v>1</v>
      </c>
      <c r="DC657" t="s">
        <v>134</v>
      </c>
      <c r="DD657" t="s">
        <v>135</v>
      </c>
      <c r="DG657">
        <v>2615993</v>
      </c>
      <c r="DI657">
        <v>0</v>
      </c>
      <c r="DJ657">
        <v>0</v>
      </c>
      <c r="DK657">
        <v>1</v>
      </c>
      <c r="DL657">
        <v>0</v>
      </c>
      <c r="DM657">
        <v>0</v>
      </c>
      <c r="DN657">
        <v>0</v>
      </c>
      <c r="DO657">
        <v>0</v>
      </c>
      <c r="DP657">
        <v>0</v>
      </c>
      <c r="DQ657">
        <v>0</v>
      </c>
      <c r="DR657">
        <v>0</v>
      </c>
      <c r="DS657">
        <v>0</v>
      </c>
    </row>
    <row r="658" spans="1:123" x14ac:dyDescent="0.25">
      <c r="A658" t="str">
        <f>"04/17/2026 15:40:27.014"</f>
        <v>04/17/2026 15:40:27.014</v>
      </c>
      <c r="C658" t="str">
        <f t="shared" si="55"/>
        <v>FFDFD3C0</v>
      </c>
      <c r="D658" t="s">
        <v>124</v>
      </c>
      <c r="E658" t="str">
        <f>"03"</f>
        <v>03</v>
      </c>
      <c r="H658">
        <v>160</v>
      </c>
      <c r="I658" t="s">
        <v>125</v>
      </c>
      <c r="J658" t="s">
        <v>126</v>
      </c>
      <c r="K658">
        <v>0</v>
      </c>
      <c r="L658">
        <v>3</v>
      </c>
      <c r="M658">
        <v>0</v>
      </c>
      <c r="N658">
        <v>2</v>
      </c>
      <c r="O658">
        <v>1</v>
      </c>
      <c r="P658">
        <v>0</v>
      </c>
      <c r="Q658">
        <v>0</v>
      </c>
      <c r="R658" t="s">
        <v>127</v>
      </c>
      <c r="S658" t="str">
        <f>"15:40:26.750"</f>
        <v>15:40:26.750</v>
      </c>
      <c r="T658" t="str">
        <f>"15:40:26.350"</f>
        <v>15:40:26.350</v>
      </c>
      <c r="U658" t="str">
        <f t="shared" si="56"/>
        <v>A55E09</v>
      </c>
      <c r="V658">
        <v>0</v>
      </c>
      <c r="W658">
        <v>0</v>
      </c>
      <c r="X658">
        <v>2</v>
      </c>
      <c r="Y658">
        <v>0</v>
      </c>
      <c r="AA658">
        <v>0</v>
      </c>
      <c r="AB658">
        <v>9</v>
      </c>
      <c r="AC658">
        <v>3</v>
      </c>
      <c r="AD658">
        <v>0</v>
      </c>
      <c r="AE658">
        <v>9</v>
      </c>
      <c r="AF658" t="s">
        <v>128</v>
      </c>
      <c r="AG658">
        <v>0</v>
      </c>
      <c r="AH658">
        <v>0</v>
      </c>
      <c r="AI658">
        <v>1</v>
      </c>
      <c r="AJ658">
        <v>0</v>
      </c>
      <c r="AK658" t="s">
        <v>435</v>
      </c>
      <c r="AL658">
        <v>33.723736000000002</v>
      </c>
      <c r="AM658" t="s">
        <v>239</v>
      </c>
      <c r="AN658">
        <v>-101.204402</v>
      </c>
      <c r="AO658">
        <v>100</v>
      </c>
      <c r="AP658">
        <v>3100</v>
      </c>
      <c r="AQ658" t="s">
        <v>131</v>
      </c>
      <c r="AR658">
        <v>31</v>
      </c>
      <c r="AS658">
        <v>87</v>
      </c>
      <c r="AT658">
        <v>64</v>
      </c>
      <c r="BB658" t="str">
        <f t="shared" si="57"/>
        <v>1200</v>
      </c>
      <c r="BC658">
        <v>1</v>
      </c>
      <c r="BD658" t="str">
        <f t="shared" si="58"/>
        <v xml:space="preserve">N445JS  </v>
      </c>
      <c r="BE658">
        <v>7</v>
      </c>
      <c r="BG658">
        <v>0</v>
      </c>
      <c r="BH658">
        <v>0</v>
      </c>
      <c r="BI658">
        <v>0</v>
      </c>
      <c r="BJ658">
        <v>2900</v>
      </c>
      <c r="BK658">
        <v>-200</v>
      </c>
      <c r="BL658" t="s">
        <v>132</v>
      </c>
      <c r="BM658">
        <v>1</v>
      </c>
      <c r="BN658">
        <v>1</v>
      </c>
      <c r="BO658">
        <v>1</v>
      </c>
      <c r="BP658">
        <v>0</v>
      </c>
      <c r="BT658">
        <v>0</v>
      </c>
      <c r="BU658">
        <v>0</v>
      </c>
      <c r="CE658" t="str">
        <f>"15:40:26.756"</f>
        <v>15:40:26.756</v>
      </c>
      <c r="CF658">
        <v>755977140</v>
      </c>
      <c r="CS658">
        <v>0</v>
      </c>
      <c r="CT658">
        <v>2</v>
      </c>
      <c r="CU658">
        <v>0</v>
      </c>
      <c r="CV658">
        <v>2</v>
      </c>
      <c r="CW658">
        <v>0</v>
      </c>
      <c r="CX658">
        <v>4</v>
      </c>
      <c r="CY658">
        <v>7</v>
      </c>
      <c r="CZ658" t="s">
        <v>133</v>
      </c>
      <c r="DA658">
        <v>125</v>
      </c>
      <c r="DB658">
        <v>1</v>
      </c>
      <c r="DC658" t="s">
        <v>134</v>
      </c>
      <c r="DD658" t="s">
        <v>135</v>
      </c>
      <c r="DG658">
        <v>2617145</v>
      </c>
      <c r="DI658">
        <v>0</v>
      </c>
      <c r="DJ658">
        <v>0</v>
      </c>
      <c r="DK658">
        <v>0</v>
      </c>
      <c r="DL658">
        <v>0</v>
      </c>
      <c r="DM658">
        <v>0</v>
      </c>
      <c r="DN658">
        <v>0</v>
      </c>
      <c r="DO658">
        <v>0</v>
      </c>
      <c r="DP658">
        <v>0</v>
      </c>
      <c r="DQ658">
        <v>0</v>
      </c>
      <c r="DR658">
        <v>0</v>
      </c>
      <c r="DS658">
        <v>0</v>
      </c>
    </row>
    <row r="659" spans="1:123" x14ac:dyDescent="0.25">
      <c r="A659" t="str">
        <f>"04/17/2026 15:40:27.028"</f>
        <v>04/17/2026 15:40:27.028</v>
      </c>
      <c r="C659" t="str">
        <f t="shared" si="55"/>
        <v>FFDFD3C0</v>
      </c>
      <c r="D659" t="s">
        <v>136</v>
      </c>
      <c r="E659" t="str">
        <f>"0E"</f>
        <v>0E</v>
      </c>
      <c r="F659">
        <v>1014</v>
      </c>
      <c r="G659" t="s">
        <v>125</v>
      </c>
      <c r="J659" t="s">
        <v>137</v>
      </c>
      <c r="K659">
        <v>0</v>
      </c>
      <c r="L659">
        <v>3</v>
      </c>
      <c r="M659">
        <v>0</v>
      </c>
      <c r="N659">
        <v>2</v>
      </c>
      <c r="O659">
        <v>1</v>
      </c>
      <c r="P659">
        <v>0</v>
      </c>
      <c r="Q659">
        <v>0</v>
      </c>
      <c r="R659" t="s">
        <v>127</v>
      </c>
      <c r="S659" t="str">
        <f>"15:40:26.750"</f>
        <v>15:40:26.750</v>
      </c>
      <c r="T659" t="str">
        <f>"15:40:26.350"</f>
        <v>15:40:26.350</v>
      </c>
      <c r="U659" t="str">
        <f t="shared" si="56"/>
        <v>A55E09</v>
      </c>
      <c r="V659">
        <v>0</v>
      </c>
      <c r="W659">
        <v>0</v>
      </c>
      <c r="X659">
        <v>2</v>
      </c>
      <c r="Y659">
        <v>0</v>
      </c>
      <c r="AA659">
        <v>0</v>
      </c>
      <c r="AB659">
        <v>9</v>
      </c>
      <c r="AC659">
        <v>3</v>
      </c>
      <c r="AD659">
        <v>0</v>
      </c>
      <c r="AE659">
        <v>9</v>
      </c>
      <c r="AF659" t="s">
        <v>128</v>
      </c>
      <c r="AG659">
        <v>0</v>
      </c>
      <c r="AH659">
        <v>0</v>
      </c>
      <c r="AI659">
        <v>1</v>
      </c>
      <c r="AJ659">
        <v>0</v>
      </c>
      <c r="AK659" t="s">
        <v>435</v>
      </c>
      <c r="AL659">
        <v>33.723736000000002</v>
      </c>
      <c r="AM659" t="s">
        <v>239</v>
      </c>
      <c r="AN659">
        <v>-101.204402</v>
      </c>
      <c r="AO659">
        <v>100</v>
      </c>
      <c r="AP659">
        <v>3100</v>
      </c>
      <c r="AQ659" t="s">
        <v>131</v>
      </c>
      <c r="AR659">
        <v>31</v>
      </c>
      <c r="AS659">
        <v>87</v>
      </c>
      <c r="AT659">
        <v>64</v>
      </c>
      <c r="BB659" t="str">
        <f t="shared" si="57"/>
        <v>1200</v>
      </c>
      <c r="BC659">
        <v>1</v>
      </c>
      <c r="BD659" t="str">
        <f t="shared" si="58"/>
        <v xml:space="preserve">N445JS  </v>
      </c>
      <c r="BE659">
        <v>7</v>
      </c>
      <c r="BG659">
        <v>0</v>
      </c>
      <c r="BH659">
        <v>0</v>
      </c>
      <c r="BI659">
        <v>0</v>
      </c>
      <c r="BJ659">
        <v>2900</v>
      </c>
      <c r="BK659">
        <v>-200</v>
      </c>
      <c r="BL659" t="s">
        <v>132</v>
      </c>
      <c r="BM659">
        <v>1</v>
      </c>
      <c r="BN659">
        <v>1</v>
      </c>
      <c r="BO659">
        <v>1</v>
      </c>
      <c r="BP659">
        <v>0</v>
      </c>
      <c r="BT659">
        <v>0</v>
      </c>
      <c r="BU659">
        <v>0</v>
      </c>
      <c r="CE659" t="str">
        <f>"15:40:26.756"</f>
        <v>15:40:26.756</v>
      </c>
      <c r="CF659">
        <v>755977140</v>
      </c>
      <c r="CS659">
        <v>0</v>
      </c>
      <c r="CT659">
        <v>2</v>
      </c>
      <c r="CU659">
        <v>0</v>
      </c>
      <c r="CV659">
        <v>2</v>
      </c>
      <c r="CW659">
        <v>0</v>
      </c>
      <c r="CX659">
        <v>4</v>
      </c>
      <c r="CY659">
        <v>7</v>
      </c>
      <c r="CZ659" t="s">
        <v>133</v>
      </c>
      <c r="DA659">
        <v>125</v>
      </c>
      <c r="DB659">
        <v>1</v>
      </c>
      <c r="DC659" t="s">
        <v>134</v>
      </c>
      <c r="DD659" t="s">
        <v>135</v>
      </c>
      <c r="DG659">
        <v>2617145</v>
      </c>
      <c r="DI659">
        <v>0</v>
      </c>
      <c r="DJ659">
        <v>0</v>
      </c>
      <c r="DK659">
        <v>1</v>
      </c>
      <c r="DL659">
        <v>0</v>
      </c>
      <c r="DM659">
        <v>0</v>
      </c>
      <c r="DN659">
        <v>0</v>
      </c>
      <c r="DO659">
        <v>0</v>
      </c>
      <c r="DP659">
        <v>0</v>
      </c>
      <c r="DQ659">
        <v>0</v>
      </c>
      <c r="DR659">
        <v>0</v>
      </c>
      <c r="DS659">
        <v>0</v>
      </c>
    </row>
    <row r="660" spans="1:123" x14ac:dyDescent="0.25">
      <c r="A660" t="str">
        <f>"04/17/2026 15:40:27.045"</f>
        <v>04/17/2026 15:40:27.045</v>
      </c>
      <c r="C660" t="str">
        <f t="shared" si="55"/>
        <v>FFDFD3C0</v>
      </c>
      <c r="D660" t="s">
        <v>136</v>
      </c>
      <c r="E660" t="str">
        <f>"0F"</f>
        <v>0F</v>
      </c>
      <c r="F660">
        <v>1015</v>
      </c>
      <c r="G660" t="s">
        <v>138</v>
      </c>
      <c r="J660" t="s">
        <v>137</v>
      </c>
      <c r="K660">
        <v>0</v>
      </c>
      <c r="L660">
        <v>3</v>
      </c>
      <c r="M660">
        <v>0</v>
      </c>
      <c r="N660">
        <v>2</v>
      </c>
      <c r="O660">
        <v>1</v>
      </c>
      <c r="P660">
        <v>0</v>
      </c>
      <c r="Q660">
        <v>0</v>
      </c>
      <c r="R660" t="s">
        <v>127</v>
      </c>
      <c r="S660" t="str">
        <f>"15:40:26.750"</f>
        <v>15:40:26.750</v>
      </c>
      <c r="T660" t="str">
        <f>"15:40:26.350"</f>
        <v>15:40:26.350</v>
      </c>
      <c r="U660" t="str">
        <f t="shared" si="56"/>
        <v>A55E09</v>
      </c>
      <c r="V660">
        <v>0</v>
      </c>
      <c r="W660">
        <v>0</v>
      </c>
      <c r="X660">
        <v>2</v>
      </c>
      <c r="Y660">
        <v>0</v>
      </c>
      <c r="AA660">
        <v>0</v>
      </c>
      <c r="AB660">
        <v>9</v>
      </c>
      <c r="AC660">
        <v>3</v>
      </c>
      <c r="AD660">
        <v>0</v>
      </c>
      <c r="AE660">
        <v>9</v>
      </c>
      <c r="AF660" t="s">
        <v>128</v>
      </c>
      <c r="AG660">
        <v>0</v>
      </c>
      <c r="AH660">
        <v>0</v>
      </c>
      <c r="AI660">
        <v>1</v>
      </c>
      <c r="AJ660">
        <v>0</v>
      </c>
      <c r="AK660" t="s">
        <v>435</v>
      </c>
      <c r="AL660">
        <v>33.723736000000002</v>
      </c>
      <c r="AM660" t="s">
        <v>239</v>
      </c>
      <c r="AN660">
        <v>-101.204402</v>
      </c>
      <c r="AO660">
        <v>100</v>
      </c>
      <c r="AP660">
        <v>3100</v>
      </c>
      <c r="AQ660" t="s">
        <v>131</v>
      </c>
      <c r="AR660">
        <v>31</v>
      </c>
      <c r="AS660">
        <v>87</v>
      </c>
      <c r="AT660">
        <v>64</v>
      </c>
      <c r="BB660" t="str">
        <f t="shared" si="57"/>
        <v>1200</v>
      </c>
      <c r="BC660">
        <v>1</v>
      </c>
      <c r="BD660" t="str">
        <f t="shared" si="58"/>
        <v xml:space="preserve">N445JS  </v>
      </c>
      <c r="BE660">
        <v>7</v>
      </c>
      <c r="BG660">
        <v>0</v>
      </c>
      <c r="BH660">
        <v>0</v>
      </c>
      <c r="BI660">
        <v>0</v>
      </c>
      <c r="BJ660">
        <v>2900</v>
      </c>
      <c r="BK660">
        <v>-200</v>
      </c>
      <c r="BL660" t="s">
        <v>132</v>
      </c>
      <c r="BM660">
        <v>1</v>
      </c>
      <c r="BN660">
        <v>1</v>
      </c>
      <c r="BO660">
        <v>1</v>
      </c>
      <c r="BP660">
        <v>0</v>
      </c>
      <c r="BT660">
        <v>0</v>
      </c>
      <c r="BU660">
        <v>0</v>
      </c>
      <c r="CE660" t="str">
        <f>"15:40:26.756"</f>
        <v>15:40:26.756</v>
      </c>
      <c r="CF660">
        <v>755977140</v>
      </c>
      <c r="CS660">
        <v>0</v>
      </c>
      <c r="CT660">
        <v>2</v>
      </c>
      <c r="CU660">
        <v>0</v>
      </c>
      <c r="CV660">
        <v>2</v>
      </c>
      <c r="CW660">
        <v>0</v>
      </c>
      <c r="CX660">
        <v>4</v>
      </c>
      <c r="CY660">
        <v>7</v>
      </c>
      <c r="CZ660" t="s">
        <v>133</v>
      </c>
      <c r="DA660">
        <v>125</v>
      </c>
      <c r="DB660">
        <v>1</v>
      </c>
      <c r="DC660" t="s">
        <v>134</v>
      </c>
      <c r="DD660" t="s">
        <v>135</v>
      </c>
      <c r="DG660">
        <v>2617145</v>
      </c>
      <c r="DI660">
        <v>0</v>
      </c>
      <c r="DJ660">
        <v>0</v>
      </c>
      <c r="DK660">
        <v>1</v>
      </c>
      <c r="DL660">
        <v>0</v>
      </c>
      <c r="DM660">
        <v>0</v>
      </c>
      <c r="DN660">
        <v>0</v>
      </c>
      <c r="DO660">
        <v>0</v>
      </c>
      <c r="DP660">
        <v>0</v>
      </c>
      <c r="DQ660">
        <v>0</v>
      </c>
      <c r="DR660">
        <v>0</v>
      </c>
      <c r="DS660">
        <v>0</v>
      </c>
    </row>
    <row r="661" spans="1:123" x14ac:dyDescent="0.25">
      <c r="A661" t="str">
        <f>"04/17/2026 15:40:27.047"</f>
        <v>04/17/2026 15:40:27.047</v>
      </c>
      <c r="C661" t="str">
        <f t="shared" si="55"/>
        <v>FFDFD3C0</v>
      </c>
      <c r="D661" t="s">
        <v>139</v>
      </c>
      <c r="E661" t="str">
        <f>"28"</f>
        <v>28</v>
      </c>
      <c r="H661">
        <v>140</v>
      </c>
      <c r="I661" t="s">
        <v>140</v>
      </c>
      <c r="J661" t="s">
        <v>141</v>
      </c>
      <c r="K661">
        <v>0</v>
      </c>
      <c r="L661">
        <v>3</v>
      </c>
      <c r="M661">
        <v>0</v>
      </c>
      <c r="N661">
        <v>2</v>
      </c>
      <c r="O661">
        <v>1</v>
      </c>
      <c r="P661">
        <v>0</v>
      </c>
      <c r="Q661">
        <v>0</v>
      </c>
      <c r="R661" t="s">
        <v>127</v>
      </c>
      <c r="S661" t="str">
        <f>"15:40:26.750"</f>
        <v>15:40:26.750</v>
      </c>
      <c r="T661" t="str">
        <f>"15:40:26.350"</f>
        <v>15:40:26.350</v>
      </c>
      <c r="U661" t="str">
        <f t="shared" si="56"/>
        <v>A55E09</v>
      </c>
      <c r="V661">
        <v>0</v>
      </c>
      <c r="W661">
        <v>0</v>
      </c>
      <c r="X661">
        <v>2</v>
      </c>
      <c r="Y661">
        <v>0</v>
      </c>
      <c r="AA661">
        <v>0</v>
      </c>
      <c r="AB661">
        <v>9</v>
      </c>
      <c r="AC661">
        <v>3</v>
      </c>
      <c r="AD661">
        <v>0</v>
      </c>
      <c r="AE661">
        <v>9</v>
      </c>
      <c r="AF661" t="s">
        <v>128</v>
      </c>
      <c r="AG661">
        <v>0</v>
      </c>
      <c r="AH661">
        <v>0</v>
      </c>
      <c r="AI661">
        <v>1</v>
      </c>
      <c r="AJ661">
        <v>0</v>
      </c>
      <c r="AK661" t="s">
        <v>435</v>
      </c>
      <c r="AL661">
        <v>33.723736000000002</v>
      </c>
      <c r="AM661" t="s">
        <v>239</v>
      </c>
      <c r="AN661">
        <v>-101.204402</v>
      </c>
      <c r="AO661">
        <v>100</v>
      </c>
      <c r="AP661">
        <v>3100</v>
      </c>
      <c r="AQ661" t="s">
        <v>131</v>
      </c>
      <c r="AR661">
        <v>31</v>
      </c>
      <c r="AS661">
        <v>87</v>
      </c>
      <c r="AT661">
        <v>64</v>
      </c>
      <c r="BB661" t="str">
        <f t="shared" si="57"/>
        <v>1200</v>
      </c>
      <c r="BC661">
        <v>1</v>
      </c>
      <c r="BD661" t="str">
        <f t="shared" si="58"/>
        <v xml:space="preserve">N445JS  </v>
      </c>
      <c r="BE661">
        <v>7</v>
      </c>
      <c r="BG661">
        <v>0</v>
      </c>
      <c r="BH661">
        <v>0</v>
      </c>
      <c r="BI661">
        <v>0</v>
      </c>
      <c r="BJ661">
        <v>2900</v>
      </c>
      <c r="BK661">
        <v>-200</v>
      </c>
      <c r="BL661" t="s">
        <v>132</v>
      </c>
      <c r="BM661">
        <v>1</v>
      </c>
      <c r="BN661">
        <v>1</v>
      </c>
      <c r="BO661">
        <v>1</v>
      </c>
      <c r="BP661">
        <v>0</v>
      </c>
      <c r="BT661">
        <v>0</v>
      </c>
      <c r="BU661">
        <v>0</v>
      </c>
      <c r="CE661" t="str">
        <f>"15:40:26.756"</f>
        <v>15:40:26.756</v>
      </c>
      <c r="CF661">
        <v>755977140</v>
      </c>
      <c r="CS661">
        <v>0</v>
      </c>
      <c r="CT661">
        <v>2</v>
      </c>
      <c r="CU661">
        <v>0</v>
      </c>
      <c r="CV661">
        <v>2</v>
      </c>
      <c r="CW661">
        <v>0</v>
      </c>
      <c r="CX661">
        <v>4</v>
      </c>
      <c r="CY661">
        <v>7</v>
      </c>
      <c r="CZ661" t="s">
        <v>133</v>
      </c>
      <c r="DA661">
        <v>125</v>
      </c>
      <c r="DB661">
        <v>1</v>
      </c>
      <c r="DC661" t="s">
        <v>134</v>
      </c>
      <c r="DD661" t="s">
        <v>135</v>
      </c>
      <c r="DG661">
        <v>2617145</v>
      </c>
      <c r="DI661">
        <v>0</v>
      </c>
      <c r="DJ661">
        <v>0</v>
      </c>
      <c r="DK661">
        <v>1</v>
      </c>
      <c r="DL661">
        <v>0</v>
      </c>
      <c r="DM661">
        <v>0</v>
      </c>
      <c r="DN661">
        <v>0</v>
      </c>
      <c r="DO661">
        <v>0</v>
      </c>
      <c r="DP661">
        <v>0</v>
      </c>
      <c r="DQ661">
        <v>0</v>
      </c>
      <c r="DR661">
        <v>0</v>
      </c>
      <c r="DS661">
        <v>0</v>
      </c>
    </row>
    <row r="662" spans="1:123" x14ac:dyDescent="0.25">
      <c r="A662" t="str">
        <f>"04/17/2026 15:40:28.030"</f>
        <v>04/17/2026 15:40:28.030</v>
      </c>
      <c r="C662" t="str">
        <f t="shared" si="55"/>
        <v>FFDFD3C0</v>
      </c>
      <c r="D662" t="s">
        <v>136</v>
      </c>
      <c r="E662" t="str">
        <f>"0E"</f>
        <v>0E</v>
      </c>
      <c r="F662">
        <v>1014</v>
      </c>
      <c r="G662" t="s">
        <v>125</v>
      </c>
      <c r="J662" t="s">
        <v>137</v>
      </c>
      <c r="K662">
        <v>0</v>
      </c>
      <c r="L662">
        <v>3</v>
      </c>
      <c r="M662">
        <v>0</v>
      </c>
      <c r="N662">
        <v>2</v>
      </c>
      <c r="O662">
        <v>1</v>
      </c>
      <c r="P662">
        <v>0</v>
      </c>
      <c r="Q662">
        <v>0</v>
      </c>
      <c r="R662" t="s">
        <v>127</v>
      </c>
      <c r="S662" t="str">
        <f>"15:40:27.773"</f>
        <v>15:40:27.773</v>
      </c>
      <c r="T662" t="str">
        <f>"15:40:27.473"</f>
        <v>15:40:27.473</v>
      </c>
      <c r="U662" t="str">
        <f t="shared" si="56"/>
        <v>A55E09</v>
      </c>
      <c r="V662">
        <v>0</v>
      </c>
      <c r="W662">
        <v>0</v>
      </c>
      <c r="X662">
        <v>2</v>
      </c>
      <c r="Y662">
        <v>0</v>
      </c>
      <c r="AA662">
        <v>0</v>
      </c>
      <c r="AB662">
        <v>9</v>
      </c>
      <c r="AC662">
        <v>3</v>
      </c>
      <c r="AD662">
        <v>0</v>
      </c>
      <c r="AE662">
        <v>9</v>
      </c>
      <c r="AF662" t="s">
        <v>128</v>
      </c>
      <c r="AG662">
        <v>0</v>
      </c>
      <c r="AH662">
        <v>0</v>
      </c>
      <c r="AI662">
        <v>1</v>
      </c>
      <c r="AJ662">
        <v>0</v>
      </c>
      <c r="AK662" t="s">
        <v>436</v>
      </c>
      <c r="AL662">
        <v>33.724144000000003</v>
      </c>
      <c r="AM662" t="s">
        <v>237</v>
      </c>
      <c r="AN662">
        <v>-101.20420900000001</v>
      </c>
      <c r="AO662">
        <v>100</v>
      </c>
      <c r="AP662">
        <v>3100</v>
      </c>
      <c r="AQ662" t="s">
        <v>131</v>
      </c>
      <c r="AR662">
        <v>31</v>
      </c>
      <c r="AS662">
        <v>87</v>
      </c>
      <c r="AT662">
        <v>-128</v>
      </c>
      <c r="BB662" t="str">
        <f t="shared" si="57"/>
        <v>1200</v>
      </c>
      <c r="BC662">
        <v>1</v>
      </c>
      <c r="BD662" t="str">
        <f t="shared" si="58"/>
        <v xml:space="preserve">N445JS  </v>
      </c>
      <c r="BE662">
        <v>7</v>
      </c>
      <c r="BG662">
        <v>0</v>
      </c>
      <c r="BH662">
        <v>0</v>
      </c>
      <c r="BI662">
        <v>0</v>
      </c>
      <c r="BJ662">
        <v>2900</v>
      </c>
      <c r="BK662">
        <v>-200</v>
      </c>
      <c r="BL662" t="s">
        <v>132</v>
      </c>
      <c r="BM662">
        <v>1</v>
      </c>
      <c r="BN662">
        <v>1</v>
      </c>
      <c r="BO662">
        <v>1</v>
      </c>
      <c r="BP662">
        <v>0</v>
      </c>
      <c r="BT662">
        <v>0</v>
      </c>
      <c r="BU662">
        <v>0</v>
      </c>
      <c r="CE662" t="str">
        <f>"15:40:27.776"</f>
        <v>15:40:27.776</v>
      </c>
      <c r="CF662">
        <v>775877315</v>
      </c>
      <c r="CS662">
        <v>0</v>
      </c>
      <c r="CT662">
        <v>2</v>
      </c>
      <c r="CU662">
        <v>0</v>
      </c>
      <c r="CV662">
        <v>2</v>
      </c>
      <c r="CW662">
        <v>0</v>
      </c>
      <c r="CX662">
        <v>3</v>
      </c>
      <c r="CY662">
        <v>7</v>
      </c>
      <c r="CZ662" t="s">
        <v>133</v>
      </c>
      <c r="DA662">
        <v>125</v>
      </c>
      <c r="DB662">
        <v>0</v>
      </c>
      <c r="DC662" t="s">
        <v>134</v>
      </c>
      <c r="DD662" t="s">
        <v>135</v>
      </c>
      <c r="DG662">
        <v>3583018</v>
      </c>
      <c r="DI662">
        <v>0</v>
      </c>
      <c r="DJ662">
        <v>0</v>
      </c>
      <c r="DK662">
        <v>0</v>
      </c>
      <c r="DL662">
        <v>0</v>
      </c>
      <c r="DM662">
        <v>0</v>
      </c>
      <c r="DN662">
        <v>0</v>
      </c>
      <c r="DO662">
        <v>0</v>
      </c>
      <c r="DP662">
        <v>0</v>
      </c>
      <c r="DQ662">
        <v>0</v>
      </c>
      <c r="DR662">
        <v>0</v>
      </c>
      <c r="DS662">
        <v>0</v>
      </c>
    </row>
    <row r="663" spans="1:123" x14ac:dyDescent="0.25">
      <c r="A663" t="str">
        <f>"04/17/2026 15:40:28.046"</f>
        <v>04/17/2026 15:40:28.046</v>
      </c>
      <c r="C663" t="str">
        <f t="shared" si="55"/>
        <v>FFDFD3C0</v>
      </c>
      <c r="D663" t="s">
        <v>136</v>
      </c>
      <c r="E663" t="str">
        <f>"0F"</f>
        <v>0F</v>
      </c>
      <c r="F663">
        <v>1015</v>
      </c>
      <c r="G663" t="s">
        <v>138</v>
      </c>
      <c r="J663" t="s">
        <v>137</v>
      </c>
      <c r="K663">
        <v>0</v>
      </c>
      <c r="L663">
        <v>3</v>
      </c>
      <c r="M663">
        <v>0</v>
      </c>
      <c r="N663">
        <v>2</v>
      </c>
      <c r="O663">
        <v>1</v>
      </c>
      <c r="P663">
        <v>0</v>
      </c>
      <c r="Q663">
        <v>0</v>
      </c>
      <c r="R663" t="s">
        <v>127</v>
      </c>
      <c r="S663" t="str">
        <f>"15:40:27.773"</f>
        <v>15:40:27.773</v>
      </c>
      <c r="T663" t="str">
        <f>"15:40:27.473"</f>
        <v>15:40:27.473</v>
      </c>
      <c r="U663" t="str">
        <f t="shared" si="56"/>
        <v>A55E09</v>
      </c>
      <c r="V663">
        <v>0</v>
      </c>
      <c r="W663">
        <v>0</v>
      </c>
      <c r="X663">
        <v>2</v>
      </c>
      <c r="Y663">
        <v>0</v>
      </c>
      <c r="AA663">
        <v>0</v>
      </c>
      <c r="AB663">
        <v>9</v>
      </c>
      <c r="AC663">
        <v>3</v>
      </c>
      <c r="AD663">
        <v>0</v>
      </c>
      <c r="AE663">
        <v>9</v>
      </c>
      <c r="AF663" t="s">
        <v>128</v>
      </c>
      <c r="AG663">
        <v>0</v>
      </c>
      <c r="AH663">
        <v>0</v>
      </c>
      <c r="AI663">
        <v>1</v>
      </c>
      <c r="AJ663">
        <v>0</v>
      </c>
      <c r="AK663" t="s">
        <v>436</v>
      </c>
      <c r="AL663">
        <v>33.724144000000003</v>
      </c>
      <c r="AM663" t="s">
        <v>237</v>
      </c>
      <c r="AN663">
        <v>-101.20420900000001</v>
      </c>
      <c r="AO663">
        <v>100</v>
      </c>
      <c r="AP663">
        <v>3100</v>
      </c>
      <c r="AQ663" t="s">
        <v>131</v>
      </c>
      <c r="AR663">
        <v>31</v>
      </c>
      <c r="AS663">
        <v>87</v>
      </c>
      <c r="AT663">
        <v>-128</v>
      </c>
      <c r="BB663" t="str">
        <f t="shared" si="57"/>
        <v>1200</v>
      </c>
      <c r="BC663">
        <v>1</v>
      </c>
      <c r="BD663" t="str">
        <f t="shared" si="58"/>
        <v xml:space="preserve">N445JS  </v>
      </c>
      <c r="BE663">
        <v>7</v>
      </c>
      <c r="BG663">
        <v>0</v>
      </c>
      <c r="BH663">
        <v>0</v>
      </c>
      <c r="BI663">
        <v>0</v>
      </c>
      <c r="BJ663">
        <v>2900</v>
      </c>
      <c r="BK663">
        <v>-200</v>
      </c>
      <c r="BL663" t="s">
        <v>132</v>
      </c>
      <c r="BM663">
        <v>1</v>
      </c>
      <c r="BN663">
        <v>1</v>
      </c>
      <c r="BO663">
        <v>1</v>
      </c>
      <c r="BP663">
        <v>0</v>
      </c>
      <c r="BT663">
        <v>0</v>
      </c>
      <c r="BU663">
        <v>0</v>
      </c>
      <c r="CE663" t="str">
        <f>"15:40:27.776"</f>
        <v>15:40:27.776</v>
      </c>
      <c r="CF663">
        <v>775877315</v>
      </c>
      <c r="CS663">
        <v>0</v>
      </c>
      <c r="CT663">
        <v>2</v>
      </c>
      <c r="CU663">
        <v>0</v>
      </c>
      <c r="CV663">
        <v>2</v>
      </c>
      <c r="CW663">
        <v>0</v>
      </c>
      <c r="CX663">
        <v>3</v>
      </c>
      <c r="CY663">
        <v>7</v>
      </c>
      <c r="CZ663" t="s">
        <v>133</v>
      </c>
      <c r="DA663">
        <v>125</v>
      </c>
      <c r="DB663">
        <v>0</v>
      </c>
      <c r="DC663" t="s">
        <v>134</v>
      </c>
      <c r="DD663" t="s">
        <v>135</v>
      </c>
      <c r="DG663">
        <v>3583018</v>
      </c>
      <c r="DI663">
        <v>0</v>
      </c>
      <c r="DJ663">
        <v>0</v>
      </c>
      <c r="DK663">
        <v>1</v>
      </c>
      <c r="DL663">
        <v>0</v>
      </c>
      <c r="DM663">
        <v>0</v>
      </c>
      <c r="DN663">
        <v>0</v>
      </c>
      <c r="DO663">
        <v>0</v>
      </c>
      <c r="DP663">
        <v>0</v>
      </c>
      <c r="DQ663">
        <v>0</v>
      </c>
      <c r="DR663">
        <v>0</v>
      </c>
      <c r="DS663">
        <v>0</v>
      </c>
    </row>
    <row r="664" spans="1:123" x14ac:dyDescent="0.25">
      <c r="A664" t="str">
        <f>"04/17/2026 15:40:28.049"</f>
        <v>04/17/2026 15:40:28.049</v>
      </c>
      <c r="C664" t="str">
        <f t="shared" si="55"/>
        <v>FFDFD3C0</v>
      </c>
      <c r="D664" t="s">
        <v>139</v>
      </c>
      <c r="E664" t="str">
        <f>"28"</f>
        <v>28</v>
      </c>
      <c r="H664">
        <v>140</v>
      </c>
      <c r="I664" t="s">
        <v>140</v>
      </c>
      <c r="J664" t="s">
        <v>141</v>
      </c>
      <c r="K664">
        <v>0</v>
      </c>
      <c r="L664">
        <v>3</v>
      </c>
      <c r="M664">
        <v>0</v>
      </c>
      <c r="N664">
        <v>2</v>
      </c>
      <c r="O664">
        <v>1</v>
      </c>
      <c r="P664">
        <v>0</v>
      </c>
      <c r="Q664">
        <v>0</v>
      </c>
      <c r="R664" t="s">
        <v>127</v>
      </c>
      <c r="S664" t="str">
        <f>"15:40:27.773"</f>
        <v>15:40:27.773</v>
      </c>
      <c r="T664" t="str">
        <f>"15:40:27.473"</f>
        <v>15:40:27.473</v>
      </c>
      <c r="U664" t="str">
        <f t="shared" si="56"/>
        <v>A55E09</v>
      </c>
      <c r="V664">
        <v>0</v>
      </c>
      <c r="W664">
        <v>0</v>
      </c>
      <c r="X664">
        <v>2</v>
      </c>
      <c r="Y664">
        <v>0</v>
      </c>
      <c r="AA664">
        <v>0</v>
      </c>
      <c r="AB664">
        <v>9</v>
      </c>
      <c r="AC664">
        <v>3</v>
      </c>
      <c r="AD664">
        <v>0</v>
      </c>
      <c r="AE664">
        <v>9</v>
      </c>
      <c r="AF664" t="s">
        <v>128</v>
      </c>
      <c r="AG664">
        <v>0</v>
      </c>
      <c r="AH664">
        <v>0</v>
      </c>
      <c r="AI664">
        <v>1</v>
      </c>
      <c r="AJ664">
        <v>0</v>
      </c>
      <c r="AK664" t="s">
        <v>436</v>
      </c>
      <c r="AL664">
        <v>33.724144000000003</v>
      </c>
      <c r="AM664" t="s">
        <v>237</v>
      </c>
      <c r="AN664">
        <v>-101.20420900000001</v>
      </c>
      <c r="AO664">
        <v>100</v>
      </c>
      <c r="AP664">
        <v>3100</v>
      </c>
      <c r="AQ664" t="s">
        <v>131</v>
      </c>
      <c r="AR664">
        <v>31</v>
      </c>
      <c r="AS664">
        <v>87</v>
      </c>
      <c r="AT664">
        <v>-128</v>
      </c>
      <c r="BB664" t="str">
        <f t="shared" si="57"/>
        <v>1200</v>
      </c>
      <c r="BC664">
        <v>1</v>
      </c>
      <c r="BD664" t="str">
        <f t="shared" si="58"/>
        <v xml:space="preserve">N445JS  </v>
      </c>
      <c r="BE664">
        <v>7</v>
      </c>
      <c r="BG664">
        <v>0</v>
      </c>
      <c r="BH664">
        <v>0</v>
      </c>
      <c r="BI664">
        <v>0</v>
      </c>
      <c r="BJ664">
        <v>2900</v>
      </c>
      <c r="BK664">
        <v>-200</v>
      </c>
      <c r="BL664" t="s">
        <v>132</v>
      </c>
      <c r="BM664">
        <v>1</v>
      </c>
      <c r="BN664">
        <v>1</v>
      </c>
      <c r="BO664">
        <v>1</v>
      </c>
      <c r="BP664">
        <v>0</v>
      </c>
      <c r="BT664">
        <v>0</v>
      </c>
      <c r="BU664">
        <v>0</v>
      </c>
      <c r="CE664" t="str">
        <f>"15:40:27.776"</f>
        <v>15:40:27.776</v>
      </c>
      <c r="CF664">
        <v>775877315</v>
      </c>
      <c r="CS664">
        <v>0</v>
      </c>
      <c r="CT664">
        <v>2</v>
      </c>
      <c r="CU664">
        <v>0</v>
      </c>
      <c r="CV664">
        <v>2</v>
      </c>
      <c r="CW664">
        <v>0</v>
      </c>
      <c r="CX664">
        <v>3</v>
      </c>
      <c r="CY664">
        <v>7</v>
      </c>
      <c r="CZ664" t="s">
        <v>133</v>
      </c>
      <c r="DA664">
        <v>125</v>
      </c>
      <c r="DB664">
        <v>0</v>
      </c>
      <c r="DC664" t="s">
        <v>134</v>
      </c>
      <c r="DD664" t="s">
        <v>135</v>
      </c>
      <c r="DG664">
        <v>3583018</v>
      </c>
      <c r="DI664">
        <v>0</v>
      </c>
      <c r="DJ664">
        <v>0</v>
      </c>
      <c r="DK664">
        <v>1</v>
      </c>
      <c r="DL664">
        <v>0</v>
      </c>
      <c r="DM664">
        <v>0</v>
      </c>
      <c r="DN664">
        <v>0</v>
      </c>
      <c r="DO664">
        <v>0</v>
      </c>
      <c r="DP664">
        <v>0</v>
      </c>
      <c r="DQ664">
        <v>0</v>
      </c>
      <c r="DR664">
        <v>0</v>
      </c>
      <c r="DS664">
        <v>0</v>
      </c>
    </row>
    <row r="665" spans="1:123" x14ac:dyDescent="0.25">
      <c r="A665" t="str">
        <f>"04/17/2026 15:40:28.067"</f>
        <v>04/17/2026 15:40:28.067</v>
      </c>
      <c r="C665" t="str">
        <f t="shared" si="55"/>
        <v>FFDFD3C0</v>
      </c>
      <c r="D665" t="s">
        <v>124</v>
      </c>
      <c r="E665" t="str">
        <f>"03"</f>
        <v>03</v>
      </c>
      <c r="H665">
        <v>160</v>
      </c>
      <c r="I665" t="s">
        <v>125</v>
      </c>
      <c r="J665" t="s">
        <v>126</v>
      </c>
      <c r="K665">
        <v>0</v>
      </c>
      <c r="L665">
        <v>3</v>
      </c>
      <c r="M665">
        <v>0</v>
      </c>
      <c r="N665">
        <v>2</v>
      </c>
      <c r="O665">
        <v>1</v>
      </c>
      <c r="P665">
        <v>0</v>
      </c>
      <c r="Q665">
        <v>0</v>
      </c>
      <c r="R665" t="s">
        <v>127</v>
      </c>
      <c r="S665" t="str">
        <f>"15:40:27.773"</f>
        <v>15:40:27.773</v>
      </c>
      <c r="T665" t="str">
        <f>"15:40:27.473"</f>
        <v>15:40:27.473</v>
      </c>
      <c r="U665" t="str">
        <f t="shared" si="56"/>
        <v>A55E09</v>
      </c>
      <c r="V665">
        <v>0</v>
      </c>
      <c r="W665">
        <v>0</v>
      </c>
      <c r="X665">
        <v>2</v>
      </c>
      <c r="Y665">
        <v>0</v>
      </c>
      <c r="AA665">
        <v>0</v>
      </c>
      <c r="AB665">
        <v>9</v>
      </c>
      <c r="AC665">
        <v>3</v>
      </c>
      <c r="AD665">
        <v>0</v>
      </c>
      <c r="AE665">
        <v>9</v>
      </c>
      <c r="AF665" t="s">
        <v>128</v>
      </c>
      <c r="AG665">
        <v>0</v>
      </c>
      <c r="AH665">
        <v>0</v>
      </c>
      <c r="AI665">
        <v>1</v>
      </c>
      <c r="AJ665">
        <v>0</v>
      </c>
      <c r="AK665" t="s">
        <v>436</v>
      </c>
      <c r="AL665">
        <v>33.724144000000003</v>
      </c>
      <c r="AM665" t="s">
        <v>237</v>
      </c>
      <c r="AN665">
        <v>-101.20420900000001</v>
      </c>
      <c r="AO665">
        <v>100</v>
      </c>
      <c r="AP665">
        <v>3100</v>
      </c>
      <c r="AQ665" t="s">
        <v>131</v>
      </c>
      <c r="AR665">
        <v>31</v>
      </c>
      <c r="AS665">
        <v>87</v>
      </c>
      <c r="AT665">
        <v>-128</v>
      </c>
      <c r="BB665" t="str">
        <f t="shared" si="57"/>
        <v>1200</v>
      </c>
      <c r="BC665">
        <v>1</v>
      </c>
      <c r="BD665" t="str">
        <f t="shared" si="58"/>
        <v xml:space="preserve">N445JS  </v>
      </c>
      <c r="BE665">
        <v>7</v>
      </c>
      <c r="BG665">
        <v>0</v>
      </c>
      <c r="BH665">
        <v>0</v>
      </c>
      <c r="BI665">
        <v>0</v>
      </c>
      <c r="BJ665">
        <v>2900</v>
      </c>
      <c r="BK665">
        <v>-200</v>
      </c>
      <c r="BL665" t="s">
        <v>132</v>
      </c>
      <c r="BM665">
        <v>1</v>
      </c>
      <c r="BN665">
        <v>1</v>
      </c>
      <c r="BO665">
        <v>1</v>
      </c>
      <c r="BP665">
        <v>0</v>
      </c>
      <c r="BT665">
        <v>0</v>
      </c>
      <c r="BU665">
        <v>0</v>
      </c>
      <c r="CE665" t="str">
        <f>"15:40:27.776"</f>
        <v>15:40:27.776</v>
      </c>
      <c r="CF665">
        <v>775877315</v>
      </c>
      <c r="CS665">
        <v>0</v>
      </c>
      <c r="CT665">
        <v>2</v>
      </c>
      <c r="CU665">
        <v>0</v>
      </c>
      <c r="CV665">
        <v>2</v>
      </c>
      <c r="CW665">
        <v>0</v>
      </c>
      <c r="CX665">
        <v>3</v>
      </c>
      <c r="CY665">
        <v>7</v>
      </c>
      <c r="CZ665" t="s">
        <v>133</v>
      </c>
      <c r="DA665">
        <v>125</v>
      </c>
      <c r="DB665">
        <v>0</v>
      </c>
      <c r="DC665" t="s">
        <v>134</v>
      </c>
      <c r="DD665" t="s">
        <v>135</v>
      </c>
      <c r="DG665">
        <v>3583018</v>
      </c>
      <c r="DI665">
        <v>0</v>
      </c>
      <c r="DJ665">
        <v>0</v>
      </c>
      <c r="DK665">
        <v>1</v>
      </c>
      <c r="DL665">
        <v>0</v>
      </c>
      <c r="DM665">
        <v>0</v>
      </c>
      <c r="DN665">
        <v>0</v>
      </c>
      <c r="DO665">
        <v>0</v>
      </c>
      <c r="DP665">
        <v>0</v>
      </c>
      <c r="DQ665">
        <v>0</v>
      </c>
      <c r="DR665">
        <v>0</v>
      </c>
      <c r="DS665">
        <v>0</v>
      </c>
    </row>
    <row r="666" spans="1:123" x14ac:dyDescent="0.25">
      <c r="A666" t="str">
        <f>"04/17/2026 15:40:29.583"</f>
        <v>04/17/2026 15:40:29.583</v>
      </c>
      <c r="C666" t="str">
        <f t="shared" si="55"/>
        <v>FFDFD3C0</v>
      </c>
      <c r="D666" t="s">
        <v>136</v>
      </c>
      <c r="E666" t="str">
        <f>"0E"</f>
        <v>0E</v>
      </c>
      <c r="F666">
        <v>1014</v>
      </c>
      <c r="G666" t="s">
        <v>125</v>
      </c>
      <c r="J666" t="s">
        <v>137</v>
      </c>
      <c r="K666">
        <v>0</v>
      </c>
      <c r="L666">
        <v>3</v>
      </c>
      <c r="M666">
        <v>0</v>
      </c>
      <c r="N666">
        <v>2</v>
      </c>
      <c r="O666">
        <v>1</v>
      </c>
      <c r="P666">
        <v>0</v>
      </c>
      <c r="Q666">
        <v>0</v>
      </c>
      <c r="R666" t="s">
        <v>127</v>
      </c>
      <c r="S666" t="str">
        <f>"15:40:29.320"</f>
        <v>15:40:29.320</v>
      </c>
      <c r="T666" t="str">
        <f>"15:40:28.920"</f>
        <v>15:40:28.920</v>
      </c>
      <c r="U666" t="str">
        <f t="shared" si="56"/>
        <v>A55E09</v>
      </c>
      <c r="V666">
        <v>0</v>
      </c>
      <c r="W666">
        <v>0</v>
      </c>
      <c r="X666">
        <v>2</v>
      </c>
      <c r="Y666">
        <v>0</v>
      </c>
      <c r="AA666">
        <v>0</v>
      </c>
      <c r="AB666">
        <v>9</v>
      </c>
      <c r="AC666">
        <v>3</v>
      </c>
      <c r="AD666">
        <v>0</v>
      </c>
      <c r="AE666">
        <v>9</v>
      </c>
      <c r="AF666" t="s">
        <v>128</v>
      </c>
      <c r="AG666">
        <v>0</v>
      </c>
      <c r="AH666">
        <v>0</v>
      </c>
      <c r="AI666">
        <v>1</v>
      </c>
      <c r="AJ666">
        <v>0</v>
      </c>
      <c r="AK666" t="s">
        <v>437</v>
      </c>
      <c r="AL666">
        <v>33.724766000000002</v>
      </c>
      <c r="AM666" t="s">
        <v>233</v>
      </c>
      <c r="AN666">
        <v>-101.20393</v>
      </c>
      <c r="AO666">
        <v>100</v>
      </c>
      <c r="AP666">
        <v>3100</v>
      </c>
      <c r="AQ666" t="s">
        <v>131</v>
      </c>
      <c r="AR666">
        <v>32</v>
      </c>
      <c r="AS666">
        <v>87</v>
      </c>
      <c r="AT666">
        <v>-128</v>
      </c>
      <c r="BB666" t="str">
        <f t="shared" si="57"/>
        <v>1200</v>
      </c>
      <c r="BC666">
        <v>1</v>
      </c>
      <c r="BD666" t="str">
        <f t="shared" si="58"/>
        <v xml:space="preserve">N445JS  </v>
      </c>
      <c r="BE666">
        <v>7</v>
      </c>
      <c r="BG666">
        <v>0</v>
      </c>
      <c r="BH666">
        <v>0</v>
      </c>
      <c r="BI666">
        <v>0</v>
      </c>
      <c r="BJ666">
        <v>2900</v>
      </c>
      <c r="BK666">
        <v>-200</v>
      </c>
      <c r="BL666" t="s">
        <v>132</v>
      </c>
      <c r="BM666">
        <v>1</v>
      </c>
      <c r="BN666">
        <v>1</v>
      </c>
      <c r="BO666">
        <v>1</v>
      </c>
      <c r="BP666">
        <v>0</v>
      </c>
      <c r="BT666">
        <v>0</v>
      </c>
      <c r="BU666">
        <v>0</v>
      </c>
      <c r="CE666" t="str">
        <f>"15:40:29.321"</f>
        <v>15:40:29.321</v>
      </c>
      <c r="CF666">
        <v>320726104</v>
      </c>
      <c r="CS666">
        <v>0</v>
      </c>
      <c r="CT666">
        <v>2</v>
      </c>
      <c r="CU666">
        <v>0</v>
      </c>
      <c r="CV666">
        <v>2</v>
      </c>
      <c r="CW666">
        <v>0</v>
      </c>
      <c r="CX666">
        <v>3</v>
      </c>
      <c r="CY666">
        <v>7</v>
      </c>
      <c r="CZ666" t="s">
        <v>133</v>
      </c>
      <c r="DA666">
        <v>125</v>
      </c>
      <c r="DB666">
        <v>1</v>
      </c>
      <c r="DC666" t="s">
        <v>134</v>
      </c>
      <c r="DD666" t="s">
        <v>135</v>
      </c>
      <c r="DG666">
        <v>2619706</v>
      </c>
      <c r="DI666">
        <v>0</v>
      </c>
      <c r="DJ666">
        <v>0</v>
      </c>
      <c r="DK666">
        <v>0</v>
      </c>
      <c r="DL666">
        <v>0</v>
      </c>
      <c r="DM666">
        <v>0</v>
      </c>
      <c r="DN666">
        <v>0</v>
      </c>
      <c r="DO666">
        <v>0</v>
      </c>
      <c r="DP666">
        <v>0</v>
      </c>
      <c r="DQ666">
        <v>0</v>
      </c>
      <c r="DR666">
        <v>0</v>
      </c>
      <c r="DS666">
        <v>0</v>
      </c>
    </row>
    <row r="667" spans="1:123" x14ac:dyDescent="0.25">
      <c r="A667" t="str">
        <f>"04/17/2026 15:40:29.599"</f>
        <v>04/17/2026 15:40:29.599</v>
      </c>
      <c r="C667" t="str">
        <f t="shared" si="55"/>
        <v>FFDFD3C0</v>
      </c>
      <c r="D667" t="s">
        <v>136</v>
      </c>
      <c r="E667" t="str">
        <f>"0F"</f>
        <v>0F</v>
      </c>
      <c r="F667">
        <v>1015</v>
      </c>
      <c r="G667" t="s">
        <v>138</v>
      </c>
      <c r="J667" t="s">
        <v>137</v>
      </c>
      <c r="K667">
        <v>0</v>
      </c>
      <c r="L667">
        <v>3</v>
      </c>
      <c r="M667">
        <v>0</v>
      </c>
      <c r="N667">
        <v>2</v>
      </c>
      <c r="O667">
        <v>1</v>
      </c>
      <c r="P667">
        <v>0</v>
      </c>
      <c r="Q667">
        <v>0</v>
      </c>
      <c r="R667" t="s">
        <v>127</v>
      </c>
      <c r="S667" t="str">
        <f>"15:40:29.320"</f>
        <v>15:40:29.320</v>
      </c>
      <c r="T667" t="str">
        <f>"15:40:28.920"</f>
        <v>15:40:28.920</v>
      </c>
      <c r="U667" t="str">
        <f t="shared" si="56"/>
        <v>A55E09</v>
      </c>
      <c r="V667">
        <v>0</v>
      </c>
      <c r="W667">
        <v>0</v>
      </c>
      <c r="X667">
        <v>2</v>
      </c>
      <c r="Y667">
        <v>0</v>
      </c>
      <c r="AA667">
        <v>0</v>
      </c>
      <c r="AB667">
        <v>9</v>
      </c>
      <c r="AC667">
        <v>3</v>
      </c>
      <c r="AD667">
        <v>0</v>
      </c>
      <c r="AE667">
        <v>9</v>
      </c>
      <c r="AF667" t="s">
        <v>128</v>
      </c>
      <c r="AG667">
        <v>0</v>
      </c>
      <c r="AH667">
        <v>0</v>
      </c>
      <c r="AI667">
        <v>1</v>
      </c>
      <c r="AJ667">
        <v>0</v>
      </c>
      <c r="AK667" t="s">
        <v>437</v>
      </c>
      <c r="AL667">
        <v>33.724766000000002</v>
      </c>
      <c r="AM667" t="s">
        <v>233</v>
      </c>
      <c r="AN667">
        <v>-101.20393</v>
      </c>
      <c r="AO667">
        <v>100</v>
      </c>
      <c r="AP667">
        <v>3100</v>
      </c>
      <c r="AQ667" t="s">
        <v>131</v>
      </c>
      <c r="AR667">
        <v>32</v>
      </c>
      <c r="AS667">
        <v>87</v>
      </c>
      <c r="AT667">
        <v>-128</v>
      </c>
      <c r="BB667" t="str">
        <f t="shared" si="57"/>
        <v>1200</v>
      </c>
      <c r="BC667">
        <v>1</v>
      </c>
      <c r="BD667" t="str">
        <f t="shared" si="58"/>
        <v xml:space="preserve">N445JS  </v>
      </c>
      <c r="BE667">
        <v>7</v>
      </c>
      <c r="BG667">
        <v>0</v>
      </c>
      <c r="BH667">
        <v>0</v>
      </c>
      <c r="BI667">
        <v>0</v>
      </c>
      <c r="BJ667">
        <v>2900</v>
      </c>
      <c r="BK667">
        <v>-200</v>
      </c>
      <c r="BL667" t="s">
        <v>132</v>
      </c>
      <c r="BM667">
        <v>1</v>
      </c>
      <c r="BN667">
        <v>1</v>
      </c>
      <c r="BO667">
        <v>1</v>
      </c>
      <c r="BP667">
        <v>0</v>
      </c>
      <c r="BT667">
        <v>0</v>
      </c>
      <c r="BU667">
        <v>0</v>
      </c>
      <c r="CE667" t="str">
        <f>"15:40:29.321"</f>
        <v>15:40:29.321</v>
      </c>
      <c r="CF667">
        <v>320726104</v>
      </c>
      <c r="CS667">
        <v>0</v>
      </c>
      <c r="CT667">
        <v>2</v>
      </c>
      <c r="CU667">
        <v>0</v>
      </c>
      <c r="CV667">
        <v>2</v>
      </c>
      <c r="CW667">
        <v>0</v>
      </c>
      <c r="CX667">
        <v>3</v>
      </c>
      <c r="CY667">
        <v>7</v>
      </c>
      <c r="CZ667" t="s">
        <v>133</v>
      </c>
      <c r="DA667">
        <v>125</v>
      </c>
      <c r="DB667">
        <v>1</v>
      </c>
      <c r="DC667" t="s">
        <v>134</v>
      </c>
      <c r="DD667" t="s">
        <v>135</v>
      </c>
      <c r="DG667">
        <v>2619706</v>
      </c>
      <c r="DI667">
        <v>0</v>
      </c>
      <c r="DJ667">
        <v>0</v>
      </c>
      <c r="DK667">
        <v>1</v>
      </c>
      <c r="DL667">
        <v>0</v>
      </c>
      <c r="DM667">
        <v>0</v>
      </c>
      <c r="DN667">
        <v>0</v>
      </c>
      <c r="DO667">
        <v>0</v>
      </c>
      <c r="DP667">
        <v>0</v>
      </c>
      <c r="DQ667">
        <v>0</v>
      </c>
      <c r="DR667">
        <v>0</v>
      </c>
      <c r="DS667">
        <v>0</v>
      </c>
    </row>
    <row r="668" spans="1:123" x14ac:dyDescent="0.25">
      <c r="A668" t="str">
        <f>"04/17/2026 15:40:29.601"</f>
        <v>04/17/2026 15:40:29.601</v>
      </c>
      <c r="C668" t="str">
        <f t="shared" si="55"/>
        <v>FFDFD3C0</v>
      </c>
      <c r="D668" t="s">
        <v>139</v>
      </c>
      <c r="E668" t="str">
        <f>"28"</f>
        <v>28</v>
      </c>
      <c r="H668">
        <v>140</v>
      </c>
      <c r="I668" t="s">
        <v>140</v>
      </c>
      <c r="J668" t="s">
        <v>141</v>
      </c>
      <c r="K668">
        <v>0</v>
      </c>
      <c r="L668">
        <v>3</v>
      </c>
      <c r="M668">
        <v>0</v>
      </c>
      <c r="N668">
        <v>2</v>
      </c>
      <c r="O668">
        <v>1</v>
      </c>
      <c r="P668">
        <v>0</v>
      </c>
      <c r="Q668">
        <v>0</v>
      </c>
      <c r="R668" t="s">
        <v>127</v>
      </c>
      <c r="S668" t="str">
        <f>"15:40:29.320"</f>
        <v>15:40:29.320</v>
      </c>
      <c r="T668" t="str">
        <f>"15:40:28.920"</f>
        <v>15:40:28.920</v>
      </c>
      <c r="U668" t="str">
        <f t="shared" si="56"/>
        <v>A55E09</v>
      </c>
      <c r="V668">
        <v>0</v>
      </c>
      <c r="W668">
        <v>0</v>
      </c>
      <c r="X668">
        <v>2</v>
      </c>
      <c r="Y668">
        <v>0</v>
      </c>
      <c r="AA668">
        <v>0</v>
      </c>
      <c r="AB668">
        <v>9</v>
      </c>
      <c r="AC668">
        <v>3</v>
      </c>
      <c r="AD668">
        <v>0</v>
      </c>
      <c r="AE668">
        <v>9</v>
      </c>
      <c r="AF668" t="s">
        <v>128</v>
      </c>
      <c r="AG668">
        <v>0</v>
      </c>
      <c r="AH668">
        <v>0</v>
      </c>
      <c r="AI668">
        <v>1</v>
      </c>
      <c r="AJ668">
        <v>0</v>
      </c>
      <c r="AK668" t="s">
        <v>437</v>
      </c>
      <c r="AL668">
        <v>33.724766000000002</v>
      </c>
      <c r="AM668" t="s">
        <v>233</v>
      </c>
      <c r="AN668">
        <v>-101.20393</v>
      </c>
      <c r="AO668">
        <v>100</v>
      </c>
      <c r="AP668">
        <v>3100</v>
      </c>
      <c r="AQ668" t="s">
        <v>131</v>
      </c>
      <c r="AR668">
        <v>32</v>
      </c>
      <c r="AS668">
        <v>87</v>
      </c>
      <c r="AT668">
        <v>-128</v>
      </c>
      <c r="BB668" t="str">
        <f t="shared" si="57"/>
        <v>1200</v>
      </c>
      <c r="BC668">
        <v>1</v>
      </c>
      <c r="BD668" t="str">
        <f t="shared" si="58"/>
        <v xml:space="preserve">N445JS  </v>
      </c>
      <c r="BE668">
        <v>7</v>
      </c>
      <c r="BG668">
        <v>0</v>
      </c>
      <c r="BH668">
        <v>0</v>
      </c>
      <c r="BI668">
        <v>0</v>
      </c>
      <c r="BJ668">
        <v>2900</v>
      </c>
      <c r="BK668">
        <v>-200</v>
      </c>
      <c r="BL668" t="s">
        <v>132</v>
      </c>
      <c r="BM668">
        <v>1</v>
      </c>
      <c r="BN668">
        <v>1</v>
      </c>
      <c r="BO668">
        <v>1</v>
      </c>
      <c r="BP668">
        <v>0</v>
      </c>
      <c r="BT668">
        <v>0</v>
      </c>
      <c r="BU668">
        <v>0</v>
      </c>
      <c r="CE668" t="str">
        <f>"15:40:29.321"</f>
        <v>15:40:29.321</v>
      </c>
      <c r="CF668">
        <v>320726104</v>
      </c>
      <c r="CS668">
        <v>0</v>
      </c>
      <c r="CT668">
        <v>2</v>
      </c>
      <c r="CU668">
        <v>0</v>
      </c>
      <c r="CV668">
        <v>2</v>
      </c>
      <c r="CW668">
        <v>0</v>
      </c>
      <c r="CX668">
        <v>3</v>
      </c>
      <c r="CY668">
        <v>7</v>
      </c>
      <c r="CZ668" t="s">
        <v>133</v>
      </c>
      <c r="DA668">
        <v>125</v>
      </c>
      <c r="DB668">
        <v>1</v>
      </c>
      <c r="DC668" t="s">
        <v>134</v>
      </c>
      <c r="DD668" t="s">
        <v>135</v>
      </c>
      <c r="DG668">
        <v>2619706</v>
      </c>
      <c r="DI668">
        <v>0</v>
      </c>
      <c r="DJ668">
        <v>0</v>
      </c>
      <c r="DK668">
        <v>1</v>
      </c>
      <c r="DL668">
        <v>0</v>
      </c>
      <c r="DM668">
        <v>0</v>
      </c>
      <c r="DN668">
        <v>0</v>
      </c>
      <c r="DO668">
        <v>0</v>
      </c>
      <c r="DP668">
        <v>0</v>
      </c>
      <c r="DQ668">
        <v>0</v>
      </c>
      <c r="DR668">
        <v>0</v>
      </c>
      <c r="DS668">
        <v>0</v>
      </c>
    </row>
    <row r="669" spans="1:123" x14ac:dyDescent="0.25">
      <c r="A669" t="str">
        <f>"04/17/2026 15:40:29.619"</f>
        <v>04/17/2026 15:40:29.619</v>
      </c>
      <c r="C669" t="str">
        <f t="shared" si="55"/>
        <v>FFDFD3C0</v>
      </c>
      <c r="D669" t="s">
        <v>124</v>
      </c>
      <c r="E669" t="str">
        <f>"03"</f>
        <v>03</v>
      </c>
      <c r="H669">
        <v>160</v>
      </c>
      <c r="I669" t="s">
        <v>125</v>
      </c>
      <c r="J669" t="s">
        <v>126</v>
      </c>
      <c r="K669">
        <v>0</v>
      </c>
      <c r="L669">
        <v>3</v>
      </c>
      <c r="M669">
        <v>0</v>
      </c>
      <c r="N669">
        <v>2</v>
      </c>
      <c r="O669">
        <v>1</v>
      </c>
      <c r="P669">
        <v>0</v>
      </c>
      <c r="Q669">
        <v>0</v>
      </c>
      <c r="R669" t="s">
        <v>127</v>
      </c>
      <c r="S669" t="str">
        <f>"15:40:29.320"</f>
        <v>15:40:29.320</v>
      </c>
      <c r="T669" t="str">
        <f>"15:40:28.920"</f>
        <v>15:40:28.920</v>
      </c>
      <c r="U669" t="str">
        <f t="shared" si="56"/>
        <v>A55E09</v>
      </c>
      <c r="V669">
        <v>0</v>
      </c>
      <c r="W669">
        <v>0</v>
      </c>
      <c r="X669">
        <v>2</v>
      </c>
      <c r="Y669">
        <v>0</v>
      </c>
      <c r="AA669">
        <v>0</v>
      </c>
      <c r="AB669">
        <v>9</v>
      </c>
      <c r="AC669">
        <v>3</v>
      </c>
      <c r="AD669">
        <v>0</v>
      </c>
      <c r="AE669">
        <v>9</v>
      </c>
      <c r="AF669" t="s">
        <v>128</v>
      </c>
      <c r="AG669">
        <v>0</v>
      </c>
      <c r="AH669">
        <v>0</v>
      </c>
      <c r="AI669">
        <v>1</v>
      </c>
      <c r="AJ669">
        <v>0</v>
      </c>
      <c r="AK669" t="s">
        <v>437</v>
      </c>
      <c r="AL669">
        <v>33.724766000000002</v>
      </c>
      <c r="AM669" t="s">
        <v>233</v>
      </c>
      <c r="AN669">
        <v>-101.20393</v>
      </c>
      <c r="AO669">
        <v>100</v>
      </c>
      <c r="AP669">
        <v>3100</v>
      </c>
      <c r="AQ669" t="s">
        <v>131</v>
      </c>
      <c r="AR669">
        <v>32</v>
      </c>
      <c r="AS669">
        <v>87</v>
      </c>
      <c r="AT669">
        <v>-128</v>
      </c>
      <c r="BB669" t="str">
        <f t="shared" si="57"/>
        <v>1200</v>
      </c>
      <c r="BC669">
        <v>1</v>
      </c>
      <c r="BD669" t="str">
        <f t="shared" si="58"/>
        <v xml:space="preserve">N445JS  </v>
      </c>
      <c r="BE669">
        <v>7</v>
      </c>
      <c r="BG669">
        <v>0</v>
      </c>
      <c r="BH669">
        <v>0</v>
      </c>
      <c r="BI669">
        <v>0</v>
      </c>
      <c r="BJ669">
        <v>2900</v>
      </c>
      <c r="BK669">
        <v>-200</v>
      </c>
      <c r="BL669" t="s">
        <v>132</v>
      </c>
      <c r="BM669">
        <v>1</v>
      </c>
      <c r="BN669">
        <v>1</v>
      </c>
      <c r="BO669">
        <v>1</v>
      </c>
      <c r="BP669">
        <v>0</v>
      </c>
      <c r="BT669">
        <v>0</v>
      </c>
      <c r="BU669">
        <v>0</v>
      </c>
      <c r="CE669" t="str">
        <f>"15:40:29.321"</f>
        <v>15:40:29.321</v>
      </c>
      <c r="CF669">
        <v>320726104</v>
      </c>
      <c r="CS669">
        <v>0</v>
      </c>
      <c r="CT669">
        <v>2</v>
      </c>
      <c r="CU669">
        <v>0</v>
      </c>
      <c r="CV669">
        <v>2</v>
      </c>
      <c r="CW669">
        <v>0</v>
      </c>
      <c r="CX669">
        <v>3</v>
      </c>
      <c r="CY669">
        <v>7</v>
      </c>
      <c r="CZ669" t="s">
        <v>133</v>
      </c>
      <c r="DA669">
        <v>125</v>
      </c>
      <c r="DB669">
        <v>1</v>
      </c>
      <c r="DC669" t="s">
        <v>134</v>
      </c>
      <c r="DD669" t="s">
        <v>135</v>
      </c>
      <c r="DG669">
        <v>2619706</v>
      </c>
      <c r="DI669">
        <v>0</v>
      </c>
      <c r="DJ669">
        <v>0</v>
      </c>
      <c r="DK669">
        <v>1</v>
      </c>
      <c r="DL669">
        <v>0</v>
      </c>
      <c r="DM669">
        <v>0</v>
      </c>
      <c r="DN669">
        <v>0</v>
      </c>
      <c r="DO669">
        <v>0</v>
      </c>
      <c r="DP669">
        <v>0</v>
      </c>
      <c r="DQ669">
        <v>0</v>
      </c>
      <c r="DR669">
        <v>0</v>
      </c>
      <c r="DS669">
        <v>0</v>
      </c>
    </row>
    <row r="670" spans="1:123" x14ac:dyDescent="0.25">
      <c r="A670" t="str">
        <f>"04/17/2026 15:40:30.521"</f>
        <v>04/17/2026 15:40:30.521</v>
      </c>
      <c r="C670" t="str">
        <f t="shared" si="55"/>
        <v>FFDFD3C0</v>
      </c>
      <c r="D670" t="s">
        <v>124</v>
      </c>
      <c r="E670" t="str">
        <f>"03"</f>
        <v>03</v>
      </c>
      <c r="H670">
        <v>160</v>
      </c>
      <c r="I670" t="s">
        <v>125</v>
      </c>
      <c r="J670" t="s">
        <v>126</v>
      </c>
      <c r="K670">
        <v>0</v>
      </c>
      <c r="L670">
        <v>3</v>
      </c>
      <c r="M670">
        <v>0</v>
      </c>
      <c r="N670">
        <v>2</v>
      </c>
      <c r="O670">
        <v>1</v>
      </c>
      <c r="P670">
        <v>0</v>
      </c>
      <c r="Q670">
        <v>0</v>
      </c>
      <c r="R670" t="s">
        <v>127</v>
      </c>
      <c r="S670" t="str">
        <f>"15:40:30.289"</f>
        <v>15:40:30.289</v>
      </c>
      <c r="T670" t="str">
        <f>"15:40:29.989"</f>
        <v>15:40:29.989</v>
      </c>
      <c r="U670" t="str">
        <f t="shared" si="56"/>
        <v>A55E09</v>
      </c>
      <c r="V670">
        <v>0</v>
      </c>
      <c r="W670">
        <v>0</v>
      </c>
      <c r="X670">
        <v>2</v>
      </c>
      <c r="Y670">
        <v>0</v>
      </c>
      <c r="AA670">
        <v>0</v>
      </c>
      <c r="AB670">
        <v>9</v>
      </c>
      <c r="AC670">
        <v>3</v>
      </c>
      <c r="AD670">
        <v>0</v>
      </c>
      <c r="AE670">
        <v>9</v>
      </c>
      <c r="AF670" t="s">
        <v>128</v>
      </c>
      <c r="AG670">
        <v>0</v>
      </c>
      <c r="AH670">
        <v>0</v>
      </c>
      <c r="AI670">
        <v>1</v>
      </c>
      <c r="AJ670">
        <v>0</v>
      </c>
      <c r="AK670" t="s">
        <v>438</v>
      </c>
      <c r="AL670">
        <v>33.725152000000001</v>
      </c>
      <c r="AM670" t="s">
        <v>231</v>
      </c>
      <c r="AN670">
        <v>-101.20375900000001</v>
      </c>
      <c r="AO670">
        <v>100</v>
      </c>
      <c r="AP670">
        <v>3100</v>
      </c>
      <c r="AQ670" t="s">
        <v>131</v>
      </c>
      <c r="AR670">
        <v>33</v>
      </c>
      <c r="AS670">
        <v>86</v>
      </c>
      <c r="AT670">
        <v>-128</v>
      </c>
      <c r="BB670" t="str">
        <f t="shared" si="57"/>
        <v>1200</v>
      </c>
      <c r="BC670">
        <v>1</v>
      </c>
      <c r="BD670" t="str">
        <f t="shared" si="58"/>
        <v xml:space="preserve">N445JS  </v>
      </c>
      <c r="BE670">
        <v>7</v>
      </c>
      <c r="BG670">
        <v>0</v>
      </c>
      <c r="BH670">
        <v>0</v>
      </c>
      <c r="BI670">
        <v>0</v>
      </c>
      <c r="BJ670">
        <v>2900</v>
      </c>
      <c r="BK670">
        <v>-200</v>
      </c>
      <c r="BL670" t="s">
        <v>132</v>
      </c>
      <c r="BM670">
        <v>1</v>
      </c>
      <c r="BN670">
        <v>1</v>
      </c>
      <c r="BO670">
        <v>1</v>
      </c>
      <c r="BP670">
        <v>0</v>
      </c>
      <c r="BT670">
        <v>0</v>
      </c>
      <c r="BU670">
        <v>0</v>
      </c>
      <c r="CE670" t="str">
        <f>"15:40:30.296"</f>
        <v>15:40:30.296</v>
      </c>
      <c r="CF670">
        <v>295630651</v>
      </c>
      <c r="CS670">
        <v>0</v>
      </c>
      <c r="CT670">
        <v>2</v>
      </c>
      <c r="CU670">
        <v>0</v>
      </c>
      <c r="CV670">
        <v>2</v>
      </c>
      <c r="CW670">
        <v>0</v>
      </c>
      <c r="CX670">
        <v>3</v>
      </c>
      <c r="CY670">
        <v>7</v>
      </c>
      <c r="CZ670" t="s">
        <v>133</v>
      </c>
      <c r="DA670">
        <v>125</v>
      </c>
      <c r="DB670">
        <v>1</v>
      </c>
      <c r="DC670" t="s">
        <v>134</v>
      </c>
      <c r="DD670" t="s">
        <v>135</v>
      </c>
      <c r="DG670">
        <v>2620810</v>
      </c>
      <c r="DI670">
        <v>0</v>
      </c>
      <c r="DJ670">
        <v>0</v>
      </c>
      <c r="DK670">
        <v>0</v>
      </c>
      <c r="DL670">
        <v>0</v>
      </c>
      <c r="DM670">
        <v>0</v>
      </c>
      <c r="DN670">
        <v>0</v>
      </c>
      <c r="DO670">
        <v>0</v>
      </c>
      <c r="DP670">
        <v>0</v>
      </c>
      <c r="DQ670">
        <v>0</v>
      </c>
      <c r="DR670">
        <v>0</v>
      </c>
      <c r="DS670">
        <v>0</v>
      </c>
    </row>
    <row r="671" spans="1:123" x14ac:dyDescent="0.25">
      <c r="A671" t="str">
        <f>"04/17/2026 15:40:30.535"</f>
        <v>04/17/2026 15:40:30.535</v>
      </c>
      <c r="C671" t="str">
        <f t="shared" si="55"/>
        <v>FFDFD3C0</v>
      </c>
      <c r="D671" t="s">
        <v>136</v>
      </c>
      <c r="E671" t="str">
        <f>"0E"</f>
        <v>0E</v>
      </c>
      <c r="F671">
        <v>1014</v>
      </c>
      <c r="G671" t="s">
        <v>125</v>
      </c>
      <c r="J671" t="s">
        <v>137</v>
      </c>
      <c r="K671">
        <v>0</v>
      </c>
      <c r="L671">
        <v>3</v>
      </c>
      <c r="M671">
        <v>0</v>
      </c>
      <c r="N671">
        <v>2</v>
      </c>
      <c r="O671">
        <v>1</v>
      </c>
      <c r="P671">
        <v>0</v>
      </c>
      <c r="Q671">
        <v>0</v>
      </c>
      <c r="R671" t="s">
        <v>127</v>
      </c>
      <c r="S671" t="str">
        <f>"15:40:30.289"</f>
        <v>15:40:30.289</v>
      </c>
      <c r="T671" t="str">
        <f>"15:40:29.989"</f>
        <v>15:40:29.989</v>
      </c>
      <c r="U671" t="str">
        <f t="shared" si="56"/>
        <v>A55E09</v>
      </c>
      <c r="V671">
        <v>0</v>
      </c>
      <c r="W671">
        <v>0</v>
      </c>
      <c r="X671">
        <v>2</v>
      </c>
      <c r="Y671">
        <v>0</v>
      </c>
      <c r="AA671">
        <v>0</v>
      </c>
      <c r="AB671">
        <v>9</v>
      </c>
      <c r="AC671">
        <v>3</v>
      </c>
      <c r="AD671">
        <v>0</v>
      </c>
      <c r="AE671">
        <v>9</v>
      </c>
      <c r="AF671" t="s">
        <v>128</v>
      </c>
      <c r="AG671">
        <v>0</v>
      </c>
      <c r="AH671">
        <v>0</v>
      </c>
      <c r="AI671">
        <v>1</v>
      </c>
      <c r="AJ671">
        <v>0</v>
      </c>
      <c r="AK671" t="s">
        <v>438</v>
      </c>
      <c r="AL671">
        <v>33.725152000000001</v>
      </c>
      <c r="AM671" t="s">
        <v>231</v>
      </c>
      <c r="AN671">
        <v>-101.20375900000001</v>
      </c>
      <c r="AO671">
        <v>100</v>
      </c>
      <c r="AP671">
        <v>3100</v>
      </c>
      <c r="AQ671" t="s">
        <v>131</v>
      </c>
      <c r="AR671">
        <v>33</v>
      </c>
      <c r="AS671">
        <v>86</v>
      </c>
      <c r="AT671">
        <v>-128</v>
      </c>
      <c r="BB671" t="str">
        <f t="shared" si="57"/>
        <v>1200</v>
      </c>
      <c r="BC671">
        <v>1</v>
      </c>
      <c r="BD671" t="str">
        <f t="shared" si="58"/>
        <v xml:space="preserve">N445JS  </v>
      </c>
      <c r="BE671">
        <v>7</v>
      </c>
      <c r="BG671">
        <v>0</v>
      </c>
      <c r="BH671">
        <v>0</v>
      </c>
      <c r="BI671">
        <v>0</v>
      </c>
      <c r="BJ671">
        <v>2900</v>
      </c>
      <c r="BK671">
        <v>-200</v>
      </c>
      <c r="BL671" t="s">
        <v>132</v>
      </c>
      <c r="BM671">
        <v>1</v>
      </c>
      <c r="BN671">
        <v>1</v>
      </c>
      <c r="BO671">
        <v>1</v>
      </c>
      <c r="BP671">
        <v>0</v>
      </c>
      <c r="BT671">
        <v>0</v>
      </c>
      <c r="BU671">
        <v>0</v>
      </c>
      <c r="CE671" t="str">
        <f>"15:40:30.296"</f>
        <v>15:40:30.296</v>
      </c>
      <c r="CF671">
        <v>295630651</v>
      </c>
      <c r="CS671">
        <v>0</v>
      </c>
      <c r="CT671">
        <v>2</v>
      </c>
      <c r="CU671">
        <v>0</v>
      </c>
      <c r="CV671">
        <v>2</v>
      </c>
      <c r="CW671">
        <v>0</v>
      </c>
      <c r="CX671">
        <v>3</v>
      </c>
      <c r="CY671">
        <v>7</v>
      </c>
      <c r="CZ671" t="s">
        <v>133</v>
      </c>
      <c r="DA671">
        <v>125</v>
      </c>
      <c r="DB671">
        <v>1</v>
      </c>
      <c r="DC671" t="s">
        <v>134</v>
      </c>
      <c r="DD671" t="s">
        <v>135</v>
      </c>
      <c r="DG671">
        <v>2620810</v>
      </c>
      <c r="DI671">
        <v>0</v>
      </c>
      <c r="DJ671">
        <v>0</v>
      </c>
      <c r="DK671">
        <v>1</v>
      </c>
      <c r="DL671">
        <v>0</v>
      </c>
      <c r="DM671">
        <v>0</v>
      </c>
      <c r="DN671">
        <v>0</v>
      </c>
      <c r="DO671">
        <v>0</v>
      </c>
      <c r="DP671">
        <v>0</v>
      </c>
      <c r="DQ671">
        <v>0</v>
      </c>
      <c r="DR671">
        <v>0</v>
      </c>
      <c r="DS671">
        <v>0</v>
      </c>
    </row>
    <row r="672" spans="1:123" x14ac:dyDescent="0.25">
      <c r="A672" t="str">
        <f>"04/17/2026 15:40:30.551"</f>
        <v>04/17/2026 15:40:30.551</v>
      </c>
      <c r="C672" t="str">
        <f t="shared" si="55"/>
        <v>FFDFD3C0</v>
      </c>
      <c r="D672" t="s">
        <v>136</v>
      </c>
      <c r="E672" t="str">
        <f>"0F"</f>
        <v>0F</v>
      </c>
      <c r="F672">
        <v>1015</v>
      </c>
      <c r="G672" t="s">
        <v>138</v>
      </c>
      <c r="J672" t="s">
        <v>137</v>
      </c>
      <c r="K672">
        <v>0</v>
      </c>
      <c r="L672">
        <v>3</v>
      </c>
      <c r="M672">
        <v>0</v>
      </c>
      <c r="N672">
        <v>2</v>
      </c>
      <c r="O672">
        <v>1</v>
      </c>
      <c r="P672">
        <v>0</v>
      </c>
      <c r="Q672">
        <v>0</v>
      </c>
      <c r="R672" t="s">
        <v>127</v>
      </c>
      <c r="S672" t="str">
        <f>"15:40:30.289"</f>
        <v>15:40:30.289</v>
      </c>
      <c r="T672" t="str">
        <f>"15:40:29.989"</f>
        <v>15:40:29.989</v>
      </c>
      <c r="U672" t="str">
        <f t="shared" si="56"/>
        <v>A55E09</v>
      </c>
      <c r="V672">
        <v>0</v>
      </c>
      <c r="W672">
        <v>0</v>
      </c>
      <c r="X672">
        <v>2</v>
      </c>
      <c r="Y672">
        <v>0</v>
      </c>
      <c r="AA672">
        <v>0</v>
      </c>
      <c r="AB672">
        <v>9</v>
      </c>
      <c r="AC672">
        <v>3</v>
      </c>
      <c r="AD672">
        <v>0</v>
      </c>
      <c r="AE672">
        <v>9</v>
      </c>
      <c r="AF672" t="s">
        <v>128</v>
      </c>
      <c r="AG672">
        <v>0</v>
      </c>
      <c r="AH672">
        <v>0</v>
      </c>
      <c r="AI672">
        <v>1</v>
      </c>
      <c r="AJ672">
        <v>0</v>
      </c>
      <c r="AK672" t="s">
        <v>438</v>
      </c>
      <c r="AL672">
        <v>33.725152000000001</v>
      </c>
      <c r="AM672" t="s">
        <v>231</v>
      </c>
      <c r="AN672">
        <v>-101.20375900000001</v>
      </c>
      <c r="AO672">
        <v>100</v>
      </c>
      <c r="AP672">
        <v>3100</v>
      </c>
      <c r="AQ672" t="s">
        <v>131</v>
      </c>
      <c r="AR672">
        <v>33</v>
      </c>
      <c r="AS672">
        <v>86</v>
      </c>
      <c r="AT672">
        <v>-128</v>
      </c>
      <c r="BB672" t="str">
        <f t="shared" si="57"/>
        <v>1200</v>
      </c>
      <c r="BC672">
        <v>1</v>
      </c>
      <c r="BD672" t="str">
        <f t="shared" si="58"/>
        <v xml:space="preserve">N445JS  </v>
      </c>
      <c r="BE672">
        <v>7</v>
      </c>
      <c r="BG672">
        <v>0</v>
      </c>
      <c r="BH672">
        <v>0</v>
      </c>
      <c r="BI672">
        <v>0</v>
      </c>
      <c r="BJ672">
        <v>2900</v>
      </c>
      <c r="BK672">
        <v>-200</v>
      </c>
      <c r="BL672" t="s">
        <v>132</v>
      </c>
      <c r="BM672">
        <v>1</v>
      </c>
      <c r="BN672">
        <v>1</v>
      </c>
      <c r="BO672">
        <v>1</v>
      </c>
      <c r="BP672">
        <v>0</v>
      </c>
      <c r="BT672">
        <v>0</v>
      </c>
      <c r="BU672">
        <v>0</v>
      </c>
      <c r="CE672" t="str">
        <f>"15:40:30.296"</f>
        <v>15:40:30.296</v>
      </c>
      <c r="CF672">
        <v>295630651</v>
      </c>
      <c r="CS672">
        <v>0</v>
      </c>
      <c r="CT672">
        <v>2</v>
      </c>
      <c r="CU672">
        <v>0</v>
      </c>
      <c r="CV672">
        <v>2</v>
      </c>
      <c r="CW672">
        <v>0</v>
      </c>
      <c r="CX672">
        <v>3</v>
      </c>
      <c r="CY672">
        <v>7</v>
      </c>
      <c r="CZ672" t="s">
        <v>133</v>
      </c>
      <c r="DA672">
        <v>125</v>
      </c>
      <c r="DB672">
        <v>1</v>
      </c>
      <c r="DC672" t="s">
        <v>134</v>
      </c>
      <c r="DD672" t="s">
        <v>135</v>
      </c>
      <c r="DG672">
        <v>2620810</v>
      </c>
      <c r="DI672">
        <v>0</v>
      </c>
      <c r="DJ672">
        <v>0</v>
      </c>
      <c r="DK672">
        <v>1</v>
      </c>
      <c r="DL672">
        <v>0</v>
      </c>
      <c r="DM672">
        <v>0</v>
      </c>
      <c r="DN672">
        <v>0</v>
      </c>
      <c r="DO672">
        <v>0</v>
      </c>
      <c r="DP672">
        <v>0</v>
      </c>
      <c r="DQ672">
        <v>0</v>
      </c>
      <c r="DR672">
        <v>0</v>
      </c>
      <c r="DS672">
        <v>0</v>
      </c>
    </row>
    <row r="673" spans="1:123" x14ac:dyDescent="0.25">
      <c r="A673" t="str">
        <f>"04/17/2026 15:40:30.553"</f>
        <v>04/17/2026 15:40:30.553</v>
      </c>
      <c r="C673" t="str">
        <f t="shared" si="55"/>
        <v>FFDFD3C0</v>
      </c>
      <c r="D673" t="s">
        <v>139</v>
      </c>
      <c r="E673" t="str">
        <f>"28"</f>
        <v>28</v>
      </c>
      <c r="H673">
        <v>140</v>
      </c>
      <c r="I673" t="s">
        <v>140</v>
      </c>
      <c r="J673" t="s">
        <v>141</v>
      </c>
      <c r="K673">
        <v>0</v>
      </c>
      <c r="L673">
        <v>3</v>
      </c>
      <c r="M673">
        <v>0</v>
      </c>
      <c r="N673">
        <v>2</v>
      </c>
      <c r="O673">
        <v>1</v>
      </c>
      <c r="P673">
        <v>0</v>
      </c>
      <c r="Q673">
        <v>0</v>
      </c>
      <c r="R673" t="s">
        <v>127</v>
      </c>
      <c r="S673" t="str">
        <f>"15:40:30.289"</f>
        <v>15:40:30.289</v>
      </c>
      <c r="T673" t="str">
        <f>"15:40:29.989"</f>
        <v>15:40:29.989</v>
      </c>
      <c r="U673" t="str">
        <f t="shared" si="56"/>
        <v>A55E09</v>
      </c>
      <c r="V673">
        <v>0</v>
      </c>
      <c r="W673">
        <v>0</v>
      </c>
      <c r="X673">
        <v>2</v>
      </c>
      <c r="Y673">
        <v>0</v>
      </c>
      <c r="AA673">
        <v>0</v>
      </c>
      <c r="AB673">
        <v>9</v>
      </c>
      <c r="AC673">
        <v>3</v>
      </c>
      <c r="AD673">
        <v>0</v>
      </c>
      <c r="AE673">
        <v>9</v>
      </c>
      <c r="AF673" t="s">
        <v>128</v>
      </c>
      <c r="AG673">
        <v>0</v>
      </c>
      <c r="AH673">
        <v>0</v>
      </c>
      <c r="AI673">
        <v>1</v>
      </c>
      <c r="AJ673">
        <v>0</v>
      </c>
      <c r="AK673" t="s">
        <v>438</v>
      </c>
      <c r="AL673">
        <v>33.725152000000001</v>
      </c>
      <c r="AM673" t="s">
        <v>231</v>
      </c>
      <c r="AN673">
        <v>-101.20375900000001</v>
      </c>
      <c r="AO673">
        <v>100</v>
      </c>
      <c r="AP673">
        <v>3100</v>
      </c>
      <c r="AQ673" t="s">
        <v>131</v>
      </c>
      <c r="AR673">
        <v>33</v>
      </c>
      <c r="AS673">
        <v>86</v>
      </c>
      <c r="AT673">
        <v>-128</v>
      </c>
      <c r="BB673" t="str">
        <f t="shared" si="57"/>
        <v>1200</v>
      </c>
      <c r="BC673">
        <v>1</v>
      </c>
      <c r="BD673" t="str">
        <f t="shared" si="58"/>
        <v xml:space="preserve">N445JS  </v>
      </c>
      <c r="BE673">
        <v>7</v>
      </c>
      <c r="BG673">
        <v>0</v>
      </c>
      <c r="BH673">
        <v>0</v>
      </c>
      <c r="BI673">
        <v>0</v>
      </c>
      <c r="BJ673">
        <v>2900</v>
      </c>
      <c r="BK673">
        <v>-200</v>
      </c>
      <c r="BL673" t="s">
        <v>132</v>
      </c>
      <c r="BM673">
        <v>1</v>
      </c>
      <c r="BN673">
        <v>1</v>
      </c>
      <c r="BO673">
        <v>1</v>
      </c>
      <c r="BP673">
        <v>0</v>
      </c>
      <c r="BT673">
        <v>0</v>
      </c>
      <c r="BU673">
        <v>0</v>
      </c>
      <c r="CE673" t="str">
        <f>"15:40:30.296"</f>
        <v>15:40:30.296</v>
      </c>
      <c r="CF673">
        <v>295630651</v>
      </c>
      <c r="CS673">
        <v>0</v>
      </c>
      <c r="CT673">
        <v>2</v>
      </c>
      <c r="CU673">
        <v>0</v>
      </c>
      <c r="CV673">
        <v>2</v>
      </c>
      <c r="CW673">
        <v>0</v>
      </c>
      <c r="CX673">
        <v>3</v>
      </c>
      <c r="CY673">
        <v>7</v>
      </c>
      <c r="CZ673" t="s">
        <v>133</v>
      </c>
      <c r="DA673">
        <v>125</v>
      </c>
      <c r="DB673">
        <v>1</v>
      </c>
      <c r="DC673" t="s">
        <v>134</v>
      </c>
      <c r="DD673" t="s">
        <v>135</v>
      </c>
      <c r="DG673">
        <v>2620810</v>
      </c>
      <c r="DI673">
        <v>0</v>
      </c>
      <c r="DJ673">
        <v>0</v>
      </c>
      <c r="DK673">
        <v>1</v>
      </c>
      <c r="DL673">
        <v>0</v>
      </c>
      <c r="DM673">
        <v>0</v>
      </c>
      <c r="DN673">
        <v>0</v>
      </c>
      <c r="DO673">
        <v>0</v>
      </c>
      <c r="DP673">
        <v>0</v>
      </c>
      <c r="DQ673">
        <v>0</v>
      </c>
      <c r="DR673">
        <v>0</v>
      </c>
      <c r="DS673">
        <v>0</v>
      </c>
    </row>
    <row r="674" spans="1:123" x14ac:dyDescent="0.25">
      <c r="A674" t="str">
        <f>"04/17/2026 15:40:31.573"</f>
        <v>04/17/2026 15:40:31.573</v>
      </c>
      <c r="C674" t="str">
        <f t="shared" si="55"/>
        <v>FFDFD3C0</v>
      </c>
      <c r="D674" t="s">
        <v>124</v>
      </c>
      <c r="E674" t="str">
        <f>"03"</f>
        <v>03</v>
      </c>
      <c r="H674">
        <v>160</v>
      </c>
      <c r="I674" t="s">
        <v>125</v>
      </c>
      <c r="J674" t="s">
        <v>126</v>
      </c>
      <c r="K674">
        <v>0</v>
      </c>
      <c r="L674">
        <v>3</v>
      </c>
      <c r="M674">
        <v>0</v>
      </c>
      <c r="N674">
        <v>2</v>
      </c>
      <c r="O674">
        <v>1</v>
      </c>
      <c r="P674">
        <v>0</v>
      </c>
      <c r="Q674">
        <v>0</v>
      </c>
      <c r="R674" t="s">
        <v>127</v>
      </c>
      <c r="S674" t="str">
        <f>"15:40:31.328"</f>
        <v>15:40:31.328</v>
      </c>
      <c r="T674" t="str">
        <f>"15:40:30.828"</f>
        <v>15:40:30.828</v>
      </c>
      <c r="U674" t="str">
        <f t="shared" si="56"/>
        <v>A55E09</v>
      </c>
      <c r="V674">
        <v>0</v>
      </c>
      <c r="W674">
        <v>0</v>
      </c>
      <c r="X674">
        <v>2</v>
      </c>
      <c r="Y674">
        <v>0</v>
      </c>
      <c r="AA674">
        <v>0</v>
      </c>
      <c r="AB674">
        <v>9</v>
      </c>
      <c r="AC674">
        <v>3</v>
      </c>
      <c r="AD674">
        <v>0</v>
      </c>
      <c r="AE674">
        <v>9</v>
      </c>
      <c r="AF674" t="s">
        <v>128</v>
      </c>
      <c r="AG674">
        <v>0</v>
      </c>
      <c r="AH674">
        <v>0</v>
      </c>
      <c r="AI674">
        <v>1</v>
      </c>
      <c r="AJ674">
        <v>0</v>
      </c>
      <c r="AK674" t="s">
        <v>439</v>
      </c>
      <c r="AL674">
        <v>33.725560000000002</v>
      </c>
      <c r="AM674" t="s">
        <v>440</v>
      </c>
      <c r="AN674">
        <v>-101.20354399999999</v>
      </c>
      <c r="AO674">
        <v>100</v>
      </c>
      <c r="AP674">
        <v>3100</v>
      </c>
      <c r="AQ674" t="s">
        <v>131</v>
      </c>
      <c r="AR674">
        <v>35</v>
      </c>
      <c r="AS674">
        <v>85</v>
      </c>
      <c r="AT674">
        <v>-128</v>
      </c>
      <c r="BB674" t="str">
        <f t="shared" si="57"/>
        <v>1200</v>
      </c>
      <c r="BC674">
        <v>1</v>
      </c>
      <c r="BD674" t="str">
        <f t="shared" si="58"/>
        <v xml:space="preserve">N445JS  </v>
      </c>
      <c r="BE674">
        <v>7</v>
      </c>
      <c r="BG674">
        <v>0</v>
      </c>
      <c r="BH674">
        <v>0</v>
      </c>
      <c r="BI674">
        <v>0</v>
      </c>
      <c r="BJ674">
        <v>2900</v>
      </c>
      <c r="BK674">
        <v>-200</v>
      </c>
      <c r="BL674" t="s">
        <v>132</v>
      </c>
      <c r="BM674">
        <v>1</v>
      </c>
      <c r="BN674">
        <v>1</v>
      </c>
      <c r="BO674">
        <v>1</v>
      </c>
      <c r="BP674">
        <v>0</v>
      </c>
      <c r="BT674">
        <v>0</v>
      </c>
      <c r="BU674">
        <v>0</v>
      </c>
      <c r="CE674" t="str">
        <f>"15:40:31.331"</f>
        <v>15:40:31.331</v>
      </c>
      <c r="CF674">
        <v>330529314</v>
      </c>
      <c r="CS674">
        <v>0</v>
      </c>
      <c r="CT674">
        <v>2</v>
      </c>
      <c r="CU674">
        <v>0</v>
      </c>
      <c r="CV674">
        <v>2</v>
      </c>
      <c r="CW674">
        <v>0</v>
      </c>
      <c r="CX674">
        <v>3</v>
      </c>
      <c r="CY674">
        <v>7</v>
      </c>
      <c r="CZ674" t="s">
        <v>133</v>
      </c>
      <c r="DA674">
        <v>125</v>
      </c>
      <c r="DB674">
        <v>1</v>
      </c>
      <c r="DC674" t="s">
        <v>134</v>
      </c>
      <c r="DD674" t="s">
        <v>135</v>
      </c>
      <c r="DG674">
        <v>2621874</v>
      </c>
      <c r="DI674">
        <v>0</v>
      </c>
      <c r="DJ674">
        <v>0</v>
      </c>
      <c r="DK674">
        <v>0</v>
      </c>
      <c r="DL674">
        <v>0</v>
      </c>
      <c r="DM674">
        <v>0</v>
      </c>
      <c r="DN674">
        <v>0</v>
      </c>
      <c r="DO674">
        <v>0</v>
      </c>
      <c r="DP674">
        <v>0</v>
      </c>
      <c r="DQ674">
        <v>0</v>
      </c>
      <c r="DR674">
        <v>0</v>
      </c>
      <c r="DS674">
        <v>0</v>
      </c>
    </row>
    <row r="675" spans="1:123" x14ac:dyDescent="0.25">
      <c r="A675" t="str">
        <f>"04/17/2026 15:40:31.586"</f>
        <v>04/17/2026 15:40:31.586</v>
      </c>
      <c r="C675" t="str">
        <f t="shared" si="55"/>
        <v>FFDFD3C0</v>
      </c>
      <c r="D675" t="s">
        <v>136</v>
      </c>
      <c r="E675" t="str">
        <f>"0E"</f>
        <v>0E</v>
      </c>
      <c r="F675">
        <v>1014</v>
      </c>
      <c r="G675" t="s">
        <v>125</v>
      </c>
      <c r="J675" t="s">
        <v>137</v>
      </c>
      <c r="K675">
        <v>0</v>
      </c>
      <c r="L675">
        <v>3</v>
      </c>
      <c r="M675">
        <v>0</v>
      </c>
      <c r="N675">
        <v>2</v>
      </c>
      <c r="O675">
        <v>1</v>
      </c>
      <c r="P675">
        <v>0</v>
      </c>
      <c r="Q675">
        <v>0</v>
      </c>
      <c r="R675" t="s">
        <v>127</v>
      </c>
      <c r="S675" t="str">
        <f>"15:40:31.328"</f>
        <v>15:40:31.328</v>
      </c>
      <c r="T675" t="str">
        <f>"15:40:30.828"</f>
        <v>15:40:30.828</v>
      </c>
      <c r="U675" t="str">
        <f t="shared" si="56"/>
        <v>A55E09</v>
      </c>
      <c r="V675">
        <v>0</v>
      </c>
      <c r="W675">
        <v>0</v>
      </c>
      <c r="X675">
        <v>2</v>
      </c>
      <c r="Y675">
        <v>0</v>
      </c>
      <c r="AA675">
        <v>0</v>
      </c>
      <c r="AB675">
        <v>9</v>
      </c>
      <c r="AC675">
        <v>3</v>
      </c>
      <c r="AD675">
        <v>0</v>
      </c>
      <c r="AE675">
        <v>9</v>
      </c>
      <c r="AF675" t="s">
        <v>128</v>
      </c>
      <c r="AG675">
        <v>0</v>
      </c>
      <c r="AH675">
        <v>0</v>
      </c>
      <c r="AI675">
        <v>1</v>
      </c>
      <c r="AJ675">
        <v>0</v>
      </c>
      <c r="AK675" t="s">
        <v>439</v>
      </c>
      <c r="AL675">
        <v>33.725560000000002</v>
      </c>
      <c r="AM675" t="s">
        <v>440</v>
      </c>
      <c r="AN675">
        <v>-101.20354399999999</v>
      </c>
      <c r="AO675">
        <v>100</v>
      </c>
      <c r="AP675">
        <v>3100</v>
      </c>
      <c r="AQ675" t="s">
        <v>131</v>
      </c>
      <c r="AR675">
        <v>35</v>
      </c>
      <c r="AS675">
        <v>85</v>
      </c>
      <c r="AT675">
        <v>-128</v>
      </c>
      <c r="BB675" t="str">
        <f t="shared" si="57"/>
        <v>1200</v>
      </c>
      <c r="BC675">
        <v>1</v>
      </c>
      <c r="BD675" t="str">
        <f t="shared" si="58"/>
        <v xml:space="preserve">N445JS  </v>
      </c>
      <c r="BE675">
        <v>7</v>
      </c>
      <c r="BG675">
        <v>0</v>
      </c>
      <c r="BH675">
        <v>0</v>
      </c>
      <c r="BI675">
        <v>0</v>
      </c>
      <c r="BJ675">
        <v>2900</v>
      </c>
      <c r="BK675">
        <v>-200</v>
      </c>
      <c r="BL675" t="s">
        <v>132</v>
      </c>
      <c r="BM675">
        <v>1</v>
      </c>
      <c r="BN675">
        <v>1</v>
      </c>
      <c r="BO675">
        <v>1</v>
      </c>
      <c r="BP675">
        <v>0</v>
      </c>
      <c r="BT675">
        <v>0</v>
      </c>
      <c r="BU675">
        <v>0</v>
      </c>
      <c r="CE675" t="str">
        <f>"15:40:31.331"</f>
        <v>15:40:31.331</v>
      </c>
      <c r="CF675">
        <v>330529314</v>
      </c>
      <c r="CS675">
        <v>0</v>
      </c>
      <c r="CT675">
        <v>2</v>
      </c>
      <c r="CU675">
        <v>0</v>
      </c>
      <c r="CV675">
        <v>2</v>
      </c>
      <c r="CW675">
        <v>0</v>
      </c>
      <c r="CX675">
        <v>3</v>
      </c>
      <c r="CY675">
        <v>7</v>
      </c>
      <c r="CZ675" t="s">
        <v>133</v>
      </c>
      <c r="DA675">
        <v>125</v>
      </c>
      <c r="DB675">
        <v>1</v>
      </c>
      <c r="DC675" t="s">
        <v>134</v>
      </c>
      <c r="DD675" t="s">
        <v>135</v>
      </c>
      <c r="DG675">
        <v>2621874</v>
      </c>
      <c r="DI675">
        <v>0</v>
      </c>
      <c r="DJ675">
        <v>0</v>
      </c>
      <c r="DK675">
        <v>1</v>
      </c>
      <c r="DL675">
        <v>0</v>
      </c>
      <c r="DM675">
        <v>0</v>
      </c>
      <c r="DN675">
        <v>0</v>
      </c>
      <c r="DO675">
        <v>0</v>
      </c>
      <c r="DP675">
        <v>0</v>
      </c>
      <c r="DQ675">
        <v>0</v>
      </c>
      <c r="DR675">
        <v>0</v>
      </c>
      <c r="DS675">
        <v>0</v>
      </c>
    </row>
    <row r="676" spans="1:123" x14ac:dyDescent="0.25">
      <c r="A676" t="str">
        <f>"04/17/2026 15:40:31.602"</f>
        <v>04/17/2026 15:40:31.602</v>
      </c>
      <c r="C676" t="str">
        <f t="shared" si="55"/>
        <v>FFDFD3C0</v>
      </c>
      <c r="D676" t="s">
        <v>136</v>
      </c>
      <c r="E676" t="str">
        <f>"0F"</f>
        <v>0F</v>
      </c>
      <c r="F676">
        <v>1015</v>
      </c>
      <c r="G676" t="s">
        <v>138</v>
      </c>
      <c r="J676" t="s">
        <v>137</v>
      </c>
      <c r="K676">
        <v>0</v>
      </c>
      <c r="L676">
        <v>3</v>
      </c>
      <c r="M676">
        <v>0</v>
      </c>
      <c r="N676">
        <v>2</v>
      </c>
      <c r="O676">
        <v>1</v>
      </c>
      <c r="P676">
        <v>0</v>
      </c>
      <c r="Q676">
        <v>0</v>
      </c>
      <c r="R676" t="s">
        <v>127</v>
      </c>
      <c r="S676" t="str">
        <f>"15:40:31.328"</f>
        <v>15:40:31.328</v>
      </c>
      <c r="T676" t="str">
        <f>"15:40:30.828"</f>
        <v>15:40:30.828</v>
      </c>
      <c r="U676" t="str">
        <f t="shared" si="56"/>
        <v>A55E09</v>
      </c>
      <c r="V676">
        <v>0</v>
      </c>
      <c r="W676">
        <v>0</v>
      </c>
      <c r="X676">
        <v>2</v>
      </c>
      <c r="Y676">
        <v>0</v>
      </c>
      <c r="AA676">
        <v>0</v>
      </c>
      <c r="AB676">
        <v>9</v>
      </c>
      <c r="AC676">
        <v>3</v>
      </c>
      <c r="AD676">
        <v>0</v>
      </c>
      <c r="AE676">
        <v>9</v>
      </c>
      <c r="AF676" t="s">
        <v>128</v>
      </c>
      <c r="AG676">
        <v>0</v>
      </c>
      <c r="AH676">
        <v>0</v>
      </c>
      <c r="AI676">
        <v>1</v>
      </c>
      <c r="AJ676">
        <v>0</v>
      </c>
      <c r="AK676" t="s">
        <v>439</v>
      </c>
      <c r="AL676">
        <v>33.725560000000002</v>
      </c>
      <c r="AM676" t="s">
        <v>440</v>
      </c>
      <c r="AN676">
        <v>-101.20354399999999</v>
      </c>
      <c r="AO676">
        <v>100</v>
      </c>
      <c r="AP676">
        <v>3100</v>
      </c>
      <c r="AQ676" t="s">
        <v>131</v>
      </c>
      <c r="AR676">
        <v>35</v>
      </c>
      <c r="AS676">
        <v>85</v>
      </c>
      <c r="AT676">
        <v>-128</v>
      </c>
      <c r="BB676" t="str">
        <f t="shared" si="57"/>
        <v>1200</v>
      </c>
      <c r="BC676">
        <v>1</v>
      </c>
      <c r="BD676" t="str">
        <f t="shared" si="58"/>
        <v xml:space="preserve">N445JS  </v>
      </c>
      <c r="BE676">
        <v>7</v>
      </c>
      <c r="BG676">
        <v>0</v>
      </c>
      <c r="BH676">
        <v>0</v>
      </c>
      <c r="BI676">
        <v>0</v>
      </c>
      <c r="BJ676">
        <v>2900</v>
      </c>
      <c r="BK676">
        <v>-200</v>
      </c>
      <c r="BL676" t="s">
        <v>132</v>
      </c>
      <c r="BM676">
        <v>1</v>
      </c>
      <c r="BN676">
        <v>1</v>
      </c>
      <c r="BO676">
        <v>1</v>
      </c>
      <c r="BP676">
        <v>0</v>
      </c>
      <c r="BT676">
        <v>0</v>
      </c>
      <c r="BU676">
        <v>0</v>
      </c>
      <c r="CE676" t="str">
        <f>"15:40:31.331"</f>
        <v>15:40:31.331</v>
      </c>
      <c r="CF676">
        <v>330529314</v>
      </c>
      <c r="CS676">
        <v>0</v>
      </c>
      <c r="CT676">
        <v>2</v>
      </c>
      <c r="CU676">
        <v>0</v>
      </c>
      <c r="CV676">
        <v>2</v>
      </c>
      <c r="CW676">
        <v>0</v>
      </c>
      <c r="CX676">
        <v>3</v>
      </c>
      <c r="CY676">
        <v>7</v>
      </c>
      <c r="CZ676" t="s">
        <v>133</v>
      </c>
      <c r="DA676">
        <v>125</v>
      </c>
      <c r="DB676">
        <v>1</v>
      </c>
      <c r="DC676" t="s">
        <v>134</v>
      </c>
      <c r="DD676" t="s">
        <v>135</v>
      </c>
      <c r="DG676">
        <v>2621874</v>
      </c>
      <c r="DI676">
        <v>0</v>
      </c>
      <c r="DJ676">
        <v>0</v>
      </c>
      <c r="DK676">
        <v>1</v>
      </c>
      <c r="DL676">
        <v>0</v>
      </c>
      <c r="DM676">
        <v>0</v>
      </c>
      <c r="DN676">
        <v>0</v>
      </c>
      <c r="DO676">
        <v>0</v>
      </c>
      <c r="DP676">
        <v>0</v>
      </c>
      <c r="DQ676">
        <v>0</v>
      </c>
      <c r="DR676">
        <v>0</v>
      </c>
      <c r="DS676">
        <v>0</v>
      </c>
    </row>
    <row r="677" spans="1:123" x14ac:dyDescent="0.25">
      <c r="A677" t="str">
        <f>"04/17/2026 15:40:31.605"</f>
        <v>04/17/2026 15:40:31.605</v>
      </c>
      <c r="C677" t="str">
        <f t="shared" si="55"/>
        <v>FFDFD3C0</v>
      </c>
      <c r="D677" t="s">
        <v>139</v>
      </c>
      <c r="E677" t="str">
        <f>"28"</f>
        <v>28</v>
      </c>
      <c r="H677">
        <v>140</v>
      </c>
      <c r="I677" t="s">
        <v>140</v>
      </c>
      <c r="J677" t="s">
        <v>141</v>
      </c>
      <c r="K677">
        <v>0</v>
      </c>
      <c r="L677">
        <v>3</v>
      </c>
      <c r="M677">
        <v>0</v>
      </c>
      <c r="N677">
        <v>2</v>
      </c>
      <c r="O677">
        <v>1</v>
      </c>
      <c r="P677">
        <v>0</v>
      </c>
      <c r="Q677">
        <v>0</v>
      </c>
      <c r="R677" t="s">
        <v>127</v>
      </c>
      <c r="S677" t="str">
        <f>"15:40:31.328"</f>
        <v>15:40:31.328</v>
      </c>
      <c r="T677" t="str">
        <f>"15:40:30.828"</f>
        <v>15:40:30.828</v>
      </c>
      <c r="U677" t="str">
        <f t="shared" si="56"/>
        <v>A55E09</v>
      </c>
      <c r="V677">
        <v>0</v>
      </c>
      <c r="W677">
        <v>0</v>
      </c>
      <c r="X677">
        <v>2</v>
      </c>
      <c r="Y677">
        <v>0</v>
      </c>
      <c r="AA677">
        <v>0</v>
      </c>
      <c r="AB677">
        <v>9</v>
      </c>
      <c r="AC677">
        <v>3</v>
      </c>
      <c r="AD677">
        <v>0</v>
      </c>
      <c r="AE677">
        <v>9</v>
      </c>
      <c r="AF677" t="s">
        <v>128</v>
      </c>
      <c r="AG677">
        <v>0</v>
      </c>
      <c r="AH677">
        <v>0</v>
      </c>
      <c r="AI677">
        <v>1</v>
      </c>
      <c r="AJ677">
        <v>0</v>
      </c>
      <c r="AK677" t="s">
        <v>439</v>
      </c>
      <c r="AL677">
        <v>33.725560000000002</v>
      </c>
      <c r="AM677" t="s">
        <v>440</v>
      </c>
      <c r="AN677">
        <v>-101.20354399999999</v>
      </c>
      <c r="AO677">
        <v>100</v>
      </c>
      <c r="AP677">
        <v>3100</v>
      </c>
      <c r="AQ677" t="s">
        <v>131</v>
      </c>
      <c r="AR677">
        <v>35</v>
      </c>
      <c r="AS677">
        <v>85</v>
      </c>
      <c r="AT677">
        <v>-128</v>
      </c>
      <c r="BB677" t="str">
        <f t="shared" si="57"/>
        <v>1200</v>
      </c>
      <c r="BC677">
        <v>1</v>
      </c>
      <c r="BD677" t="str">
        <f t="shared" si="58"/>
        <v xml:space="preserve">N445JS  </v>
      </c>
      <c r="BE677">
        <v>7</v>
      </c>
      <c r="BG677">
        <v>0</v>
      </c>
      <c r="BH677">
        <v>0</v>
      </c>
      <c r="BI677">
        <v>0</v>
      </c>
      <c r="BJ677">
        <v>2900</v>
      </c>
      <c r="BK677">
        <v>-200</v>
      </c>
      <c r="BL677" t="s">
        <v>132</v>
      </c>
      <c r="BM677">
        <v>1</v>
      </c>
      <c r="BN677">
        <v>1</v>
      </c>
      <c r="BO677">
        <v>1</v>
      </c>
      <c r="BP677">
        <v>0</v>
      </c>
      <c r="BT677">
        <v>0</v>
      </c>
      <c r="BU677">
        <v>0</v>
      </c>
      <c r="CE677" t="str">
        <f>"15:40:31.331"</f>
        <v>15:40:31.331</v>
      </c>
      <c r="CF677">
        <v>330529314</v>
      </c>
      <c r="CS677">
        <v>0</v>
      </c>
      <c r="CT677">
        <v>2</v>
      </c>
      <c r="CU677">
        <v>0</v>
      </c>
      <c r="CV677">
        <v>2</v>
      </c>
      <c r="CW677">
        <v>0</v>
      </c>
      <c r="CX677">
        <v>3</v>
      </c>
      <c r="CY677">
        <v>7</v>
      </c>
      <c r="CZ677" t="s">
        <v>133</v>
      </c>
      <c r="DA677">
        <v>125</v>
      </c>
      <c r="DB677">
        <v>1</v>
      </c>
      <c r="DC677" t="s">
        <v>134</v>
      </c>
      <c r="DD677" t="s">
        <v>135</v>
      </c>
      <c r="DG677">
        <v>2621874</v>
      </c>
      <c r="DI677">
        <v>0</v>
      </c>
      <c r="DJ677">
        <v>0</v>
      </c>
      <c r="DK677">
        <v>1</v>
      </c>
      <c r="DL677">
        <v>0</v>
      </c>
      <c r="DM677">
        <v>0</v>
      </c>
      <c r="DN677">
        <v>0</v>
      </c>
      <c r="DO677">
        <v>0</v>
      </c>
      <c r="DP677">
        <v>0</v>
      </c>
      <c r="DQ677">
        <v>0</v>
      </c>
      <c r="DR677">
        <v>0</v>
      </c>
      <c r="DS677">
        <v>0</v>
      </c>
    </row>
    <row r="678" spans="1:123" x14ac:dyDescent="0.25">
      <c r="A678" t="str">
        <f>"04/17/2026 15:40:32.904"</f>
        <v>04/17/2026 15:40:32.904</v>
      </c>
      <c r="C678" t="str">
        <f t="shared" si="55"/>
        <v>FFDFD3C0</v>
      </c>
      <c r="D678" t="s">
        <v>136</v>
      </c>
      <c r="E678" t="str">
        <f>"0F"</f>
        <v>0F</v>
      </c>
      <c r="F678">
        <v>1015</v>
      </c>
      <c r="G678" t="s">
        <v>138</v>
      </c>
      <c r="J678" t="s">
        <v>137</v>
      </c>
      <c r="K678">
        <v>0</v>
      </c>
      <c r="L678">
        <v>3</v>
      </c>
      <c r="M678">
        <v>0</v>
      </c>
      <c r="N678">
        <v>2</v>
      </c>
      <c r="O678">
        <v>1</v>
      </c>
      <c r="P678">
        <v>0</v>
      </c>
      <c r="Q678">
        <v>0</v>
      </c>
      <c r="R678" t="s">
        <v>127</v>
      </c>
      <c r="S678" t="str">
        <f>"15:40:32.648"</f>
        <v>15:40:32.648</v>
      </c>
      <c r="T678" t="str">
        <f>"15:40:32.248"</f>
        <v>15:40:32.248</v>
      </c>
      <c r="U678" t="str">
        <f t="shared" si="56"/>
        <v>A55E09</v>
      </c>
      <c r="V678">
        <v>0</v>
      </c>
      <c r="W678">
        <v>0</v>
      </c>
      <c r="X678">
        <v>2</v>
      </c>
      <c r="Y678">
        <v>0</v>
      </c>
      <c r="AA678">
        <v>0</v>
      </c>
      <c r="AB678">
        <v>9</v>
      </c>
      <c r="AC678">
        <v>3</v>
      </c>
      <c r="AD678">
        <v>0</v>
      </c>
      <c r="AE678">
        <v>9</v>
      </c>
      <c r="AF678" t="s">
        <v>128</v>
      </c>
      <c r="AG678">
        <v>0</v>
      </c>
      <c r="AH678">
        <v>0</v>
      </c>
      <c r="AI678">
        <v>1</v>
      </c>
      <c r="AJ678">
        <v>0</v>
      </c>
      <c r="AK678" t="s">
        <v>441</v>
      </c>
      <c r="AL678">
        <v>33.726053</v>
      </c>
      <c r="AM678" t="s">
        <v>442</v>
      </c>
      <c r="AN678">
        <v>-101.203244</v>
      </c>
      <c r="AO678">
        <v>100</v>
      </c>
      <c r="AP678">
        <v>3100</v>
      </c>
      <c r="AQ678" t="s">
        <v>131</v>
      </c>
      <c r="AR678">
        <v>38</v>
      </c>
      <c r="AS678">
        <v>85</v>
      </c>
      <c r="AT678">
        <v>-320</v>
      </c>
      <c r="BB678" t="str">
        <f t="shared" si="57"/>
        <v>1200</v>
      </c>
      <c r="BC678">
        <v>1</v>
      </c>
      <c r="BD678" t="str">
        <f t="shared" si="58"/>
        <v xml:space="preserve">N445JS  </v>
      </c>
      <c r="BE678">
        <v>7</v>
      </c>
      <c r="BG678">
        <v>0</v>
      </c>
      <c r="BH678">
        <v>0</v>
      </c>
      <c r="BI678">
        <v>0</v>
      </c>
      <c r="BJ678">
        <v>2900</v>
      </c>
      <c r="BK678">
        <v>-200</v>
      </c>
      <c r="BL678" t="s">
        <v>132</v>
      </c>
      <c r="BM678">
        <v>1</v>
      </c>
      <c r="BN678">
        <v>1</v>
      </c>
      <c r="BO678">
        <v>1</v>
      </c>
      <c r="BP678">
        <v>0</v>
      </c>
      <c r="BT678">
        <v>0</v>
      </c>
      <c r="BU678">
        <v>0</v>
      </c>
      <c r="CE678" t="str">
        <f>"15:40:32.650"</f>
        <v>15:40:32.650</v>
      </c>
      <c r="CF678">
        <v>650400162</v>
      </c>
      <c r="CS678">
        <v>0</v>
      </c>
      <c r="CT678">
        <v>2</v>
      </c>
      <c r="CU678">
        <v>0</v>
      </c>
      <c r="CV678">
        <v>2</v>
      </c>
      <c r="CW678">
        <v>0</v>
      </c>
      <c r="CX678">
        <v>2</v>
      </c>
      <c r="CY678">
        <v>7</v>
      </c>
      <c r="CZ678" t="s">
        <v>133</v>
      </c>
      <c r="DA678">
        <v>125</v>
      </c>
      <c r="DB678">
        <v>1</v>
      </c>
      <c r="DC678" t="s">
        <v>134</v>
      </c>
      <c r="DD678" t="s">
        <v>135</v>
      </c>
      <c r="DG678">
        <v>2623288</v>
      </c>
      <c r="DI678">
        <v>0</v>
      </c>
      <c r="DJ678">
        <v>0</v>
      </c>
      <c r="DK678">
        <v>0</v>
      </c>
      <c r="DL678">
        <v>0</v>
      </c>
      <c r="DM678">
        <v>0</v>
      </c>
      <c r="DN678">
        <v>0</v>
      </c>
      <c r="DO678">
        <v>0</v>
      </c>
      <c r="DP678">
        <v>0</v>
      </c>
      <c r="DQ678">
        <v>0</v>
      </c>
      <c r="DR678">
        <v>0</v>
      </c>
      <c r="DS678">
        <v>0</v>
      </c>
    </row>
    <row r="679" spans="1:123" x14ac:dyDescent="0.25">
      <c r="A679" t="str">
        <f>"04/17/2026 15:40:32.908"</f>
        <v>04/17/2026 15:40:32.908</v>
      </c>
      <c r="C679" t="str">
        <f t="shared" si="55"/>
        <v>FFDFD3C0</v>
      </c>
      <c r="D679" t="s">
        <v>139</v>
      </c>
      <c r="E679" t="str">
        <f>"28"</f>
        <v>28</v>
      </c>
      <c r="H679">
        <v>140</v>
      </c>
      <c r="I679" t="s">
        <v>140</v>
      </c>
      <c r="J679" t="s">
        <v>141</v>
      </c>
      <c r="K679">
        <v>0</v>
      </c>
      <c r="L679">
        <v>3</v>
      </c>
      <c r="M679">
        <v>0</v>
      </c>
      <c r="N679">
        <v>2</v>
      </c>
      <c r="O679">
        <v>1</v>
      </c>
      <c r="P679">
        <v>0</v>
      </c>
      <c r="Q679">
        <v>0</v>
      </c>
      <c r="R679" t="s">
        <v>127</v>
      </c>
      <c r="S679" t="str">
        <f>"15:40:32.648"</f>
        <v>15:40:32.648</v>
      </c>
      <c r="T679" t="str">
        <f>"15:40:32.248"</f>
        <v>15:40:32.248</v>
      </c>
      <c r="U679" t="str">
        <f t="shared" si="56"/>
        <v>A55E09</v>
      </c>
      <c r="V679">
        <v>0</v>
      </c>
      <c r="W679">
        <v>0</v>
      </c>
      <c r="X679">
        <v>2</v>
      </c>
      <c r="Y679">
        <v>0</v>
      </c>
      <c r="AA679">
        <v>0</v>
      </c>
      <c r="AB679">
        <v>9</v>
      </c>
      <c r="AC679">
        <v>3</v>
      </c>
      <c r="AD679">
        <v>0</v>
      </c>
      <c r="AE679">
        <v>9</v>
      </c>
      <c r="AF679" t="s">
        <v>128</v>
      </c>
      <c r="AG679">
        <v>0</v>
      </c>
      <c r="AH679">
        <v>0</v>
      </c>
      <c r="AI679">
        <v>1</v>
      </c>
      <c r="AJ679">
        <v>0</v>
      </c>
      <c r="AK679" t="s">
        <v>441</v>
      </c>
      <c r="AL679">
        <v>33.726053</v>
      </c>
      <c r="AM679" t="s">
        <v>442</v>
      </c>
      <c r="AN679">
        <v>-101.203244</v>
      </c>
      <c r="AO679">
        <v>100</v>
      </c>
      <c r="AP679">
        <v>3100</v>
      </c>
      <c r="AQ679" t="s">
        <v>131</v>
      </c>
      <c r="AR679">
        <v>38</v>
      </c>
      <c r="AS679">
        <v>85</v>
      </c>
      <c r="AT679">
        <v>-320</v>
      </c>
      <c r="BB679" t="str">
        <f t="shared" si="57"/>
        <v>1200</v>
      </c>
      <c r="BC679">
        <v>1</v>
      </c>
      <c r="BD679" t="str">
        <f t="shared" si="58"/>
        <v xml:space="preserve">N445JS  </v>
      </c>
      <c r="BE679">
        <v>7</v>
      </c>
      <c r="BG679">
        <v>0</v>
      </c>
      <c r="BH679">
        <v>0</v>
      </c>
      <c r="BI679">
        <v>0</v>
      </c>
      <c r="BJ679">
        <v>2900</v>
      </c>
      <c r="BK679">
        <v>-200</v>
      </c>
      <c r="BL679" t="s">
        <v>132</v>
      </c>
      <c r="BM679">
        <v>1</v>
      </c>
      <c r="BN679">
        <v>1</v>
      </c>
      <c r="BO679">
        <v>1</v>
      </c>
      <c r="BP679">
        <v>0</v>
      </c>
      <c r="BT679">
        <v>0</v>
      </c>
      <c r="BU679">
        <v>0</v>
      </c>
      <c r="CE679" t="str">
        <f>"15:40:32.650"</f>
        <v>15:40:32.650</v>
      </c>
      <c r="CF679">
        <v>650400162</v>
      </c>
      <c r="CS679">
        <v>0</v>
      </c>
      <c r="CT679">
        <v>2</v>
      </c>
      <c r="CU679">
        <v>0</v>
      </c>
      <c r="CV679">
        <v>2</v>
      </c>
      <c r="CW679">
        <v>0</v>
      </c>
      <c r="CX679">
        <v>2</v>
      </c>
      <c r="CY679">
        <v>7</v>
      </c>
      <c r="CZ679" t="s">
        <v>133</v>
      </c>
      <c r="DA679">
        <v>125</v>
      </c>
      <c r="DB679">
        <v>1</v>
      </c>
      <c r="DC679" t="s">
        <v>134</v>
      </c>
      <c r="DD679" t="s">
        <v>135</v>
      </c>
      <c r="DG679">
        <v>2623288</v>
      </c>
      <c r="DI679">
        <v>0</v>
      </c>
      <c r="DJ679">
        <v>0</v>
      </c>
      <c r="DK679">
        <v>1</v>
      </c>
      <c r="DL679">
        <v>0</v>
      </c>
      <c r="DM679">
        <v>0</v>
      </c>
      <c r="DN679">
        <v>0</v>
      </c>
      <c r="DO679">
        <v>0</v>
      </c>
      <c r="DP679">
        <v>0</v>
      </c>
      <c r="DQ679">
        <v>0</v>
      </c>
      <c r="DR679">
        <v>0</v>
      </c>
      <c r="DS679">
        <v>0</v>
      </c>
    </row>
    <row r="680" spans="1:123" x14ac:dyDescent="0.25">
      <c r="A680" t="str">
        <f>"04/17/2026 15:40:32.925"</f>
        <v>04/17/2026 15:40:32.925</v>
      </c>
      <c r="C680" t="str">
        <f t="shared" si="55"/>
        <v>FFDFD3C0</v>
      </c>
      <c r="D680" t="s">
        <v>124</v>
      </c>
      <c r="E680" t="str">
        <f>"03"</f>
        <v>03</v>
      </c>
      <c r="H680">
        <v>160</v>
      </c>
      <c r="I680" t="s">
        <v>125</v>
      </c>
      <c r="J680" t="s">
        <v>126</v>
      </c>
      <c r="K680">
        <v>0</v>
      </c>
      <c r="L680">
        <v>3</v>
      </c>
      <c r="M680">
        <v>0</v>
      </c>
      <c r="N680">
        <v>2</v>
      </c>
      <c r="O680">
        <v>1</v>
      </c>
      <c r="P680">
        <v>0</v>
      </c>
      <c r="Q680">
        <v>0</v>
      </c>
      <c r="R680" t="s">
        <v>127</v>
      </c>
      <c r="S680" t="str">
        <f>"15:40:32.648"</f>
        <v>15:40:32.648</v>
      </c>
      <c r="T680" t="str">
        <f>"15:40:32.248"</f>
        <v>15:40:32.248</v>
      </c>
      <c r="U680" t="str">
        <f t="shared" si="56"/>
        <v>A55E09</v>
      </c>
      <c r="V680">
        <v>0</v>
      </c>
      <c r="W680">
        <v>0</v>
      </c>
      <c r="X680">
        <v>2</v>
      </c>
      <c r="Y680">
        <v>0</v>
      </c>
      <c r="AA680">
        <v>0</v>
      </c>
      <c r="AB680">
        <v>9</v>
      </c>
      <c r="AC680">
        <v>3</v>
      </c>
      <c r="AD680">
        <v>0</v>
      </c>
      <c r="AE680">
        <v>9</v>
      </c>
      <c r="AF680" t="s">
        <v>128</v>
      </c>
      <c r="AG680">
        <v>0</v>
      </c>
      <c r="AH680">
        <v>0</v>
      </c>
      <c r="AI680">
        <v>1</v>
      </c>
      <c r="AJ680">
        <v>0</v>
      </c>
      <c r="AK680" t="s">
        <v>441</v>
      </c>
      <c r="AL680">
        <v>33.726053</v>
      </c>
      <c r="AM680" t="s">
        <v>442</v>
      </c>
      <c r="AN680">
        <v>-101.203244</v>
      </c>
      <c r="AO680">
        <v>100</v>
      </c>
      <c r="AP680">
        <v>3100</v>
      </c>
      <c r="AQ680" t="s">
        <v>131</v>
      </c>
      <c r="AR680">
        <v>38</v>
      </c>
      <c r="AS680">
        <v>85</v>
      </c>
      <c r="AT680">
        <v>-320</v>
      </c>
      <c r="BB680" t="str">
        <f t="shared" si="57"/>
        <v>1200</v>
      </c>
      <c r="BC680">
        <v>1</v>
      </c>
      <c r="BD680" t="str">
        <f t="shared" si="58"/>
        <v xml:space="preserve">N445JS  </v>
      </c>
      <c r="BE680">
        <v>7</v>
      </c>
      <c r="BG680">
        <v>0</v>
      </c>
      <c r="BH680">
        <v>0</v>
      </c>
      <c r="BI680">
        <v>0</v>
      </c>
      <c r="BJ680">
        <v>2900</v>
      </c>
      <c r="BK680">
        <v>-200</v>
      </c>
      <c r="BL680" t="s">
        <v>132</v>
      </c>
      <c r="BM680">
        <v>1</v>
      </c>
      <c r="BN680">
        <v>1</v>
      </c>
      <c r="BO680">
        <v>1</v>
      </c>
      <c r="BP680">
        <v>0</v>
      </c>
      <c r="BT680">
        <v>0</v>
      </c>
      <c r="BU680">
        <v>0</v>
      </c>
      <c r="CE680" t="str">
        <f>"15:40:32.650"</f>
        <v>15:40:32.650</v>
      </c>
      <c r="CF680">
        <v>650400162</v>
      </c>
      <c r="CS680">
        <v>0</v>
      </c>
      <c r="CT680">
        <v>2</v>
      </c>
      <c r="CU680">
        <v>0</v>
      </c>
      <c r="CV680">
        <v>2</v>
      </c>
      <c r="CW680">
        <v>0</v>
      </c>
      <c r="CX680">
        <v>2</v>
      </c>
      <c r="CY680">
        <v>7</v>
      </c>
      <c r="CZ680" t="s">
        <v>133</v>
      </c>
      <c r="DA680">
        <v>125</v>
      </c>
      <c r="DB680">
        <v>1</v>
      </c>
      <c r="DC680" t="s">
        <v>134</v>
      </c>
      <c r="DD680" t="s">
        <v>135</v>
      </c>
      <c r="DG680">
        <v>2623288</v>
      </c>
      <c r="DI680">
        <v>0</v>
      </c>
      <c r="DJ680">
        <v>0</v>
      </c>
      <c r="DK680">
        <v>1</v>
      </c>
      <c r="DL680">
        <v>0</v>
      </c>
      <c r="DM680">
        <v>0</v>
      </c>
      <c r="DN680">
        <v>0</v>
      </c>
      <c r="DO680">
        <v>0</v>
      </c>
      <c r="DP680">
        <v>0</v>
      </c>
      <c r="DQ680">
        <v>0</v>
      </c>
      <c r="DR680">
        <v>0</v>
      </c>
      <c r="DS680">
        <v>0</v>
      </c>
    </row>
    <row r="681" spans="1:123" x14ac:dyDescent="0.25">
      <c r="A681" t="str">
        <f>"04/17/2026 15:40:32.938"</f>
        <v>04/17/2026 15:40:32.938</v>
      </c>
      <c r="C681" t="str">
        <f t="shared" si="55"/>
        <v>FFDFD3C0</v>
      </c>
      <c r="D681" t="s">
        <v>136</v>
      </c>
      <c r="E681" t="str">
        <f>"0E"</f>
        <v>0E</v>
      </c>
      <c r="F681">
        <v>1014</v>
      </c>
      <c r="G681" t="s">
        <v>125</v>
      </c>
      <c r="J681" t="s">
        <v>137</v>
      </c>
      <c r="K681">
        <v>0</v>
      </c>
      <c r="L681">
        <v>3</v>
      </c>
      <c r="M681">
        <v>0</v>
      </c>
      <c r="N681">
        <v>2</v>
      </c>
      <c r="O681">
        <v>1</v>
      </c>
      <c r="P681">
        <v>0</v>
      </c>
      <c r="Q681">
        <v>0</v>
      </c>
      <c r="R681" t="s">
        <v>127</v>
      </c>
      <c r="S681" t="str">
        <f>"15:40:32.648"</f>
        <v>15:40:32.648</v>
      </c>
      <c r="T681" t="str">
        <f>"15:40:32.248"</f>
        <v>15:40:32.248</v>
      </c>
      <c r="U681" t="str">
        <f t="shared" si="56"/>
        <v>A55E09</v>
      </c>
      <c r="V681">
        <v>0</v>
      </c>
      <c r="W681">
        <v>0</v>
      </c>
      <c r="X681">
        <v>2</v>
      </c>
      <c r="Y681">
        <v>0</v>
      </c>
      <c r="AA681">
        <v>0</v>
      </c>
      <c r="AB681">
        <v>9</v>
      </c>
      <c r="AC681">
        <v>3</v>
      </c>
      <c r="AD681">
        <v>0</v>
      </c>
      <c r="AE681">
        <v>9</v>
      </c>
      <c r="AF681" t="s">
        <v>128</v>
      </c>
      <c r="AG681">
        <v>0</v>
      </c>
      <c r="AH681">
        <v>0</v>
      </c>
      <c r="AI681">
        <v>1</v>
      </c>
      <c r="AJ681">
        <v>0</v>
      </c>
      <c r="AK681" t="s">
        <v>441</v>
      </c>
      <c r="AL681">
        <v>33.726053</v>
      </c>
      <c r="AM681" t="s">
        <v>442</v>
      </c>
      <c r="AN681">
        <v>-101.203244</v>
      </c>
      <c r="AO681">
        <v>100</v>
      </c>
      <c r="AP681">
        <v>3100</v>
      </c>
      <c r="AQ681" t="s">
        <v>131</v>
      </c>
      <c r="AR681">
        <v>38</v>
      </c>
      <c r="AS681">
        <v>85</v>
      </c>
      <c r="AT681">
        <v>-320</v>
      </c>
      <c r="BB681" t="str">
        <f t="shared" si="57"/>
        <v>1200</v>
      </c>
      <c r="BC681">
        <v>1</v>
      </c>
      <c r="BD681" t="str">
        <f t="shared" si="58"/>
        <v xml:space="preserve">N445JS  </v>
      </c>
      <c r="BE681">
        <v>7</v>
      </c>
      <c r="BG681">
        <v>0</v>
      </c>
      <c r="BH681">
        <v>0</v>
      </c>
      <c r="BI681">
        <v>0</v>
      </c>
      <c r="BJ681">
        <v>2900</v>
      </c>
      <c r="BK681">
        <v>-200</v>
      </c>
      <c r="BL681" t="s">
        <v>132</v>
      </c>
      <c r="BM681">
        <v>1</v>
      </c>
      <c r="BN681">
        <v>1</v>
      </c>
      <c r="BO681">
        <v>1</v>
      </c>
      <c r="BP681">
        <v>0</v>
      </c>
      <c r="BT681">
        <v>0</v>
      </c>
      <c r="BU681">
        <v>0</v>
      </c>
      <c r="CE681" t="str">
        <f>"15:40:32.650"</f>
        <v>15:40:32.650</v>
      </c>
      <c r="CF681">
        <v>650400162</v>
      </c>
      <c r="CS681">
        <v>0</v>
      </c>
      <c r="CT681">
        <v>2</v>
      </c>
      <c r="CU681">
        <v>0</v>
      </c>
      <c r="CV681">
        <v>2</v>
      </c>
      <c r="CW681">
        <v>0</v>
      </c>
      <c r="CX681">
        <v>2</v>
      </c>
      <c r="CY681">
        <v>7</v>
      </c>
      <c r="CZ681" t="s">
        <v>133</v>
      </c>
      <c r="DA681">
        <v>125</v>
      </c>
      <c r="DB681">
        <v>1</v>
      </c>
      <c r="DC681" t="s">
        <v>134</v>
      </c>
      <c r="DD681" t="s">
        <v>135</v>
      </c>
      <c r="DG681">
        <v>2623288</v>
      </c>
      <c r="DI681">
        <v>0</v>
      </c>
      <c r="DJ681">
        <v>0</v>
      </c>
      <c r="DK681">
        <v>1</v>
      </c>
      <c r="DL681">
        <v>0</v>
      </c>
      <c r="DM681">
        <v>0</v>
      </c>
      <c r="DN681">
        <v>0</v>
      </c>
      <c r="DO681">
        <v>0</v>
      </c>
      <c r="DP681">
        <v>0</v>
      </c>
      <c r="DQ681">
        <v>0</v>
      </c>
      <c r="DR681">
        <v>0</v>
      </c>
      <c r="DS681">
        <v>0</v>
      </c>
    </row>
    <row r="682" spans="1:123" x14ac:dyDescent="0.25">
      <c r="A682" t="str">
        <f>"04/17/2026 15:40:38.697"</f>
        <v>04/17/2026 15:40:38.697</v>
      </c>
      <c r="C682" t="str">
        <f t="shared" si="55"/>
        <v>FFDFD3C0</v>
      </c>
      <c r="D682" t="s">
        <v>136</v>
      </c>
      <c r="E682" t="str">
        <f>"0E"</f>
        <v>0E</v>
      </c>
      <c r="F682">
        <v>1014</v>
      </c>
      <c r="G682" t="s">
        <v>125</v>
      </c>
      <c r="J682" t="s">
        <v>137</v>
      </c>
      <c r="K682">
        <v>0</v>
      </c>
      <c r="L682">
        <v>3</v>
      </c>
      <c r="M682">
        <v>0</v>
      </c>
      <c r="N682">
        <v>2</v>
      </c>
      <c r="O682">
        <v>1</v>
      </c>
      <c r="P682">
        <v>0</v>
      </c>
      <c r="Q682">
        <v>0</v>
      </c>
      <c r="R682" t="s">
        <v>127</v>
      </c>
      <c r="S682" t="str">
        <f>"15:40:38.453"</f>
        <v>15:40:38.453</v>
      </c>
      <c r="T682" t="str">
        <f>"15:40:36.453"</f>
        <v>15:40:36.453</v>
      </c>
      <c r="U682" t="str">
        <f t="shared" si="56"/>
        <v>A55E09</v>
      </c>
      <c r="V682">
        <v>0</v>
      </c>
      <c r="W682">
        <v>0</v>
      </c>
      <c r="X682">
        <v>2</v>
      </c>
      <c r="Y682">
        <v>0</v>
      </c>
      <c r="AA682">
        <v>0</v>
      </c>
      <c r="AB682">
        <v>9</v>
      </c>
      <c r="AC682">
        <v>3</v>
      </c>
      <c r="AD682">
        <v>0</v>
      </c>
      <c r="AE682">
        <v>9</v>
      </c>
      <c r="AF682" t="s">
        <v>128</v>
      </c>
      <c r="AG682">
        <v>0</v>
      </c>
      <c r="AH682">
        <v>0</v>
      </c>
      <c r="AI682">
        <v>1</v>
      </c>
      <c r="AJ682">
        <v>0</v>
      </c>
      <c r="AK682" t="s">
        <v>443</v>
      </c>
      <c r="AL682">
        <v>33.728391999999999</v>
      </c>
      <c r="AM682" t="s">
        <v>444</v>
      </c>
      <c r="AN682">
        <v>-101.202106</v>
      </c>
      <c r="AO682">
        <v>100</v>
      </c>
      <c r="AP682">
        <v>3100</v>
      </c>
      <c r="AQ682" t="s">
        <v>131</v>
      </c>
      <c r="AR682">
        <v>36</v>
      </c>
      <c r="AS682">
        <v>86</v>
      </c>
      <c r="AT682">
        <v>-256</v>
      </c>
      <c r="BB682" t="str">
        <f t="shared" si="57"/>
        <v>1200</v>
      </c>
      <c r="BC682">
        <v>1</v>
      </c>
      <c r="BD682" t="str">
        <f t="shared" si="58"/>
        <v xml:space="preserve">N445JS  </v>
      </c>
      <c r="BE682">
        <v>7</v>
      </c>
      <c r="BG682">
        <v>0</v>
      </c>
      <c r="BH682">
        <v>0</v>
      </c>
      <c r="BI682">
        <v>0</v>
      </c>
      <c r="BJ682">
        <v>2875</v>
      </c>
      <c r="BK682">
        <v>-225</v>
      </c>
      <c r="BL682" t="s">
        <v>132</v>
      </c>
      <c r="BM682">
        <v>1</v>
      </c>
      <c r="BN682">
        <v>1</v>
      </c>
      <c r="BO682">
        <v>1</v>
      </c>
      <c r="BP682">
        <v>0</v>
      </c>
      <c r="BT682">
        <v>0</v>
      </c>
      <c r="BU682">
        <v>0</v>
      </c>
      <c r="CE682" t="str">
        <f>"15:40:38.455"</f>
        <v>15:40:38.455</v>
      </c>
      <c r="CF682">
        <v>454831932</v>
      </c>
      <c r="CS682">
        <v>0</v>
      </c>
      <c r="CT682">
        <v>2</v>
      </c>
      <c r="CU682">
        <v>0</v>
      </c>
      <c r="CV682">
        <v>2</v>
      </c>
      <c r="CW682">
        <v>0</v>
      </c>
      <c r="CX682">
        <v>1</v>
      </c>
      <c r="CY682">
        <v>7</v>
      </c>
      <c r="CZ682" t="s">
        <v>133</v>
      </c>
      <c r="DA682">
        <v>125</v>
      </c>
      <c r="DB682">
        <v>1</v>
      </c>
      <c r="DC682" t="s">
        <v>134</v>
      </c>
      <c r="DD682" t="s">
        <v>135</v>
      </c>
      <c r="DG682">
        <v>2629076</v>
      </c>
      <c r="DI682">
        <v>0</v>
      </c>
      <c r="DJ682">
        <v>0</v>
      </c>
      <c r="DK682">
        <v>0</v>
      </c>
      <c r="DL682">
        <v>0</v>
      </c>
      <c r="DM682">
        <v>0</v>
      </c>
      <c r="DN682">
        <v>0</v>
      </c>
      <c r="DO682">
        <v>0</v>
      </c>
      <c r="DP682">
        <v>0</v>
      </c>
      <c r="DQ682">
        <v>0</v>
      </c>
      <c r="DR682">
        <v>0</v>
      </c>
      <c r="DS682">
        <v>0</v>
      </c>
    </row>
    <row r="683" spans="1:123" x14ac:dyDescent="0.25">
      <c r="A683" t="str">
        <f>"04/17/2026 15:40:38.714"</f>
        <v>04/17/2026 15:40:38.714</v>
      </c>
      <c r="C683" t="str">
        <f t="shared" si="55"/>
        <v>FFDFD3C0</v>
      </c>
      <c r="D683" t="s">
        <v>136</v>
      </c>
      <c r="E683" t="str">
        <f>"0F"</f>
        <v>0F</v>
      </c>
      <c r="F683">
        <v>1015</v>
      </c>
      <c r="G683" t="s">
        <v>138</v>
      </c>
      <c r="J683" t="s">
        <v>137</v>
      </c>
      <c r="K683">
        <v>0</v>
      </c>
      <c r="L683">
        <v>3</v>
      </c>
      <c r="M683">
        <v>0</v>
      </c>
      <c r="N683">
        <v>2</v>
      </c>
      <c r="O683">
        <v>1</v>
      </c>
      <c r="P683">
        <v>0</v>
      </c>
      <c r="Q683">
        <v>0</v>
      </c>
      <c r="R683" t="s">
        <v>127</v>
      </c>
      <c r="S683" t="str">
        <f>"15:40:38.453"</f>
        <v>15:40:38.453</v>
      </c>
      <c r="T683" t="str">
        <f>"15:40:36.453"</f>
        <v>15:40:36.453</v>
      </c>
      <c r="U683" t="str">
        <f t="shared" si="56"/>
        <v>A55E09</v>
      </c>
      <c r="V683">
        <v>0</v>
      </c>
      <c r="W683">
        <v>0</v>
      </c>
      <c r="X683">
        <v>2</v>
      </c>
      <c r="Y683">
        <v>0</v>
      </c>
      <c r="AA683">
        <v>0</v>
      </c>
      <c r="AB683">
        <v>9</v>
      </c>
      <c r="AC683">
        <v>3</v>
      </c>
      <c r="AD683">
        <v>0</v>
      </c>
      <c r="AE683">
        <v>9</v>
      </c>
      <c r="AF683" t="s">
        <v>128</v>
      </c>
      <c r="AG683">
        <v>0</v>
      </c>
      <c r="AH683">
        <v>0</v>
      </c>
      <c r="AI683">
        <v>1</v>
      </c>
      <c r="AJ683">
        <v>0</v>
      </c>
      <c r="AK683" t="s">
        <v>443</v>
      </c>
      <c r="AL683">
        <v>33.728391999999999</v>
      </c>
      <c r="AM683" t="s">
        <v>444</v>
      </c>
      <c r="AN683">
        <v>-101.202106</v>
      </c>
      <c r="AO683">
        <v>100</v>
      </c>
      <c r="AP683">
        <v>3100</v>
      </c>
      <c r="AQ683" t="s">
        <v>131</v>
      </c>
      <c r="AR683">
        <v>36</v>
      </c>
      <c r="AS683">
        <v>86</v>
      </c>
      <c r="AT683">
        <v>-256</v>
      </c>
      <c r="BB683" t="str">
        <f t="shared" si="57"/>
        <v>1200</v>
      </c>
      <c r="BC683">
        <v>1</v>
      </c>
      <c r="BD683" t="str">
        <f t="shared" si="58"/>
        <v xml:space="preserve">N445JS  </v>
      </c>
      <c r="BE683">
        <v>7</v>
      </c>
      <c r="BG683">
        <v>0</v>
      </c>
      <c r="BH683">
        <v>0</v>
      </c>
      <c r="BI683">
        <v>0</v>
      </c>
      <c r="BJ683">
        <v>2875</v>
      </c>
      <c r="BK683">
        <v>-225</v>
      </c>
      <c r="BL683" t="s">
        <v>132</v>
      </c>
      <c r="BM683">
        <v>1</v>
      </c>
      <c r="BN683">
        <v>1</v>
      </c>
      <c r="BO683">
        <v>1</v>
      </c>
      <c r="BP683">
        <v>0</v>
      </c>
      <c r="BT683">
        <v>0</v>
      </c>
      <c r="BU683">
        <v>0</v>
      </c>
      <c r="CE683" t="str">
        <f>"15:40:38.455"</f>
        <v>15:40:38.455</v>
      </c>
      <c r="CF683">
        <v>454831932</v>
      </c>
      <c r="CS683">
        <v>0</v>
      </c>
      <c r="CT683">
        <v>2</v>
      </c>
      <c r="CU683">
        <v>0</v>
      </c>
      <c r="CV683">
        <v>2</v>
      </c>
      <c r="CW683">
        <v>0</v>
      </c>
      <c r="CX683">
        <v>1</v>
      </c>
      <c r="CY683">
        <v>7</v>
      </c>
      <c r="CZ683" t="s">
        <v>133</v>
      </c>
      <c r="DA683">
        <v>125</v>
      </c>
      <c r="DB683">
        <v>1</v>
      </c>
      <c r="DC683" t="s">
        <v>134</v>
      </c>
      <c r="DD683" t="s">
        <v>135</v>
      </c>
      <c r="DG683">
        <v>2629076</v>
      </c>
      <c r="DI683">
        <v>0</v>
      </c>
      <c r="DJ683">
        <v>0</v>
      </c>
      <c r="DK683">
        <v>1</v>
      </c>
      <c r="DL683">
        <v>0</v>
      </c>
      <c r="DM683">
        <v>0</v>
      </c>
      <c r="DN683">
        <v>0</v>
      </c>
      <c r="DO683">
        <v>0</v>
      </c>
      <c r="DP683">
        <v>0</v>
      </c>
      <c r="DQ683">
        <v>0</v>
      </c>
      <c r="DR683">
        <v>0</v>
      </c>
      <c r="DS683">
        <v>0</v>
      </c>
    </row>
    <row r="684" spans="1:123" x14ac:dyDescent="0.25">
      <c r="A684" t="str">
        <f>"04/17/2026 15:40:38.718"</f>
        <v>04/17/2026 15:40:38.718</v>
      </c>
      <c r="C684" t="str">
        <f t="shared" si="55"/>
        <v>FFDFD3C0</v>
      </c>
      <c r="D684" t="s">
        <v>139</v>
      </c>
      <c r="E684" t="str">
        <f>"28"</f>
        <v>28</v>
      </c>
      <c r="H684">
        <v>140</v>
      </c>
      <c r="I684" t="s">
        <v>140</v>
      </c>
      <c r="J684" t="s">
        <v>141</v>
      </c>
      <c r="K684">
        <v>0</v>
      </c>
      <c r="L684">
        <v>3</v>
      </c>
      <c r="M684">
        <v>0</v>
      </c>
      <c r="N684">
        <v>2</v>
      </c>
      <c r="O684">
        <v>1</v>
      </c>
      <c r="P684">
        <v>0</v>
      </c>
      <c r="Q684">
        <v>0</v>
      </c>
      <c r="R684" t="s">
        <v>127</v>
      </c>
      <c r="S684" t="str">
        <f>"15:40:38.453"</f>
        <v>15:40:38.453</v>
      </c>
      <c r="T684" t="str">
        <f>"15:40:36.453"</f>
        <v>15:40:36.453</v>
      </c>
      <c r="U684" t="str">
        <f t="shared" si="56"/>
        <v>A55E09</v>
      </c>
      <c r="V684">
        <v>0</v>
      </c>
      <c r="W684">
        <v>0</v>
      </c>
      <c r="X684">
        <v>2</v>
      </c>
      <c r="Y684">
        <v>0</v>
      </c>
      <c r="AA684">
        <v>0</v>
      </c>
      <c r="AB684">
        <v>9</v>
      </c>
      <c r="AC684">
        <v>3</v>
      </c>
      <c r="AD684">
        <v>0</v>
      </c>
      <c r="AE684">
        <v>9</v>
      </c>
      <c r="AF684" t="s">
        <v>128</v>
      </c>
      <c r="AG684">
        <v>0</v>
      </c>
      <c r="AH684">
        <v>0</v>
      </c>
      <c r="AI684">
        <v>1</v>
      </c>
      <c r="AJ684">
        <v>0</v>
      </c>
      <c r="AK684" t="s">
        <v>443</v>
      </c>
      <c r="AL684">
        <v>33.728391999999999</v>
      </c>
      <c r="AM684" t="s">
        <v>444</v>
      </c>
      <c r="AN684">
        <v>-101.202106</v>
      </c>
      <c r="AO684">
        <v>100</v>
      </c>
      <c r="AP684">
        <v>3100</v>
      </c>
      <c r="AQ684" t="s">
        <v>131</v>
      </c>
      <c r="AR684">
        <v>36</v>
      </c>
      <c r="AS684">
        <v>86</v>
      </c>
      <c r="AT684">
        <v>-256</v>
      </c>
      <c r="BB684" t="str">
        <f t="shared" si="57"/>
        <v>1200</v>
      </c>
      <c r="BC684">
        <v>1</v>
      </c>
      <c r="BD684" t="str">
        <f t="shared" si="58"/>
        <v xml:space="preserve">N445JS  </v>
      </c>
      <c r="BE684">
        <v>7</v>
      </c>
      <c r="BG684">
        <v>0</v>
      </c>
      <c r="BH684">
        <v>0</v>
      </c>
      <c r="BI684">
        <v>0</v>
      </c>
      <c r="BJ684">
        <v>2875</v>
      </c>
      <c r="BK684">
        <v>-225</v>
      </c>
      <c r="BL684" t="s">
        <v>132</v>
      </c>
      <c r="BM684">
        <v>1</v>
      </c>
      <c r="BN684">
        <v>1</v>
      </c>
      <c r="BO684">
        <v>1</v>
      </c>
      <c r="BP684">
        <v>0</v>
      </c>
      <c r="BT684">
        <v>0</v>
      </c>
      <c r="BU684">
        <v>0</v>
      </c>
      <c r="CE684" t="str">
        <f>"15:40:38.455"</f>
        <v>15:40:38.455</v>
      </c>
      <c r="CF684">
        <v>454831932</v>
      </c>
      <c r="CS684">
        <v>0</v>
      </c>
      <c r="CT684">
        <v>2</v>
      </c>
      <c r="CU684">
        <v>0</v>
      </c>
      <c r="CV684">
        <v>2</v>
      </c>
      <c r="CW684">
        <v>0</v>
      </c>
      <c r="CX684">
        <v>1</v>
      </c>
      <c r="CY684">
        <v>7</v>
      </c>
      <c r="CZ684" t="s">
        <v>133</v>
      </c>
      <c r="DA684">
        <v>125</v>
      </c>
      <c r="DB684">
        <v>1</v>
      </c>
      <c r="DC684" t="s">
        <v>134</v>
      </c>
      <c r="DD684" t="s">
        <v>135</v>
      </c>
      <c r="DG684">
        <v>2629076</v>
      </c>
      <c r="DI684">
        <v>0</v>
      </c>
      <c r="DJ684">
        <v>0</v>
      </c>
      <c r="DK684">
        <v>1</v>
      </c>
      <c r="DL684">
        <v>0</v>
      </c>
      <c r="DM684">
        <v>0</v>
      </c>
      <c r="DN684">
        <v>0</v>
      </c>
      <c r="DO684">
        <v>0</v>
      </c>
      <c r="DP684">
        <v>0</v>
      </c>
      <c r="DQ684">
        <v>0</v>
      </c>
      <c r="DR684">
        <v>0</v>
      </c>
      <c r="DS684">
        <v>0</v>
      </c>
    </row>
    <row r="685" spans="1:123" x14ac:dyDescent="0.25">
      <c r="A685" t="str">
        <f>"04/17/2026 15:40:38.736"</f>
        <v>04/17/2026 15:40:38.736</v>
      </c>
      <c r="C685" t="str">
        <f t="shared" si="55"/>
        <v>FFDFD3C0</v>
      </c>
      <c r="D685" t="s">
        <v>124</v>
      </c>
      <c r="E685" t="str">
        <f t="shared" ref="E685:E694" si="59">"03"</f>
        <v>03</v>
      </c>
      <c r="H685">
        <v>160</v>
      </c>
      <c r="I685" t="s">
        <v>125</v>
      </c>
      <c r="J685" t="s">
        <v>126</v>
      </c>
      <c r="K685">
        <v>0</v>
      </c>
      <c r="L685">
        <v>3</v>
      </c>
      <c r="M685">
        <v>0</v>
      </c>
      <c r="N685">
        <v>2</v>
      </c>
      <c r="O685">
        <v>1</v>
      </c>
      <c r="P685">
        <v>0</v>
      </c>
      <c r="Q685">
        <v>0</v>
      </c>
      <c r="R685" t="s">
        <v>127</v>
      </c>
      <c r="S685" t="str">
        <f>"15:40:38.453"</f>
        <v>15:40:38.453</v>
      </c>
      <c r="T685" t="str">
        <f>"15:40:36.453"</f>
        <v>15:40:36.453</v>
      </c>
      <c r="U685" t="str">
        <f t="shared" si="56"/>
        <v>A55E09</v>
      </c>
      <c r="V685">
        <v>0</v>
      </c>
      <c r="W685">
        <v>0</v>
      </c>
      <c r="X685">
        <v>2</v>
      </c>
      <c r="Y685">
        <v>0</v>
      </c>
      <c r="AA685">
        <v>0</v>
      </c>
      <c r="AB685">
        <v>9</v>
      </c>
      <c r="AC685">
        <v>3</v>
      </c>
      <c r="AD685">
        <v>0</v>
      </c>
      <c r="AE685">
        <v>9</v>
      </c>
      <c r="AF685" t="s">
        <v>128</v>
      </c>
      <c r="AG685">
        <v>0</v>
      </c>
      <c r="AH685">
        <v>0</v>
      </c>
      <c r="AI685">
        <v>1</v>
      </c>
      <c r="AJ685">
        <v>0</v>
      </c>
      <c r="AK685" t="s">
        <v>443</v>
      </c>
      <c r="AL685">
        <v>33.728391999999999</v>
      </c>
      <c r="AM685" t="s">
        <v>444</v>
      </c>
      <c r="AN685">
        <v>-101.202106</v>
      </c>
      <c r="AO685">
        <v>100</v>
      </c>
      <c r="AP685">
        <v>3100</v>
      </c>
      <c r="AQ685" t="s">
        <v>131</v>
      </c>
      <c r="AR685">
        <v>36</v>
      </c>
      <c r="AS685">
        <v>86</v>
      </c>
      <c r="AT685">
        <v>-256</v>
      </c>
      <c r="BB685" t="str">
        <f t="shared" si="57"/>
        <v>1200</v>
      </c>
      <c r="BC685">
        <v>1</v>
      </c>
      <c r="BD685" t="str">
        <f t="shared" si="58"/>
        <v xml:space="preserve">N445JS  </v>
      </c>
      <c r="BE685">
        <v>7</v>
      </c>
      <c r="BG685">
        <v>0</v>
      </c>
      <c r="BH685">
        <v>0</v>
      </c>
      <c r="BI685">
        <v>0</v>
      </c>
      <c r="BJ685">
        <v>2875</v>
      </c>
      <c r="BK685">
        <v>-225</v>
      </c>
      <c r="BL685" t="s">
        <v>132</v>
      </c>
      <c r="BM685">
        <v>1</v>
      </c>
      <c r="BN685">
        <v>1</v>
      </c>
      <c r="BO685">
        <v>1</v>
      </c>
      <c r="BP685">
        <v>0</v>
      </c>
      <c r="BT685">
        <v>0</v>
      </c>
      <c r="BU685">
        <v>0</v>
      </c>
      <c r="CE685" t="str">
        <f>"15:40:38.455"</f>
        <v>15:40:38.455</v>
      </c>
      <c r="CF685">
        <v>454831932</v>
      </c>
      <c r="CS685">
        <v>0</v>
      </c>
      <c r="CT685">
        <v>2</v>
      </c>
      <c r="CU685">
        <v>0</v>
      </c>
      <c r="CV685">
        <v>2</v>
      </c>
      <c r="CW685">
        <v>0</v>
      </c>
      <c r="CX685">
        <v>1</v>
      </c>
      <c r="CY685">
        <v>7</v>
      </c>
      <c r="CZ685" t="s">
        <v>133</v>
      </c>
      <c r="DA685">
        <v>125</v>
      </c>
      <c r="DB685">
        <v>1</v>
      </c>
      <c r="DC685" t="s">
        <v>134</v>
      </c>
      <c r="DD685" t="s">
        <v>135</v>
      </c>
      <c r="DG685">
        <v>2629076</v>
      </c>
      <c r="DI685">
        <v>0</v>
      </c>
      <c r="DJ685">
        <v>0</v>
      </c>
      <c r="DK685">
        <v>1</v>
      </c>
      <c r="DL685">
        <v>0</v>
      </c>
      <c r="DM685">
        <v>0</v>
      </c>
      <c r="DN685">
        <v>0</v>
      </c>
      <c r="DO685">
        <v>0</v>
      </c>
      <c r="DP685">
        <v>0</v>
      </c>
      <c r="DQ685">
        <v>0</v>
      </c>
      <c r="DR685">
        <v>0</v>
      </c>
      <c r="DS685">
        <v>0</v>
      </c>
    </row>
    <row r="686" spans="1:123" x14ac:dyDescent="0.25">
      <c r="A686" t="str">
        <f>"04/17/2026 15:44:40.676"</f>
        <v>04/17/2026 15:44:40.676</v>
      </c>
      <c r="C686" t="str">
        <f t="shared" ref="C686:C691" si="60">"FFC3D3C0"</f>
        <v>FFC3D3C0</v>
      </c>
      <c r="D686" t="s">
        <v>124</v>
      </c>
      <c r="E686" t="str">
        <f t="shared" si="59"/>
        <v>03</v>
      </c>
      <c r="H686">
        <v>160</v>
      </c>
      <c r="I686" t="s">
        <v>125</v>
      </c>
      <c r="J686" t="s">
        <v>126</v>
      </c>
      <c r="K686">
        <v>0</v>
      </c>
      <c r="L686">
        <v>3</v>
      </c>
      <c r="M686">
        <v>1</v>
      </c>
      <c r="N686">
        <v>0</v>
      </c>
      <c r="O686">
        <v>1</v>
      </c>
      <c r="P686">
        <v>0</v>
      </c>
      <c r="Q686">
        <v>0</v>
      </c>
      <c r="R686" t="s">
        <v>127</v>
      </c>
      <c r="S686" t="str">
        <f>"15:44:40.406"</f>
        <v>15:44:40.406</v>
      </c>
      <c r="T686" t="str">
        <f>"15:44:40.006"</f>
        <v>15:44:40.006</v>
      </c>
      <c r="U686" t="str">
        <f t="shared" si="56"/>
        <v>A55E09</v>
      </c>
      <c r="V686">
        <v>0</v>
      </c>
      <c r="W686">
        <v>0</v>
      </c>
      <c r="X686">
        <v>2</v>
      </c>
      <c r="Y686">
        <v>0</v>
      </c>
      <c r="AA686">
        <v>0</v>
      </c>
      <c r="AB686">
        <v>0</v>
      </c>
      <c r="AC686">
        <v>0</v>
      </c>
      <c r="AD686">
        <v>0</v>
      </c>
      <c r="AF686" t="s">
        <v>128</v>
      </c>
      <c r="AG686">
        <v>0</v>
      </c>
      <c r="AH686">
        <v>0</v>
      </c>
      <c r="AI686">
        <v>1</v>
      </c>
      <c r="AJ686">
        <v>0</v>
      </c>
      <c r="AK686" t="s">
        <v>445</v>
      </c>
      <c r="AL686">
        <v>33.765922000000003</v>
      </c>
      <c r="AM686" t="s">
        <v>446</v>
      </c>
      <c r="AN686">
        <v>-101.223114</v>
      </c>
      <c r="AO686">
        <v>100</v>
      </c>
      <c r="AP686">
        <v>3200</v>
      </c>
      <c r="AQ686" t="s">
        <v>131</v>
      </c>
      <c r="AR686">
        <v>-23</v>
      </c>
      <c r="AS686">
        <v>-3</v>
      </c>
      <c r="AT686">
        <v>128</v>
      </c>
      <c r="BG686">
        <v>0</v>
      </c>
      <c r="BH686">
        <v>0</v>
      </c>
      <c r="BI686">
        <v>0</v>
      </c>
      <c r="BJ686">
        <v>2950</v>
      </c>
      <c r="BK686">
        <v>-250</v>
      </c>
      <c r="BL686" t="s">
        <v>132</v>
      </c>
      <c r="BM686">
        <v>0</v>
      </c>
      <c r="BN686">
        <v>0</v>
      </c>
      <c r="BO686">
        <v>0</v>
      </c>
      <c r="BP686">
        <v>0</v>
      </c>
      <c r="BT686">
        <v>0</v>
      </c>
      <c r="BU686">
        <v>0</v>
      </c>
      <c r="CE686" t="str">
        <f>"15:44:40.411"</f>
        <v>15:44:40.411</v>
      </c>
      <c r="CF686">
        <v>411124024</v>
      </c>
      <c r="CS686">
        <v>0</v>
      </c>
      <c r="CT686">
        <v>0</v>
      </c>
      <c r="CU686">
        <v>0</v>
      </c>
      <c r="CV686">
        <v>0</v>
      </c>
      <c r="CW686">
        <v>0</v>
      </c>
      <c r="CX686">
        <v>2</v>
      </c>
      <c r="CY686">
        <v>7</v>
      </c>
      <c r="CZ686" t="s">
        <v>133</v>
      </c>
      <c r="DA686">
        <v>125</v>
      </c>
      <c r="DB686">
        <v>0</v>
      </c>
      <c r="DC686" t="s">
        <v>134</v>
      </c>
      <c r="DD686" t="s">
        <v>135</v>
      </c>
      <c r="DG686">
        <v>3857112</v>
      </c>
      <c r="DI686">
        <v>0</v>
      </c>
      <c r="DJ686">
        <v>1</v>
      </c>
      <c r="DK686">
        <v>0</v>
      </c>
      <c r="DL686">
        <v>0</v>
      </c>
      <c r="DM686">
        <v>0</v>
      </c>
      <c r="DN686">
        <v>0</v>
      </c>
      <c r="DO686">
        <v>0</v>
      </c>
      <c r="DP686">
        <v>1</v>
      </c>
      <c r="DQ686">
        <v>1</v>
      </c>
      <c r="DR686">
        <v>0</v>
      </c>
      <c r="DS686">
        <v>1</v>
      </c>
    </row>
    <row r="687" spans="1:123" x14ac:dyDescent="0.25">
      <c r="A687" t="str">
        <f>"04/17/2026 15:44:45.535"</f>
        <v>04/17/2026 15:44:45.535</v>
      </c>
      <c r="C687" t="str">
        <f t="shared" si="60"/>
        <v>FFC3D3C0</v>
      </c>
      <c r="D687" t="s">
        <v>124</v>
      </c>
      <c r="E687" t="str">
        <f t="shared" si="59"/>
        <v>03</v>
      </c>
      <c r="H687">
        <v>160</v>
      </c>
      <c r="I687" t="s">
        <v>125</v>
      </c>
      <c r="J687" t="s">
        <v>126</v>
      </c>
      <c r="K687">
        <v>0</v>
      </c>
      <c r="L687">
        <v>3</v>
      </c>
      <c r="M687">
        <v>1</v>
      </c>
      <c r="N687">
        <v>0</v>
      </c>
      <c r="O687">
        <v>1</v>
      </c>
      <c r="P687">
        <v>0</v>
      </c>
      <c r="Q687">
        <v>0</v>
      </c>
      <c r="R687" t="s">
        <v>127</v>
      </c>
      <c r="S687" t="str">
        <f>"15:44:45.266"</f>
        <v>15:44:45.266</v>
      </c>
      <c r="T687" t="str">
        <f>"15:44:44.766"</f>
        <v>15:44:44.766</v>
      </c>
      <c r="U687" t="str">
        <f t="shared" si="56"/>
        <v>A55E09</v>
      </c>
      <c r="V687">
        <v>0</v>
      </c>
      <c r="W687">
        <v>0</v>
      </c>
      <c r="X687">
        <v>2</v>
      </c>
      <c r="Y687">
        <v>0</v>
      </c>
      <c r="AA687">
        <v>0</v>
      </c>
      <c r="AB687">
        <v>0</v>
      </c>
      <c r="AC687">
        <v>0</v>
      </c>
      <c r="AD687">
        <v>0</v>
      </c>
      <c r="AF687" t="s">
        <v>128</v>
      </c>
      <c r="AG687">
        <v>0</v>
      </c>
      <c r="AH687">
        <v>0</v>
      </c>
      <c r="AI687">
        <v>1</v>
      </c>
      <c r="AJ687">
        <v>0</v>
      </c>
      <c r="AK687" t="s">
        <v>447</v>
      </c>
      <c r="AL687">
        <v>33.765878999999998</v>
      </c>
      <c r="AM687" t="s">
        <v>448</v>
      </c>
      <c r="AN687">
        <v>-101.2238</v>
      </c>
      <c r="AO687">
        <v>100</v>
      </c>
      <c r="AP687">
        <v>3200</v>
      </c>
      <c r="AQ687" t="s">
        <v>131</v>
      </c>
      <c r="AR687">
        <v>-26</v>
      </c>
      <c r="AS687">
        <v>-2</v>
      </c>
      <c r="AT687">
        <v>0</v>
      </c>
      <c r="BG687">
        <v>0</v>
      </c>
      <c r="BH687">
        <v>0</v>
      </c>
      <c r="BI687">
        <v>0</v>
      </c>
      <c r="BJ687">
        <v>2950</v>
      </c>
      <c r="BK687">
        <v>-250</v>
      </c>
      <c r="BL687" t="s">
        <v>132</v>
      </c>
      <c r="BM687">
        <v>0</v>
      </c>
      <c r="BN687">
        <v>0</v>
      </c>
      <c r="BO687">
        <v>0</v>
      </c>
      <c r="BP687">
        <v>0</v>
      </c>
      <c r="BT687">
        <v>0</v>
      </c>
      <c r="BU687">
        <v>0</v>
      </c>
      <c r="CE687" t="str">
        <f>"15:44:45.271"</f>
        <v>15:44:45.271</v>
      </c>
      <c r="CF687">
        <v>270647729</v>
      </c>
      <c r="CS687">
        <v>0</v>
      </c>
      <c r="CT687">
        <v>0</v>
      </c>
      <c r="CU687">
        <v>0</v>
      </c>
      <c r="CV687">
        <v>0</v>
      </c>
      <c r="CW687">
        <v>0</v>
      </c>
      <c r="CX687">
        <v>1</v>
      </c>
      <c r="CY687">
        <v>7</v>
      </c>
      <c r="CZ687" t="s">
        <v>133</v>
      </c>
      <c r="DA687">
        <v>125</v>
      </c>
      <c r="DB687">
        <v>0</v>
      </c>
      <c r="DC687" t="s">
        <v>134</v>
      </c>
      <c r="DD687" t="s">
        <v>135</v>
      </c>
      <c r="DG687">
        <v>3862489</v>
      </c>
      <c r="DI687">
        <v>0</v>
      </c>
      <c r="DJ687">
        <v>0</v>
      </c>
      <c r="DK687">
        <v>0</v>
      </c>
      <c r="DL687">
        <v>0</v>
      </c>
      <c r="DM687">
        <v>0</v>
      </c>
      <c r="DN687">
        <v>0</v>
      </c>
      <c r="DO687">
        <v>0</v>
      </c>
      <c r="DP687">
        <v>1</v>
      </c>
      <c r="DQ687">
        <v>1</v>
      </c>
      <c r="DR687">
        <v>0</v>
      </c>
      <c r="DS687">
        <v>1</v>
      </c>
    </row>
    <row r="688" spans="1:123" x14ac:dyDescent="0.25">
      <c r="A688" t="str">
        <f>"04/17/2026 15:44:48.341"</f>
        <v>04/17/2026 15:44:48.341</v>
      </c>
      <c r="C688" t="str">
        <f t="shared" si="60"/>
        <v>FFC3D3C0</v>
      </c>
      <c r="D688" t="s">
        <v>124</v>
      </c>
      <c r="E688" t="str">
        <f t="shared" si="59"/>
        <v>03</v>
      </c>
      <c r="H688">
        <v>160</v>
      </c>
      <c r="I688" t="s">
        <v>125</v>
      </c>
      <c r="J688" t="s">
        <v>126</v>
      </c>
      <c r="K688">
        <v>0</v>
      </c>
      <c r="L688">
        <v>3</v>
      </c>
      <c r="M688">
        <v>1</v>
      </c>
      <c r="N688">
        <v>0</v>
      </c>
      <c r="O688">
        <v>1</v>
      </c>
      <c r="P688">
        <v>0</v>
      </c>
      <c r="Q688">
        <v>0</v>
      </c>
      <c r="R688" t="s">
        <v>127</v>
      </c>
      <c r="S688" t="str">
        <f>"15:44:48.039"</f>
        <v>15:44:48.039</v>
      </c>
      <c r="T688" t="str">
        <f>"15:44:44.739"</f>
        <v>15:44:44.739</v>
      </c>
      <c r="U688" t="str">
        <f t="shared" si="56"/>
        <v>A55E09</v>
      </c>
      <c r="V688">
        <v>0</v>
      </c>
      <c r="W688">
        <v>0</v>
      </c>
      <c r="X688">
        <v>2</v>
      </c>
      <c r="Y688">
        <v>0</v>
      </c>
      <c r="AA688">
        <v>0</v>
      </c>
      <c r="AB688">
        <v>0</v>
      </c>
      <c r="AC688">
        <v>0</v>
      </c>
      <c r="AD688">
        <v>0</v>
      </c>
      <c r="AF688" t="s">
        <v>128</v>
      </c>
      <c r="AG688">
        <v>0</v>
      </c>
      <c r="AH688">
        <v>0</v>
      </c>
      <c r="AI688">
        <v>1</v>
      </c>
      <c r="AJ688">
        <v>0</v>
      </c>
      <c r="AK688" t="s">
        <v>449</v>
      </c>
      <c r="AL688">
        <v>33.765836</v>
      </c>
      <c r="AM688" t="s">
        <v>450</v>
      </c>
      <c r="AN688">
        <v>-101.224186</v>
      </c>
      <c r="AO688">
        <v>100</v>
      </c>
      <c r="AP688">
        <v>3200</v>
      </c>
      <c r="AQ688" t="s">
        <v>131</v>
      </c>
      <c r="AR688">
        <v>-26</v>
      </c>
      <c r="AS688">
        <v>-2</v>
      </c>
      <c r="AT688">
        <v>0</v>
      </c>
      <c r="BG688">
        <v>0</v>
      </c>
      <c r="BH688">
        <v>0</v>
      </c>
      <c r="BI688">
        <v>0</v>
      </c>
      <c r="BJ688">
        <v>2950</v>
      </c>
      <c r="BK688">
        <v>-250</v>
      </c>
      <c r="BL688" t="s">
        <v>132</v>
      </c>
      <c r="BM688">
        <v>0</v>
      </c>
      <c r="BN688">
        <v>0</v>
      </c>
      <c r="BO688">
        <v>0</v>
      </c>
      <c r="BP688">
        <v>0</v>
      </c>
      <c r="BT688">
        <v>0</v>
      </c>
      <c r="BU688">
        <v>0</v>
      </c>
      <c r="CE688" t="str">
        <f>"15:44:48.045"</f>
        <v>15:44:48.045</v>
      </c>
      <c r="CF688">
        <v>45375757</v>
      </c>
      <c r="CS688">
        <v>0</v>
      </c>
      <c r="CT688">
        <v>0</v>
      </c>
      <c r="CU688">
        <v>0</v>
      </c>
      <c r="CV688">
        <v>0</v>
      </c>
      <c r="CW688">
        <v>0</v>
      </c>
      <c r="CX688">
        <v>2</v>
      </c>
      <c r="CY688">
        <v>7</v>
      </c>
      <c r="CZ688" t="s">
        <v>133</v>
      </c>
      <c r="DA688">
        <v>125</v>
      </c>
      <c r="DB688">
        <v>0</v>
      </c>
      <c r="DC688" t="s">
        <v>134</v>
      </c>
      <c r="DD688" t="s">
        <v>135</v>
      </c>
      <c r="DG688">
        <v>3865515</v>
      </c>
      <c r="DI688">
        <v>0</v>
      </c>
      <c r="DJ688">
        <v>0</v>
      </c>
      <c r="DK688">
        <v>0</v>
      </c>
      <c r="DL688">
        <v>0</v>
      </c>
      <c r="DM688">
        <v>0</v>
      </c>
      <c r="DN688">
        <v>0</v>
      </c>
      <c r="DO688">
        <v>0</v>
      </c>
      <c r="DP688">
        <v>1</v>
      </c>
      <c r="DQ688">
        <v>1</v>
      </c>
      <c r="DR688">
        <v>0</v>
      </c>
      <c r="DS688">
        <v>1</v>
      </c>
    </row>
    <row r="689" spans="1:123" x14ac:dyDescent="0.25">
      <c r="A689" t="str">
        <f>"04/17/2026 15:44:49.242"</f>
        <v>04/17/2026 15:44:49.242</v>
      </c>
      <c r="C689" t="str">
        <f t="shared" si="60"/>
        <v>FFC3D3C0</v>
      </c>
      <c r="D689" t="s">
        <v>124</v>
      </c>
      <c r="E689" t="str">
        <f t="shared" si="59"/>
        <v>03</v>
      </c>
      <c r="H689">
        <v>160</v>
      </c>
      <c r="I689" t="s">
        <v>125</v>
      </c>
      <c r="J689" t="s">
        <v>126</v>
      </c>
      <c r="K689">
        <v>0</v>
      </c>
      <c r="L689">
        <v>3</v>
      </c>
      <c r="M689">
        <v>1</v>
      </c>
      <c r="N689">
        <v>0</v>
      </c>
      <c r="O689">
        <v>1</v>
      </c>
      <c r="P689">
        <v>0</v>
      </c>
      <c r="Q689">
        <v>0</v>
      </c>
      <c r="R689" t="s">
        <v>127</v>
      </c>
      <c r="S689" t="str">
        <f>"15:44:48.969"</f>
        <v>15:44:48.969</v>
      </c>
      <c r="T689" t="str">
        <f>"15:44:48.769"</f>
        <v>15:44:48.769</v>
      </c>
      <c r="U689" t="str">
        <f t="shared" si="56"/>
        <v>A55E09</v>
      </c>
      <c r="V689">
        <v>0</v>
      </c>
      <c r="W689">
        <v>0</v>
      </c>
      <c r="X689">
        <v>2</v>
      </c>
      <c r="Y689">
        <v>0</v>
      </c>
      <c r="AA689">
        <v>0</v>
      </c>
      <c r="AB689">
        <v>0</v>
      </c>
      <c r="AC689">
        <v>0</v>
      </c>
      <c r="AD689">
        <v>0</v>
      </c>
      <c r="AF689" t="s">
        <v>128</v>
      </c>
      <c r="AG689">
        <v>0</v>
      </c>
      <c r="AH689">
        <v>0</v>
      </c>
      <c r="AI689">
        <v>1</v>
      </c>
      <c r="AJ689">
        <v>0</v>
      </c>
      <c r="AK689" t="s">
        <v>451</v>
      </c>
      <c r="AL689">
        <v>33.765793000000002</v>
      </c>
      <c r="AM689" t="s">
        <v>452</v>
      </c>
      <c r="AN689">
        <v>-101.224272</v>
      </c>
      <c r="AO689">
        <v>100</v>
      </c>
      <c r="AP689">
        <v>3200</v>
      </c>
      <c r="AQ689" t="s">
        <v>131</v>
      </c>
      <c r="AR689">
        <v>-25</v>
      </c>
      <c r="AS689">
        <v>-3</v>
      </c>
      <c r="AT689">
        <v>320</v>
      </c>
      <c r="BG689">
        <v>0</v>
      </c>
      <c r="BH689">
        <v>0</v>
      </c>
      <c r="BI689">
        <v>0</v>
      </c>
      <c r="BJ689">
        <v>2950</v>
      </c>
      <c r="BK689">
        <v>-250</v>
      </c>
      <c r="BL689" t="s">
        <v>132</v>
      </c>
      <c r="BM689">
        <v>0</v>
      </c>
      <c r="BN689">
        <v>0</v>
      </c>
      <c r="BO689">
        <v>0</v>
      </c>
      <c r="BP689">
        <v>0</v>
      </c>
      <c r="BT689">
        <v>0</v>
      </c>
      <c r="BU689">
        <v>0</v>
      </c>
      <c r="CE689" t="str">
        <f>"15:44:48.975"</f>
        <v>15:44:48.975</v>
      </c>
      <c r="CF689">
        <v>975284628</v>
      </c>
      <c r="CS689">
        <v>0</v>
      </c>
      <c r="CT689">
        <v>0</v>
      </c>
      <c r="CU689">
        <v>0</v>
      </c>
      <c r="CV689">
        <v>0</v>
      </c>
      <c r="CW689">
        <v>0</v>
      </c>
      <c r="CX689">
        <v>2</v>
      </c>
      <c r="CY689">
        <v>7</v>
      </c>
      <c r="CZ689" t="s">
        <v>133</v>
      </c>
      <c r="DA689">
        <v>125</v>
      </c>
      <c r="DB689">
        <v>1</v>
      </c>
      <c r="DC689" t="s">
        <v>134</v>
      </c>
      <c r="DD689" t="s">
        <v>135</v>
      </c>
      <c r="DG689">
        <v>2889717</v>
      </c>
      <c r="DI689">
        <v>0</v>
      </c>
      <c r="DJ689">
        <v>0</v>
      </c>
      <c r="DK689">
        <v>0</v>
      </c>
      <c r="DL689">
        <v>0</v>
      </c>
      <c r="DM689">
        <v>0</v>
      </c>
      <c r="DN689">
        <v>0</v>
      </c>
      <c r="DO689">
        <v>0</v>
      </c>
      <c r="DP689">
        <v>1</v>
      </c>
      <c r="DQ689">
        <v>1</v>
      </c>
      <c r="DR689">
        <v>0</v>
      </c>
      <c r="DS689">
        <v>1</v>
      </c>
    </row>
    <row r="690" spans="1:123" x14ac:dyDescent="0.25">
      <c r="A690" t="str">
        <f>"04/17/2026 15:44:50.194"</f>
        <v>04/17/2026 15:44:50.194</v>
      </c>
      <c r="C690" t="str">
        <f t="shared" si="60"/>
        <v>FFC3D3C0</v>
      </c>
      <c r="D690" t="s">
        <v>124</v>
      </c>
      <c r="E690" t="str">
        <f t="shared" si="59"/>
        <v>03</v>
      </c>
      <c r="H690">
        <v>160</v>
      </c>
      <c r="I690" t="s">
        <v>125</v>
      </c>
      <c r="J690" t="s">
        <v>126</v>
      </c>
      <c r="K690">
        <v>0</v>
      </c>
      <c r="L690">
        <v>3</v>
      </c>
      <c r="M690">
        <v>1</v>
      </c>
      <c r="N690">
        <v>0</v>
      </c>
      <c r="O690">
        <v>1</v>
      </c>
      <c r="P690">
        <v>0</v>
      </c>
      <c r="Q690">
        <v>0</v>
      </c>
      <c r="R690" t="s">
        <v>127</v>
      </c>
      <c r="S690" t="str">
        <f>"15:44:49.961"</f>
        <v>15:44:49.961</v>
      </c>
      <c r="T690" t="str">
        <f>"15:44:49.661"</f>
        <v>15:44:49.661</v>
      </c>
      <c r="U690" t="str">
        <f t="shared" si="56"/>
        <v>A55E09</v>
      </c>
      <c r="V690">
        <v>0</v>
      </c>
      <c r="W690">
        <v>0</v>
      </c>
      <c r="X690">
        <v>2</v>
      </c>
      <c r="Y690">
        <v>0</v>
      </c>
      <c r="AA690">
        <v>0</v>
      </c>
      <c r="AB690">
        <v>0</v>
      </c>
      <c r="AC690">
        <v>0</v>
      </c>
      <c r="AD690">
        <v>0</v>
      </c>
      <c r="AF690" t="s">
        <v>128</v>
      </c>
      <c r="AG690">
        <v>0</v>
      </c>
      <c r="AH690">
        <v>0</v>
      </c>
      <c r="AI690">
        <v>1</v>
      </c>
      <c r="AJ690">
        <v>0</v>
      </c>
      <c r="AK690" t="s">
        <v>453</v>
      </c>
      <c r="AL690">
        <v>33.765771000000001</v>
      </c>
      <c r="AM690" t="s">
        <v>454</v>
      </c>
      <c r="AN690">
        <v>-101.224487</v>
      </c>
      <c r="AO690">
        <v>100</v>
      </c>
      <c r="AP690">
        <v>3200</v>
      </c>
      <c r="AQ690" t="s">
        <v>131</v>
      </c>
      <c r="AR690">
        <v>-25</v>
      </c>
      <c r="AS690">
        <v>-3</v>
      </c>
      <c r="AT690">
        <v>64</v>
      </c>
      <c r="BG690">
        <v>0</v>
      </c>
      <c r="BH690">
        <v>0</v>
      </c>
      <c r="BI690">
        <v>0</v>
      </c>
      <c r="BJ690">
        <v>2950</v>
      </c>
      <c r="BK690">
        <v>-250</v>
      </c>
      <c r="BL690" t="s">
        <v>132</v>
      </c>
      <c r="BM690">
        <v>0</v>
      </c>
      <c r="BN690">
        <v>0</v>
      </c>
      <c r="BO690">
        <v>0</v>
      </c>
      <c r="BP690">
        <v>0</v>
      </c>
      <c r="BT690">
        <v>0</v>
      </c>
      <c r="BU690">
        <v>0</v>
      </c>
      <c r="CE690" t="str">
        <f>"15:44:49.965"</f>
        <v>15:44:49.965</v>
      </c>
      <c r="CF690">
        <v>965187575</v>
      </c>
      <c r="CS690">
        <v>0</v>
      </c>
      <c r="CT690">
        <v>0</v>
      </c>
      <c r="CU690">
        <v>0</v>
      </c>
      <c r="CV690">
        <v>0</v>
      </c>
      <c r="CW690">
        <v>0</v>
      </c>
      <c r="CX690">
        <v>2</v>
      </c>
      <c r="CY690">
        <v>7</v>
      </c>
      <c r="CZ690" t="s">
        <v>133</v>
      </c>
      <c r="DA690">
        <v>125</v>
      </c>
      <c r="DB690">
        <v>0</v>
      </c>
      <c r="DC690" t="s">
        <v>134</v>
      </c>
      <c r="DD690" t="s">
        <v>135</v>
      </c>
      <c r="DG690">
        <v>3867737</v>
      </c>
      <c r="DI690">
        <v>0</v>
      </c>
      <c r="DJ690">
        <v>0</v>
      </c>
      <c r="DK690">
        <v>0</v>
      </c>
      <c r="DL690">
        <v>0</v>
      </c>
      <c r="DM690">
        <v>0</v>
      </c>
      <c r="DN690">
        <v>0</v>
      </c>
      <c r="DO690">
        <v>0</v>
      </c>
      <c r="DP690">
        <v>1</v>
      </c>
      <c r="DQ690">
        <v>1</v>
      </c>
      <c r="DR690">
        <v>0</v>
      </c>
      <c r="DS690">
        <v>1</v>
      </c>
    </row>
    <row r="691" spans="1:123" x14ac:dyDescent="0.25">
      <c r="A691" t="str">
        <f>"04/17/2026 15:44:51.045"</f>
        <v>04/17/2026 15:44:51.045</v>
      </c>
      <c r="C691" t="str">
        <f t="shared" si="60"/>
        <v>FFC3D3C0</v>
      </c>
      <c r="D691" t="s">
        <v>124</v>
      </c>
      <c r="E691" t="str">
        <f t="shared" si="59"/>
        <v>03</v>
      </c>
      <c r="H691">
        <v>160</v>
      </c>
      <c r="I691" t="s">
        <v>125</v>
      </c>
      <c r="J691" t="s">
        <v>126</v>
      </c>
      <c r="K691">
        <v>0</v>
      </c>
      <c r="L691">
        <v>3</v>
      </c>
      <c r="M691">
        <v>1</v>
      </c>
      <c r="N691">
        <v>0</v>
      </c>
      <c r="O691">
        <v>1</v>
      </c>
      <c r="P691">
        <v>0</v>
      </c>
      <c r="Q691">
        <v>0</v>
      </c>
      <c r="R691" t="s">
        <v>127</v>
      </c>
      <c r="S691" t="str">
        <f>"15:44:50.789"</f>
        <v>15:44:50.789</v>
      </c>
      <c r="T691" t="str">
        <f>"15:44:50.789"</f>
        <v>15:44:50.789</v>
      </c>
      <c r="U691" t="str">
        <f t="shared" si="56"/>
        <v>A55E09</v>
      </c>
      <c r="V691">
        <v>0</v>
      </c>
      <c r="W691">
        <v>0</v>
      </c>
      <c r="X691">
        <v>2</v>
      </c>
      <c r="Y691">
        <v>0</v>
      </c>
      <c r="AA691">
        <v>0</v>
      </c>
      <c r="AB691">
        <v>0</v>
      </c>
      <c r="AC691">
        <v>0</v>
      </c>
      <c r="AD691">
        <v>0</v>
      </c>
      <c r="AF691" t="s">
        <v>128</v>
      </c>
      <c r="AG691">
        <v>0</v>
      </c>
      <c r="AH691">
        <v>0</v>
      </c>
      <c r="AI691">
        <v>1</v>
      </c>
      <c r="AJ691">
        <v>0</v>
      </c>
      <c r="AK691" t="s">
        <v>453</v>
      </c>
      <c r="AL691">
        <v>33.765771000000001</v>
      </c>
      <c r="AM691" t="s">
        <v>455</v>
      </c>
      <c r="AN691">
        <v>-101.224594</v>
      </c>
      <c r="AO691">
        <v>100</v>
      </c>
      <c r="AP691">
        <v>3200</v>
      </c>
      <c r="AQ691" t="s">
        <v>131</v>
      </c>
      <c r="AR691">
        <v>-26</v>
      </c>
      <c r="AS691">
        <v>-1</v>
      </c>
      <c r="AT691">
        <v>0</v>
      </c>
      <c r="BG691">
        <v>0</v>
      </c>
      <c r="BH691">
        <v>0</v>
      </c>
      <c r="BI691">
        <v>0</v>
      </c>
      <c r="BJ691">
        <v>2950</v>
      </c>
      <c r="BK691">
        <v>-250</v>
      </c>
      <c r="BL691" t="s">
        <v>132</v>
      </c>
      <c r="BM691">
        <v>0</v>
      </c>
      <c r="BN691">
        <v>0</v>
      </c>
      <c r="BO691">
        <v>0</v>
      </c>
      <c r="BP691">
        <v>0</v>
      </c>
      <c r="BT691">
        <v>0</v>
      </c>
      <c r="BU691">
        <v>0</v>
      </c>
      <c r="CE691" t="str">
        <f>"15:44:50.790"</f>
        <v>15:44:50.790</v>
      </c>
      <c r="CF691">
        <v>790106738</v>
      </c>
      <c r="CS691">
        <v>0</v>
      </c>
      <c r="CT691">
        <v>0</v>
      </c>
      <c r="CU691">
        <v>0</v>
      </c>
      <c r="CV691">
        <v>0</v>
      </c>
      <c r="CW691">
        <v>0</v>
      </c>
      <c r="CX691">
        <v>2</v>
      </c>
      <c r="CY691">
        <v>7</v>
      </c>
      <c r="CZ691" t="s">
        <v>133</v>
      </c>
      <c r="DA691">
        <v>125</v>
      </c>
      <c r="DB691">
        <v>0</v>
      </c>
      <c r="DC691" t="s">
        <v>134</v>
      </c>
      <c r="DD691" t="s">
        <v>135</v>
      </c>
      <c r="DG691">
        <v>3868628</v>
      </c>
      <c r="DI691">
        <v>0</v>
      </c>
      <c r="DJ691">
        <v>0</v>
      </c>
      <c r="DK691">
        <v>0</v>
      </c>
      <c r="DL691">
        <v>0</v>
      </c>
      <c r="DM691">
        <v>0</v>
      </c>
      <c r="DN691">
        <v>0</v>
      </c>
      <c r="DO691">
        <v>0</v>
      </c>
      <c r="DP691">
        <v>1</v>
      </c>
      <c r="DQ691">
        <v>1</v>
      </c>
      <c r="DR691">
        <v>0</v>
      </c>
      <c r="DS691">
        <v>1</v>
      </c>
    </row>
    <row r="692" spans="1:123" x14ac:dyDescent="0.25">
      <c r="A692" t="str">
        <f>"04/17/2026 15:44:52.597"</f>
        <v>04/17/2026 15:44:52.597</v>
      </c>
      <c r="C692" t="str">
        <f t="shared" ref="C692:C723" si="61">"FFDFD3C0"</f>
        <v>FFDFD3C0</v>
      </c>
      <c r="D692" t="s">
        <v>124</v>
      </c>
      <c r="E692" t="str">
        <f t="shared" si="59"/>
        <v>03</v>
      </c>
      <c r="H692">
        <v>160</v>
      </c>
      <c r="I692" t="s">
        <v>125</v>
      </c>
      <c r="J692" t="s">
        <v>126</v>
      </c>
      <c r="K692">
        <v>0</v>
      </c>
      <c r="L692">
        <v>3</v>
      </c>
      <c r="M692">
        <v>1</v>
      </c>
      <c r="N692">
        <v>0</v>
      </c>
      <c r="O692">
        <v>1</v>
      </c>
      <c r="P692">
        <v>0</v>
      </c>
      <c r="Q692">
        <v>0</v>
      </c>
      <c r="R692" t="s">
        <v>127</v>
      </c>
      <c r="S692" t="str">
        <f>"15:44:52.313"</f>
        <v>15:44:52.313</v>
      </c>
      <c r="T692" t="str">
        <f>"15:44:52.213"</f>
        <v>15:44:52.213</v>
      </c>
      <c r="U692" t="str">
        <f t="shared" si="56"/>
        <v>A55E09</v>
      </c>
      <c r="V692">
        <v>0</v>
      </c>
      <c r="W692">
        <v>0</v>
      </c>
      <c r="X692">
        <v>2</v>
      </c>
      <c r="Y692">
        <v>0</v>
      </c>
      <c r="AA692">
        <v>0</v>
      </c>
      <c r="AB692">
        <v>0</v>
      </c>
      <c r="AC692">
        <v>0</v>
      </c>
      <c r="AD692">
        <v>0</v>
      </c>
      <c r="AF692" t="s">
        <v>128</v>
      </c>
      <c r="AG692">
        <v>0</v>
      </c>
      <c r="AH692">
        <v>0</v>
      </c>
      <c r="AI692">
        <v>1</v>
      </c>
      <c r="AJ692">
        <v>0</v>
      </c>
      <c r="AK692" t="s">
        <v>451</v>
      </c>
      <c r="AL692">
        <v>33.765793000000002</v>
      </c>
      <c r="AM692" t="s">
        <v>456</v>
      </c>
      <c r="AN692">
        <v>-101.224766</v>
      </c>
      <c r="AO692">
        <v>100</v>
      </c>
      <c r="AP692">
        <v>3200</v>
      </c>
      <c r="AQ692" t="s">
        <v>131</v>
      </c>
      <c r="AR692">
        <v>-27</v>
      </c>
      <c r="AS692">
        <v>2</v>
      </c>
      <c r="AT692">
        <v>64</v>
      </c>
      <c r="BB692" t="str">
        <f t="shared" ref="BB692:BB723" si="62">"1200"</f>
        <v>1200</v>
      </c>
      <c r="BC692">
        <v>1</v>
      </c>
      <c r="BD692" t="str">
        <f t="shared" ref="BD692:BD723" si="63">"N445JS  "</f>
        <v xml:space="preserve">N445JS  </v>
      </c>
      <c r="BE692">
        <v>7</v>
      </c>
      <c r="BG692">
        <v>0</v>
      </c>
      <c r="BH692">
        <v>0</v>
      </c>
      <c r="BI692">
        <v>0</v>
      </c>
      <c r="BJ692">
        <v>2950</v>
      </c>
      <c r="BK692">
        <v>-250</v>
      </c>
      <c r="BL692" t="s">
        <v>132</v>
      </c>
      <c r="BM692">
        <v>0</v>
      </c>
      <c r="BN692">
        <v>0</v>
      </c>
      <c r="BO692">
        <v>0</v>
      </c>
      <c r="BP692">
        <v>0</v>
      </c>
      <c r="BT692">
        <v>0</v>
      </c>
      <c r="BU692">
        <v>0</v>
      </c>
      <c r="CE692" t="str">
        <f>"15:44:52.320"</f>
        <v>15:44:52.320</v>
      </c>
      <c r="CF692">
        <v>319956731</v>
      </c>
      <c r="CS692">
        <v>0</v>
      </c>
      <c r="CT692">
        <v>0</v>
      </c>
      <c r="CU692">
        <v>0</v>
      </c>
      <c r="CV692">
        <v>0</v>
      </c>
      <c r="CW692">
        <v>0</v>
      </c>
      <c r="CX692">
        <v>3</v>
      </c>
      <c r="CY692">
        <v>7</v>
      </c>
      <c r="CZ692" t="s">
        <v>133</v>
      </c>
      <c r="DA692">
        <v>125</v>
      </c>
      <c r="DB692">
        <v>0</v>
      </c>
      <c r="DC692" t="s">
        <v>134</v>
      </c>
      <c r="DD692" t="s">
        <v>135</v>
      </c>
      <c r="DG692">
        <v>3870331</v>
      </c>
      <c r="DI692">
        <v>0</v>
      </c>
      <c r="DJ692">
        <v>0</v>
      </c>
      <c r="DK692">
        <v>0</v>
      </c>
      <c r="DL692">
        <v>0</v>
      </c>
      <c r="DM692">
        <v>0</v>
      </c>
      <c r="DN692">
        <v>0</v>
      </c>
      <c r="DO692">
        <v>0</v>
      </c>
      <c r="DP692">
        <v>0</v>
      </c>
      <c r="DQ692">
        <v>1</v>
      </c>
      <c r="DR692">
        <v>0</v>
      </c>
      <c r="DS692">
        <v>0</v>
      </c>
    </row>
    <row r="693" spans="1:123" x14ac:dyDescent="0.25">
      <c r="A693" t="str">
        <f>"04/17/2026 15:44:53.649"</f>
        <v>04/17/2026 15:44:53.649</v>
      </c>
      <c r="C693" t="str">
        <f t="shared" si="61"/>
        <v>FFDFD3C0</v>
      </c>
      <c r="D693" t="s">
        <v>124</v>
      </c>
      <c r="E693" t="str">
        <f t="shared" si="59"/>
        <v>03</v>
      </c>
      <c r="H693">
        <v>160</v>
      </c>
      <c r="I693" t="s">
        <v>125</v>
      </c>
      <c r="J693" t="s">
        <v>126</v>
      </c>
      <c r="K693">
        <v>0</v>
      </c>
      <c r="L693">
        <v>3</v>
      </c>
      <c r="M693">
        <v>1</v>
      </c>
      <c r="N693">
        <v>0</v>
      </c>
      <c r="O693">
        <v>1</v>
      </c>
      <c r="P693">
        <v>0</v>
      </c>
      <c r="Q693">
        <v>0</v>
      </c>
      <c r="R693" t="s">
        <v>127</v>
      </c>
      <c r="S693" t="str">
        <f>"15:44:53.383"</f>
        <v>15:44:53.383</v>
      </c>
      <c r="T693" t="str">
        <f>"15:44:53.183"</f>
        <v>15:44:53.183</v>
      </c>
      <c r="U693" t="str">
        <f t="shared" si="56"/>
        <v>A55E09</v>
      </c>
      <c r="V693">
        <v>0</v>
      </c>
      <c r="W693">
        <v>0</v>
      </c>
      <c r="X693">
        <v>2</v>
      </c>
      <c r="Y693">
        <v>0</v>
      </c>
      <c r="AA693">
        <v>0</v>
      </c>
      <c r="AB693">
        <v>0</v>
      </c>
      <c r="AC693">
        <v>0</v>
      </c>
      <c r="AD693">
        <v>0</v>
      </c>
      <c r="AF693" t="s">
        <v>128</v>
      </c>
      <c r="AG693">
        <v>0</v>
      </c>
      <c r="AH693">
        <v>0</v>
      </c>
      <c r="AI693">
        <v>1</v>
      </c>
      <c r="AJ693">
        <v>0</v>
      </c>
      <c r="AK693" t="s">
        <v>451</v>
      </c>
      <c r="AL693">
        <v>33.765793000000002</v>
      </c>
      <c r="AM693" t="s">
        <v>457</v>
      </c>
      <c r="AN693">
        <v>-101.224937</v>
      </c>
      <c r="AO693">
        <v>100</v>
      </c>
      <c r="AP693">
        <v>3200</v>
      </c>
      <c r="AQ693" t="s">
        <v>131</v>
      </c>
      <c r="AR693">
        <v>-27</v>
      </c>
      <c r="AS693">
        <v>4</v>
      </c>
      <c r="AT693">
        <v>128</v>
      </c>
      <c r="BB693" t="str">
        <f t="shared" si="62"/>
        <v>1200</v>
      </c>
      <c r="BC693">
        <v>1</v>
      </c>
      <c r="BD693" t="str">
        <f t="shared" si="63"/>
        <v xml:space="preserve">N445JS  </v>
      </c>
      <c r="BE693">
        <v>7</v>
      </c>
      <c r="BG693">
        <v>0</v>
      </c>
      <c r="BH693">
        <v>0</v>
      </c>
      <c r="BI693">
        <v>0</v>
      </c>
      <c r="BJ693">
        <v>2975</v>
      </c>
      <c r="BK693">
        <v>-225</v>
      </c>
      <c r="BL693" t="s">
        <v>132</v>
      </c>
      <c r="BM693">
        <v>0</v>
      </c>
      <c r="BN693">
        <v>0</v>
      </c>
      <c r="BO693">
        <v>0</v>
      </c>
      <c r="BP693">
        <v>0</v>
      </c>
      <c r="BT693">
        <v>0</v>
      </c>
      <c r="BU693">
        <v>0</v>
      </c>
      <c r="CE693" t="str">
        <f>"15:44:53.385"</f>
        <v>15:44:53.385</v>
      </c>
      <c r="CF693">
        <v>384852410</v>
      </c>
      <c r="CS693">
        <v>0</v>
      </c>
      <c r="CT693">
        <v>0</v>
      </c>
      <c r="CU693">
        <v>0</v>
      </c>
      <c r="CV693">
        <v>0</v>
      </c>
      <c r="CW693">
        <v>0</v>
      </c>
      <c r="CX693">
        <v>3</v>
      </c>
      <c r="CY693">
        <v>7</v>
      </c>
      <c r="CZ693" t="s">
        <v>133</v>
      </c>
      <c r="DA693">
        <v>125</v>
      </c>
      <c r="DB693">
        <v>0</v>
      </c>
      <c r="DC693" t="s">
        <v>134</v>
      </c>
      <c r="DD693" t="s">
        <v>135</v>
      </c>
      <c r="DG693">
        <v>3871572</v>
      </c>
      <c r="DI693">
        <v>0</v>
      </c>
      <c r="DJ693">
        <v>0</v>
      </c>
      <c r="DK693">
        <v>0</v>
      </c>
      <c r="DL693">
        <v>0</v>
      </c>
      <c r="DM693">
        <v>0</v>
      </c>
      <c r="DN693">
        <v>0</v>
      </c>
      <c r="DO693">
        <v>0</v>
      </c>
      <c r="DP693">
        <v>0</v>
      </c>
      <c r="DQ693">
        <v>1</v>
      </c>
      <c r="DR693">
        <v>0</v>
      </c>
      <c r="DS693">
        <v>0</v>
      </c>
    </row>
    <row r="694" spans="1:123" x14ac:dyDescent="0.25">
      <c r="A694" t="str">
        <f>"04/17/2026 15:44:54.801"</f>
        <v>04/17/2026 15:44:54.801</v>
      </c>
      <c r="C694" t="str">
        <f t="shared" si="61"/>
        <v>FFDFD3C0</v>
      </c>
      <c r="D694" t="s">
        <v>124</v>
      </c>
      <c r="E694" t="str">
        <f t="shared" si="59"/>
        <v>03</v>
      </c>
      <c r="H694">
        <v>160</v>
      </c>
      <c r="I694" t="s">
        <v>125</v>
      </c>
      <c r="J694" t="s">
        <v>126</v>
      </c>
      <c r="K694">
        <v>0</v>
      </c>
      <c r="L694">
        <v>3</v>
      </c>
      <c r="M694">
        <v>1</v>
      </c>
      <c r="N694">
        <v>0</v>
      </c>
      <c r="O694">
        <v>1</v>
      </c>
      <c r="P694">
        <v>0</v>
      </c>
      <c r="Q694">
        <v>0</v>
      </c>
      <c r="R694" t="s">
        <v>127</v>
      </c>
      <c r="S694" t="str">
        <f>"15:44:54.555"</f>
        <v>15:44:54.555</v>
      </c>
      <c r="T694" t="str">
        <f>"15:44:54.255"</f>
        <v>15:44:54.255</v>
      </c>
      <c r="U694" t="str">
        <f t="shared" si="56"/>
        <v>A55E09</v>
      </c>
      <c r="V694">
        <v>0</v>
      </c>
      <c r="W694">
        <v>0</v>
      </c>
      <c r="X694">
        <v>2</v>
      </c>
      <c r="Y694">
        <v>0</v>
      </c>
      <c r="AA694">
        <v>0</v>
      </c>
      <c r="AB694">
        <v>0</v>
      </c>
      <c r="AC694">
        <v>0</v>
      </c>
      <c r="AD694">
        <v>0</v>
      </c>
      <c r="AF694" t="s">
        <v>128</v>
      </c>
      <c r="AG694">
        <v>0</v>
      </c>
      <c r="AH694">
        <v>0</v>
      </c>
      <c r="AI694">
        <v>1</v>
      </c>
      <c r="AJ694">
        <v>0</v>
      </c>
      <c r="AK694" t="s">
        <v>449</v>
      </c>
      <c r="AL694">
        <v>33.765836</v>
      </c>
      <c r="AM694" t="s">
        <v>458</v>
      </c>
      <c r="AN694">
        <v>-101.225173</v>
      </c>
      <c r="AO694">
        <v>100</v>
      </c>
      <c r="AP694">
        <v>3200</v>
      </c>
      <c r="AQ694" t="s">
        <v>131</v>
      </c>
      <c r="AR694">
        <v>-28</v>
      </c>
      <c r="AS694">
        <v>5</v>
      </c>
      <c r="AT694">
        <v>256</v>
      </c>
      <c r="BB694" t="str">
        <f t="shared" si="62"/>
        <v>1200</v>
      </c>
      <c r="BC694">
        <v>1</v>
      </c>
      <c r="BD694" t="str">
        <f t="shared" si="63"/>
        <v xml:space="preserve">N445JS  </v>
      </c>
      <c r="BE694">
        <v>7</v>
      </c>
      <c r="BG694">
        <v>0</v>
      </c>
      <c r="BH694">
        <v>0</v>
      </c>
      <c r="BI694">
        <v>0</v>
      </c>
      <c r="BJ694">
        <v>2975</v>
      </c>
      <c r="BK694">
        <v>-225</v>
      </c>
      <c r="BL694" t="s">
        <v>132</v>
      </c>
      <c r="BM694">
        <v>0</v>
      </c>
      <c r="BN694">
        <v>0</v>
      </c>
      <c r="BO694">
        <v>0</v>
      </c>
      <c r="BP694">
        <v>0</v>
      </c>
      <c r="BT694">
        <v>0</v>
      </c>
      <c r="BU694">
        <v>0</v>
      </c>
      <c r="CE694" t="str">
        <f>"15:44:54.555"</f>
        <v>15:44:54.555</v>
      </c>
      <c r="CF694">
        <v>554737732</v>
      </c>
      <c r="CS694">
        <v>0</v>
      </c>
      <c r="CT694">
        <v>0</v>
      </c>
      <c r="CU694">
        <v>0</v>
      </c>
      <c r="CV694">
        <v>0</v>
      </c>
      <c r="CW694">
        <v>0</v>
      </c>
      <c r="CX694">
        <v>4</v>
      </c>
      <c r="CY694">
        <v>7</v>
      </c>
      <c r="CZ694" t="s">
        <v>133</v>
      </c>
      <c r="DA694">
        <v>125</v>
      </c>
      <c r="DB694">
        <v>0</v>
      </c>
      <c r="DC694" t="s">
        <v>134</v>
      </c>
      <c r="DD694" t="s">
        <v>135</v>
      </c>
      <c r="DG694">
        <v>3872831</v>
      </c>
      <c r="DI694">
        <v>0</v>
      </c>
      <c r="DJ694">
        <v>0</v>
      </c>
      <c r="DK694">
        <v>0</v>
      </c>
      <c r="DL694">
        <v>0</v>
      </c>
      <c r="DM694">
        <v>0</v>
      </c>
      <c r="DN694">
        <v>0</v>
      </c>
      <c r="DO694">
        <v>0</v>
      </c>
      <c r="DP694">
        <v>0</v>
      </c>
      <c r="DQ694">
        <v>1</v>
      </c>
      <c r="DR694">
        <v>0</v>
      </c>
      <c r="DS694">
        <v>0</v>
      </c>
    </row>
    <row r="695" spans="1:123" x14ac:dyDescent="0.25">
      <c r="A695" t="str">
        <f>"04/17/2026 15:44:55.783"</f>
        <v>04/17/2026 15:44:55.783</v>
      </c>
      <c r="C695" t="str">
        <f t="shared" si="61"/>
        <v>FFDFD3C0</v>
      </c>
      <c r="D695" t="s">
        <v>136</v>
      </c>
      <c r="E695" t="str">
        <f>"0E"</f>
        <v>0E</v>
      </c>
      <c r="F695">
        <v>1014</v>
      </c>
      <c r="G695" t="s">
        <v>125</v>
      </c>
      <c r="J695" t="s">
        <v>137</v>
      </c>
      <c r="K695">
        <v>0</v>
      </c>
      <c r="L695">
        <v>3</v>
      </c>
      <c r="M695">
        <v>0</v>
      </c>
      <c r="N695">
        <v>2</v>
      </c>
      <c r="O695">
        <v>1</v>
      </c>
      <c r="P695">
        <v>0</v>
      </c>
      <c r="Q695">
        <v>0</v>
      </c>
      <c r="R695" t="s">
        <v>127</v>
      </c>
      <c r="S695" t="str">
        <f>"15:44:55.508"</f>
        <v>15:44:55.508</v>
      </c>
      <c r="T695" t="str">
        <f>"15:44:55.208"</f>
        <v>15:44:55.208</v>
      </c>
      <c r="U695" t="str">
        <f t="shared" si="56"/>
        <v>A55E09</v>
      </c>
      <c r="V695">
        <v>0</v>
      </c>
      <c r="W695">
        <v>0</v>
      </c>
      <c r="X695">
        <v>2</v>
      </c>
      <c r="Y695">
        <v>0</v>
      </c>
      <c r="AA695">
        <v>0</v>
      </c>
      <c r="AB695">
        <v>9</v>
      </c>
      <c r="AC695">
        <v>3</v>
      </c>
      <c r="AD695">
        <v>0</v>
      </c>
      <c r="AE695">
        <v>9</v>
      </c>
      <c r="AF695" t="s">
        <v>128</v>
      </c>
      <c r="AG695">
        <v>0</v>
      </c>
      <c r="AH695">
        <v>0</v>
      </c>
      <c r="AI695">
        <v>1</v>
      </c>
      <c r="AJ695">
        <v>0</v>
      </c>
      <c r="AK695" t="s">
        <v>447</v>
      </c>
      <c r="AL695">
        <v>33.765878999999998</v>
      </c>
      <c r="AM695" t="s">
        <v>459</v>
      </c>
      <c r="AN695">
        <v>-101.225281</v>
      </c>
      <c r="AO695">
        <v>100</v>
      </c>
      <c r="AP695">
        <v>3200</v>
      </c>
      <c r="AQ695" t="s">
        <v>131</v>
      </c>
      <c r="AR695">
        <v>-27</v>
      </c>
      <c r="AS695">
        <v>5</v>
      </c>
      <c r="AT695">
        <v>256</v>
      </c>
      <c r="BB695" t="str">
        <f t="shared" si="62"/>
        <v>1200</v>
      </c>
      <c r="BC695">
        <v>1</v>
      </c>
      <c r="BD695" t="str">
        <f t="shared" si="63"/>
        <v xml:space="preserve">N445JS  </v>
      </c>
      <c r="BE695">
        <v>7</v>
      </c>
      <c r="BG695">
        <v>0</v>
      </c>
      <c r="BH695">
        <v>0</v>
      </c>
      <c r="BI695">
        <v>0</v>
      </c>
      <c r="BJ695">
        <v>2975</v>
      </c>
      <c r="BK695">
        <v>-225</v>
      </c>
      <c r="BL695" t="s">
        <v>132</v>
      </c>
      <c r="BM695">
        <v>1</v>
      </c>
      <c r="BN695">
        <v>1</v>
      </c>
      <c r="BO695">
        <v>1</v>
      </c>
      <c r="BP695">
        <v>0</v>
      </c>
      <c r="BT695">
        <v>0</v>
      </c>
      <c r="BU695">
        <v>0</v>
      </c>
      <c r="CE695" t="str">
        <f>"15:44:55.515"</f>
        <v>15:44:55.515</v>
      </c>
      <c r="CF695">
        <v>514643652</v>
      </c>
      <c r="CS695">
        <v>0</v>
      </c>
      <c r="CT695">
        <v>2</v>
      </c>
      <c r="CU695">
        <v>0</v>
      </c>
      <c r="CV695">
        <v>2</v>
      </c>
      <c r="CW695">
        <v>0</v>
      </c>
      <c r="CX695">
        <v>5</v>
      </c>
      <c r="CY695">
        <v>7</v>
      </c>
      <c r="CZ695" t="s">
        <v>133</v>
      </c>
      <c r="DA695">
        <v>125</v>
      </c>
      <c r="DB695">
        <v>0</v>
      </c>
      <c r="DC695" t="s">
        <v>134</v>
      </c>
      <c r="DD695" t="s">
        <v>135</v>
      </c>
      <c r="DG695">
        <v>3873875</v>
      </c>
      <c r="DI695">
        <v>0</v>
      </c>
      <c r="DJ695">
        <v>0</v>
      </c>
      <c r="DK695">
        <v>0</v>
      </c>
      <c r="DL695">
        <v>0</v>
      </c>
      <c r="DM695">
        <v>0</v>
      </c>
      <c r="DN695">
        <v>0</v>
      </c>
      <c r="DO695">
        <v>0</v>
      </c>
      <c r="DP695">
        <v>0</v>
      </c>
      <c r="DQ695">
        <v>0</v>
      </c>
      <c r="DR695">
        <v>0</v>
      </c>
      <c r="DS695">
        <v>0</v>
      </c>
    </row>
    <row r="696" spans="1:123" x14ac:dyDescent="0.25">
      <c r="A696" t="str">
        <f>"04/17/2026 15:44:55.795"</f>
        <v>04/17/2026 15:44:55.795</v>
      </c>
      <c r="C696" t="str">
        <f t="shared" si="61"/>
        <v>FFDFD3C0</v>
      </c>
      <c r="D696" t="s">
        <v>136</v>
      </c>
      <c r="E696" t="str">
        <f>"0F"</f>
        <v>0F</v>
      </c>
      <c r="F696">
        <v>1015</v>
      </c>
      <c r="G696" t="s">
        <v>138</v>
      </c>
      <c r="J696" t="s">
        <v>137</v>
      </c>
      <c r="K696">
        <v>0</v>
      </c>
      <c r="L696">
        <v>3</v>
      </c>
      <c r="M696">
        <v>0</v>
      </c>
      <c r="N696">
        <v>2</v>
      </c>
      <c r="O696">
        <v>1</v>
      </c>
      <c r="P696">
        <v>0</v>
      </c>
      <c r="Q696">
        <v>0</v>
      </c>
      <c r="R696" t="s">
        <v>127</v>
      </c>
      <c r="S696" t="str">
        <f>"15:44:55.508"</f>
        <v>15:44:55.508</v>
      </c>
      <c r="T696" t="str">
        <f>"15:44:55.208"</f>
        <v>15:44:55.208</v>
      </c>
      <c r="U696" t="str">
        <f t="shared" si="56"/>
        <v>A55E09</v>
      </c>
      <c r="V696">
        <v>0</v>
      </c>
      <c r="W696">
        <v>0</v>
      </c>
      <c r="X696">
        <v>2</v>
      </c>
      <c r="Y696">
        <v>0</v>
      </c>
      <c r="AA696">
        <v>0</v>
      </c>
      <c r="AB696">
        <v>9</v>
      </c>
      <c r="AC696">
        <v>3</v>
      </c>
      <c r="AD696">
        <v>0</v>
      </c>
      <c r="AE696">
        <v>9</v>
      </c>
      <c r="AF696" t="s">
        <v>128</v>
      </c>
      <c r="AG696">
        <v>0</v>
      </c>
      <c r="AH696">
        <v>0</v>
      </c>
      <c r="AI696">
        <v>1</v>
      </c>
      <c r="AJ696">
        <v>0</v>
      </c>
      <c r="AK696" t="s">
        <v>447</v>
      </c>
      <c r="AL696">
        <v>33.765878999999998</v>
      </c>
      <c r="AM696" t="s">
        <v>459</v>
      </c>
      <c r="AN696">
        <v>-101.225281</v>
      </c>
      <c r="AO696">
        <v>100</v>
      </c>
      <c r="AP696">
        <v>3200</v>
      </c>
      <c r="AQ696" t="s">
        <v>131</v>
      </c>
      <c r="AR696">
        <v>-27</v>
      </c>
      <c r="AS696">
        <v>5</v>
      </c>
      <c r="AT696">
        <v>256</v>
      </c>
      <c r="BB696" t="str">
        <f t="shared" si="62"/>
        <v>1200</v>
      </c>
      <c r="BC696">
        <v>1</v>
      </c>
      <c r="BD696" t="str">
        <f t="shared" si="63"/>
        <v xml:space="preserve">N445JS  </v>
      </c>
      <c r="BE696">
        <v>7</v>
      </c>
      <c r="BG696">
        <v>0</v>
      </c>
      <c r="BH696">
        <v>0</v>
      </c>
      <c r="BI696">
        <v>0</v>
      </c>
      <c r="BJ696">
        <v>2975</v>
      </c>
      <c r="BK696">
        <v>-225</v>
      </c>
      <c r="BL696" t="s">
        <v>132</v>
      </c>
      <c r="BM696">
        <v>1</v>
      </c>
      <c r="BN696">
        <v>1</v>
      </c>
      <c r="BO696">
        <v>1</v>
      </c>
      <c r="BP696">
        <v>0</v>
      </c>
      <c r="BT696">
        <v>0</v>
      </c>
      <c r="BU696">
        <v>0</v>
      </c>
      <c r="CE696" t="str">
        <f>"15:44:55.515"</f>
        <v>15:44:55.515</v>
      </c>
      <c r="CF696">
        <v>514643652</v>
      </c>
      <c r="CS696">
        <v>0</v>
      </c>
      <c r="CT696">
        <v>2</v>
      </c>
      <c r="CU696">
        <v>0</v>
      </c>
      <c r="CV696">
        <v>2</v>
      </c>
      <c r="CW696">
        <v>0</v>
      </c>
      <c r="CX696">
        <v>5</v>
      </c>
      <c r="CY696">
        <v>7</v>
      </c>
      <c r="CZ696" t="s">
        <v>133</v>
      </c>
      <c r="DA696">
        <v>125</v>
      </c>
      <c r="DB696">
        <v>0</v>
      </c>
      <c r="DC696" t="s">
        <v>134</v>
      </c>
      <c r="DD696" t="s">
        <v>135</v>
      </c>
      <c r="DG696">
        <v>3873875</v>
      </c>
      <c r="DI696">
        <v>0</v>
      </c>
      <c r="DJ696">
        <v>0</v>
      </c>
      <c r="DK696">
        <v>1</v>
      </c>
      <c r="DL696">
        <v>0</v>
      </c>
      <c r="DM696">
        <v>0</v>
      </c>
      <c r="DN696">
        <v>0</v>
      </c>
      <c r="DO696">
        <v>0</v>
      </c>
      <c r="DP696">
        <v>0</v>
      </c>
      <c r="DQ696">
        <v>0</v>
      </c>
      <c r="DR696">
        <v>0</v>
      </c>
      <c r="DS696">
        <v>0</v>
      </c>
    </row>
    <row r="697" spans="1:123" x14ac:dyDescent="0.25">
      <c r="A697" t="str">
        <f>"04/17/2026 15:44:55.801"</f>
        <v>04/17/2026 15:44:55.801</v>
      </c>
      <c r="C697" t="str">
        <f t="shared" si="61"/>
        <v>FFDFD3C0</v>
      </c>
      <c r="D697" t="s">
        <v>139</v>
      </c>
      <c r="E697" t="str">
        <f>"28"</f>
        <v>28</v>
      </c>
      <c r="H697">
        <v>140</v>
      </c>
      <c r="I697" t="s">
        <v>140</v>
      </c>
      <c r="J697" t="s">
        <v>141</v>
      </c>
      <c r="K697">
        <v>0</v>
      </c>
      <c r="L697">
        <v>3</v>
      </c>
      <c r="M697">
        <v>0</v>
      </c>
      <c r="N697">
        <v>2</v>
      </c>
      <c r="O697">
        <v>1</v>
      </c>
      <c r="P697">
        <v>0</v>
      </c>
      <c r="Q697">
        <v>0</v>
      </c>
      <c r="R697" t="s">
        <v>127</v>
      </c>
      <c r="S697" t="str">
        <f>"15:44:55.508"</f>
        <v>15:44:55.508</v>
      </c>
      <c r="T697" t="str">
        <f>"15:44:55.208"</f>
        <v>15:44:55.208</v>
      </c>
      <c r="U697" t="str">
        <f t="shared" si="56"/>
        <v>A55E09</v>
      </c>
      <c r="V697">
        <v>0</v>
      </c>
      <c r="W697">
        <v>0</v>
      </c>
      <c r="X697">
        <v>2</v>
      </c>
      <c r="Y697">
        <v>0</v>
      </c>
      <c r="AA697">
        <v>0</v>
      </c>
      <c r="AB697">
        <v>9</v>
      </c>
      <c r="AC697">
        <v>3</v>
      </c>
      <c r="AD697">
        <v>0</v>
      </c>
      <c r="AE697">
        <v>9</v>
      </c>
      <c r="AF697" t="s">
        <v>128</v>
      </c>
      <c r="AG697">
        <v>0</v>
      </c>
      <c r="AH697">
        <v>0</v>
      </c>
      <c r="AI697">
        <v>1</v>
      </c>
      <c r="AJ697">
        <v>0</v>
      </c>
      <c r="AK697" t="s">
        <v>447</v>
      </c>
      <c r="AL697">
        <v>33.765878999999998</v>
      </c>
      <c r="AM697" t="s">
        <v>459</v>
      </c>
      <c r="AN697">
        <v>-101.225281</v>
      </c>
      <c r="AO697">
        <v>100</v>
      </c>
      <c r="AP697">
        <v>3200</v>
      </c>
      <c r="AQ697" t="s">
        <v>131</v>
      </c>
      <c r="AR697">
        <v>-27</v>
      </c>
      <c r="AS697">
        <v>5</v>
      </c>
      <c r="AT697">
        <v>256</v>
      </c>
      <c r="BB697" t="str">
        <f t="shared" si="62"/>
        <v>1200</v>
      </c>
      <c r="BC697">
        <v>1</v>
      </c>
      <c r="BD697" t="str">
        <f t="shared" si="63"/>
        <v xml:space="preserve">N445JS  </v>
      </c>
      <c r="BE697">
        <v>7</v>
      </c>
      <c r="BG697">
        <v>0</v>
      </c>
      <c r="BH697">
        <v>0</v>
      </c>
      <c r="BI697">
        <v>0</v>
      </c>
      <c r="BJ697">
        <v>2975</v>
      </c>
      <c r="BK697">
        <v>-225</v>
      </c>
      <c r="BL697" t="s">
        <v>132</v>
      </c>
      <c r="BM697">
        <v>1</v>
      </c>
      <c r="BN697">
        <v>1</v>
      </c>
      <c r="BO697">
        <v>1</v>
      </c>
      <c r="BP697">
        <v>0</v>
      </c>
      <c r="BT697">
        <v>0</v>
      </c>
      <c r="BU697">
        <v>0</v>
      </c>
      <c r="CE697" t="str">
        <f>"15:44:55.515"</f>
        <v>15:44:55.515</v>
      </c>
      <c r="CF697">
        <v>514643652</v>
      </c>
      <c r="CS697">
        <v>0</v>
      </c>
      <c r="CT697">
        <v>2</v>
      </c>
      <c r="CU697">
        <v>0</v>
      </c>
      <c r="CV697">
        <v>2</v>
      </c>
      <c r="CW697">
        <v>0</v>
      </c>
      <c r="CX697">
        <v>5</v>
      </c>
      <c r="CY697">
        <v>7</v>
      </c>
      <c r="CZ697" t="s">
        <v>133</v>
      </c>
      <c r="DA697">
        <v>125</v>
      </c>
      <c r="DB697">
        <v>0</v>
      </c>
      <c r="DC697" t="s">
        <v>134</v>
      </c>
      <c r="DD697" t="s">
        <v>135</v>
      </c>
      <c r="DG697">
        <v>3873875</v>
      </c>
      <c r="DI697">
        <v>0</v>
      </c>
      <c r="DJ697">
        <v>0</v>
      </c>
      <c r="DK697">
        <v>1</v>
      </c>
      <c r="DL697">
        <v>0</v>
      </c>
      <c r="DM697">
        <v>0</v>
      </c>
      <c r="DN697">
        <v>0</v>
      </c>
      <c r="DO697">
        <v>0</v>
      </c>
      <c r="DP697">
        <v>0</v>
      </c>
      <c r="DQ697">
        <v>0</v>
      </c>
      <c r="DR697">
        <v>0</v>
      </c>
      <c r="DS697">
        <v>0</v>
      </c>
    </row>
    <row r="698" spans="1:123" x14ac:dyDescent="0.25">
      <c r="A698" t="str">
        <f>"04/17/2026 15:44:55.807"</f>
        <v>04/17/2026 15:44:55.807</v>
      </c>
      <c r="C698" t="str">
        <f t="shared" si="61"/>
        <v>FFDFD3C0</v>
      </c>
      <c r="D698" t="s">
        <v>124</v>
      </c>
      <c r="E698" t="str">
        <f>"03"</f>
        <v>03</v>
      </c>
      <c r="H698">
        <v>160</v>
      </c>
      <c r="I698" t="s">
        <v>125</v>
      </c>
      <c r="J698" t="s">
        <v>126</v>
      </c>
      <c r="K698">
        <v>0</v>
      </c>
      <c r="L698">
        <v>3</v>
      </c>
      <c r="M698">
        <v>0</v>
      </c>
      <c r="N698">
        <v>2</v>
      </c>
      <c r="O698">
        <v>1</v>
      </c>
      <c r="P698">
        <v>0</v>
      </c>
      <c r="Q698">
        <v>0</v>
      </c>
      <c r="R698" t="s">
        <v>127</v>
      </c>
      <c r="S698" t="str">
        <f>"15:44:55.508"</f>
        <v>15:44:55.508</v>
      </c>
      <c r="T698" t="str">
        <f>"15:44:55.208"</f>
        <v>15:44:55.208</v>
      </c>
      <c r="U698" t="str">
        <f t="shared" si="56"/>
        <v>A55E09</v>
      </c>
      <c r="V698">
        <v>0</v>
      </c>
      <c r="W698">
        <v>0</v>
      </c>
      <c r="X698">
        <v>2</v>
      </c>
      <c r="Y698">
        <v>0</v>
      </c>
      <c r="AA698">
        <v>0</v>
      </c>
      <c r="AB698">
        <v>9</v>
      </c>
      <c r="AC698">
        <v>3</v>
      </c>
      <c r="AD698">
        <v>0</v>
      </c>
      <c r="AE698">
        <v>9</v>
      </c>
      <c r="AF698" t="s">
        <v>128</v>
      </c>
      <c r="AG698">
        <v>0</v>
      </c>
      <c r="AH698">
        <v>0</v>
      </c>
      <c r="AI698">
        <v>1</v>
      </c>
      <c r="AJ698">
        <v>0</v>
      </c>
      <c r="AK698" t="s">
        <v>447</v>
      </c>
      <c r="AL698">
        <v>33.765878999999998</v>
      </c>
      <c r="AM698" t="s">
        <v>459</v>
      </c>
      <c r="AN698">
        <v>-101.225281</v>
      </c>
      <c r="AO698">
        <v>100</v>
      </c>
      <c r="AP698">
        <v>3200</v>
      </c>
      <c r="AQ698" t="s">
        <v>131</v>
      </c>
      <c r="AR698">
        <v>-27</v>
      </c>
      <c r="AS698">
        <v>5</v>
      </c>
      <c r="AT698">
        <v>256</v>
      </c>
      <c r="BB698" t="str">
        <f t="shared" si="62"/>
        <v>1200</v>
      </c>
      <c r="BC698">
        <v>1</v>
      </c>
      <c r="BD698" t="str">
        <f t="shared" si="63"/>
        <v xml:space="preserve">N445JS  </v>
      </c>
      <c r="BE698">
        <v>7</v>
      </c>
      <c r="BG698">
        <v>0</v>
      </c>
      <c r="BH698">
        <v>0</v>
      </c>
      <c r="BI698">
        <v>0</v>
      </c>
      <c r="BJ698">
        <v>2975</v>
      </c>
      <c r="BK698">
        <v>-225</v>
      </c>
      <c r="BL698" t="s">
        <v>132</v>
      </c>
      <c r="BM698">
        <v>1</v>
      </c>
      <c r="BN698">
        <v>1</v>
      </c>
      <c r="BO698">
        <v>1</v>
      </c>
      <c r="BP698">
        <v>0</v>
      </c>
      <c r="BT698">
        <v>0</v>
      </c>
      <c r="BU698">
        <v>0</v>
      </c>
      <c r="CE698" t="str">
        <f>"15:44:55.515"</f>
        <v>15:44:55.515</v>
      </c>
      <c r="CF698">
        <v>514643652</v>
      </c>
      <c r="CS698">
        <v>0</v>
      </c>
      <c r="CT698">
        <v>2</v>
      </c>
      <c r="CU698">
        <v>0</v>
      </c>
      <c r="CV698">
        <v>2</v>
      </c>
      <c r="CW698">
        <v>0</v>
      </c>
      <c r="CX698">
        <v>5</v>
      </c>
      <c r="CY698">
        <v>7</v>
      </c>
      <c r="CZ698" t="s">
        <v>133</v>
      </c>
      <c r="DA698">
        <v>125</v>
      </c>
      <c r="DB698">
        <v>0</v>
      </c>
      <c r="DC698" t="s">
        <v>134</v>
      </c>
      <c r="DD698" t="s">
        <v>135</v>
      </c>
      <c r="DG698">
        <v>3873875</v>
      </c>
      <c r="DI698">
        <v>0</v>
      </c>
      <c r="DJ698">
        <v>0</v>
      </c>
      <c r="DK698">
        <v>1</v>
      </c>
      <c r="DL698">
        <v>0</v>
      </c>
      <c r="DM698">
        <v>0</v>
      </c>
      <c r="DN698">
        <v>0</v>
      </c>
      <c r="DO698">
        <v>0</v>
      </c>
      <c r="DP698">
        <v>0</v>
      </c>
      <c r="DQ698">
        <v>0</v>
      </c>
      <c r="DR698">
        <v>0</v>
      </c>
      <c r="DS698">
        <v>0</v>
      </c>
    </row>
    <row r="699" spans="1:123" x14ac:dyDescent="0.25">
      <c r="A699" t="str">
        <f>"04/17/2026 15:44:56.603"</f>
        <v>04/17/2026 15:44:56.603</v>
      </c>
      <c r="C699" t="str">
        <f t="shared" si="61"/>
        <v>FFDFD3C0</v>
      </c>
      <c r="D699" t="s">
        <v>139</v>
      </c>
      <c r="E699" t="str">
        <f>"28"</f>
        <v>28</v>
      </c>
      <c r="H699">
        <v>140</v>
      </c>
      <c r="I699" t="s">
        <v>140</v>
      </c>
      <c r="J699" t="s">
        <v>141</v>
      </c>
      <c r="K699">
        <v>0</v>
      </c>
      <c r="L699">
        <v>3</v>
      </c>
      <c r="M699">
        <v>0</v>
      </c>
      <c r="N699">
        <v>2</v>
      </c>
      <c r="O699">
        <v>1</v>
      </c>
      <c r="P699">
        <v>0</v>
      </c>
      <c r="Q699">
        <v>0</v>
      </c>
      <c r="R699" t="s">
        <v>127</v>
      </c>
      <c r="S699" t="str">
        <f>"15:44:56.383"</f>
        <v>15:44:56.383</v>
      </c>
      <c r="T699" t="str">
        <f>"15:44:56.183"</f>
        <v>15:44:56.183</v>
      </c>
      <c r="U699" t="str">
        <f t="shared" si="56"/>
        <v>A55E09</v>
      </c>
      <c r="V699">
        <v>0</v>
      </c>
      <c r="W699">
        <v>0</v>
      </c>
      <c r="X699">
        <v>2</v>
      </c>
      <c r="Y699">
        <v>0</v>
      </c>
      <c r="AA699">
        <v>0</v>
      </c>
      <c r="AB699">
        <v>9</v>
      </c>
      <c r="AC699">
        <v>3</v>
      </c>
      <c r="AD699">
        <v>0</v>
      </c>
      <c r="AE699">
        <v>9</v>
      </c>
      <c r="AF699" t="s">
        <v>128</v>
      </c>
      <c r="AG699">
        <v>0</v>
      </c>
      <c r="AH699">
        <v>0</v>
      </c>
      <c r="AI699">
        <v>1</v>
      </c>
      <c r="AJ699">
        <v>0</v>
      </c>
      <c r="AK699" t="s">
        <v>447</v>
      </c>
      <c r="AL699">
        <v>33.765878999999998</v>
      </c>
      <c r="AM699" t="s">
        <v>460</v>
      </c>
      <c r="AN699">
        <v>-101.225452</v>
      </c>
      <c r="AO699">
        <v>100</v>
      </c>
      <c r="AP699">
        <v>3200</v>
      </c>
      <c r="AQ699" t="s">
        <v>131</v>
      </c>
      <c r="AR699">
        <v>-27</v>
      </c>
      <c r="AS699">
        <v>5</v>
      </c>
      <c r="AT699">
        <v>512</v>
      </c>
      <c r="BB699" t="str">
        <f t="shared" si="62"/>
        <v>1200</v>
      </c>
      <c r="BC699">
        <v>1</v>
      </c>
      <c r="BD699" t="str">
        <f t="shared" si="63"/>
        <v xml:space="preserve">N445JS  </v>
      </c>
      <c r="BE699">
        <v>7</v>
      </c>
      <c r="BG699">
        <v>0</v>
      </c>
      <c r="BH699">
        <v>0</v>
      </c>
      <c r="BI699">
        <v>0</v>
      </c>
      <c r="BJ699">
        <v>2975</v>
      </c>
      <c r="BK699">
        <v>-225</v>
      </c>
      <c r="BL699" t="s">
        <v>132</v>
      </c>
      <c r="BM699">
        <v>1</v>
      </c>
      <c r="BN699">
        <v>1</v>
      </c>
      <c r="BO699">
        <v>1</v>
      </c>
      <c r="BP699">
        <v>0</v>
      </c>
      <c r="BT699">
        <v>0</v>
      </c>
      <c r="BU699">
        <v>0</v>
      </c>
      <c r="CE699" t="str">
        <f>"15:44:56.385"</f>
        <v>15:44:56.385</v>
      </c>
      <c r="CF699">
        <v>384558400</v>
      </c>
      <c r="CS699">
        <v>0</v>
      </c>
      <c r="CT699">
        <v>2</v>
      </c>
      <c r="CU699">
        <v>0</v>
      </c>
      <c r="CV699">
        <v>2</v>
      </c>
      <c r="CW699">
        <v>0</v>
      </c>
      <c r="CX699">
        <v>5</v>
      </c>
      <c r="CY699">
        <v>7</v>
      </c>
      <c r="CZ699" t="s">
        <v>133</v>
      </c>
      <c r="DA699">
        <v>125</v>
      </c>
      <c r="DB699">
        <v>0</v>
      </c>
      <c r="DC699" t="s">
        <v>134</v>
      </c>
      <c r="DD699" t="s">
        <v>135</v>
      </c>
      <c r="DG699">
        <v>3874849</v>
      </c>
      <c r="DI699">
        <v>0</v>
      </c>
      <c r="DJ699">
        <v>0</v>
      </c>
      <c r="DK699">
        <v>0</v>
      </c>
      <c r="DL699">
        <v>0</v>
      </c>
      <c r="DM699">
        <v>0</v>
      </c>
      <c r="DN699">
        <v>0</v>
      </c>
      <c r="DO699">
        <v>0</v>
      </c>
      <c r="DP699">
        <v>0</v>
      </c>
      <c r="DQ699">
        <v>0</v>
      </c>
      <c r="DR699">
        <v>0</v>
      </c>
      <c r="DS699">
        <v>0</v>
      </c>
    </row>
    <row r="700" spans="1:123" x14ac:dyDescent="0.25">
      <c r="A700" t="str">
        <f>"04/17/2026 15:44:56.608"</f>
        <v>04/17/2026 15:44:56.608</v>
      </c>
      <c r="C700" t="str">
        <f t="shared" si="61"/>
        <v>FFDFD3C0</v>
      </c>
      <c r="D700" t="s">
        <v>124</v>
      </c>
      <c r="E700" t="str">
        <f>"03"</f>
        <v>03</v>
      </c>
      <c r="H700">
        <v>160</v>
      </c>
      <c r="I700" t="s">
        <v>125</v>
      </c>
      <c r="J700" t="s">
        <v>126</v>
      </c>
      <c r="K700">
        <v>0</v>
      </c>
      <c r="L700">
        <v>3</v>
      </c>
      <c r="M700">
        <v>0</v>
      </c>
      <c r="N700">
        <v>2</v>
      </c>
      <c r="O700">
        <v>1</v>
      </c>
      <c r="P700">
        <v>0</v>
      </c>
      <c r="Q700">
        <v>0</v>
      </c>
      <c r="R700" t="s">
        <v>127</v>
      </c>
      <c r="S700" t="str">
        <f>"15:44:56.383"</f>
        <v>15:44:56.383</v>
      </c>
      <c r="T700" t="str">
        <f>"15:44:56.183"</f>
        <v>15:44:56.183</v>
      </c>
      <c r="U700" t="str">
        <f t="shared" si="56"/>
        <v>A55E09</v>
      </c>
      <c r="V700">
        <v>0</v>
      </c>
      <c r="W700">
        <v>0</v>
      </c>
      <c r="X700">
        <v>2</v>
      </c>
      <c r="Y700">
        <v>0</v>
      </c>
      <c r="AA700">
        <v>0</v>
      </c>
      <c r="AB700">
        <v>9</v>
      </c>
      <c r="AC700">
        <v>3</v>
      </c>
      <c r="AD700">
        <v>0</v>
      </c>
      <c r="AE700">
        <v>9</v>
      </c>
      <c r="AF700" t="s">
        <v>128</v>
      </c>
      <c r="AG700">
        <v>0</v>
      </c>
      <c r="AH700">
        <v>0</v>
      </c>
      <c r="AI700">
        <v>1</v>
      </c>
      <c r="AJ700">
        <v>0</v>
      </c>
      <c r="AK700" t="s">
        <v>447</v>
      </c>
      <c r="AL700">
        <v>33.765878999999998</v>
      </c>
      <c r="AM700" t="s">
        <v>460</v>
      </c>
      <c r="AN700">
        <v>-101.225452</v>
      </c>
      <c r="AO700">
        <v>100</v>
      </c>
      <c r="AP700">
        <v>3200</v>
      </c>
      <c r="AQ700" t="s">
        <v>131</v>
      </c>
      <c r="AR700">
        <v>-27</v>
      </c>
      <c r="AS700">
        <v>5</v>
      </c>
      <c r="AT700">
        <v>512</v>
      </c>
      <c r="BB700" t="str">
        <f t="shared" si="62"/>
        <v>1200</v>
      </c>
      <c r="BC700">
        <v>1</v>
      </c>
      <c r="BD700" t="str">
        <f t="shared" si="63"/>
        <v xml:space="preserve">N445JS  </v>
      </c>
      <c r="BE700">
        <v>7</v>
      </c>
      <c r="BG700">
        <v>0</v>
      </c>
      <c r="BH700">
        <v>0</v>
      </c>
      <c r="BI700">
        <v>0</v>
      </c>
      <c r="BJ700">
        <v>2975</v>
      </c>
      <c r="BK700">
        <v>-225</v>
      </c>
      <c r="BL700" t="s">
        <v>132</v>
      </c>
      <c r="BM700">
        <v>1</v>
      </c>
      <c r="BN700">
        <v>1</v>
      </c>
      <c r="BO700">
        <v>1</v>
      </c>
      <c r="BP700">
        <v>0</v>
      </c>
      <c r="BT700">
        <v>0</v>
      </c>
      <c r="BU700">
        <v>0</v>
      </c>
      <c r="CE700" t="str">
        <f>"15:44:56.385"</f>
        <v>15:44:56.385</v>
      </c>
      <c r="CF700">
        <v>384558400</v>
      </c>
      <c r="CS700">
        <v>0</v>
      </c>
      <c r="CT700">
        <v>2</v>
      </c>
      <c r="CU700">
        <v>0</v>
      </c>
      <c r="CV700">
        <v>2</v>
      </c>
      <c r="CW700">
        <v>0</v>
      </c>
      <c r="CX700">
        <v>5</v>
      </c>
      <c r="CY700">
        <v>7</v>
      </c>
      <c r="CZ700" t="s">
        <v>133</v>
      </c>
      <c r="DA700">
        <v>125</v>
      </c>
      <c r="DB700">
        <v>0</v>
      </c>
      <c r="DC700" t="s">
        <v>134</v>
      </c>
      <c r="DD700" t="s">
        <v>135</v>
      </c>
      <c r="DG700">
        <v>3874849</v>
      </c>
      <c r="DI700">
        <v>0</v>
      </c>
      <c r="DJ700">
        <v>0</v>
      </c>
      <c r="DK700">
        <v>1</v>
      </c>
      <c r="DL700">
        <v>0</v>
      </c>
      <c r="DM700">
        <v>0</v>
      </c>
      <c r="DN700">
        <v>0</v>
      </c>
      <c r="DO700">
        <v>0</v>
      </c>
      <c r="DP700">
        <v>0</v>
      </c>
      <c r="DQ700">
        <v>0</v>
      </c>
      <c r="DR700">
        <v>0</v>
      </c>
      <c r="DS700">
        <v>0</v>
      </c>
    </row>
    <row r="701" spans="1:123" x14ac:dyDescent="0.25">
      <c r="A701" t="str">
        <f>"04/17/2026 15:44:56.634"</f>
        <v>04/17/2026 15:44:56.634</v>
      </c>
      <c r="C701" t="str">
        <f t="shared" si="61"/>
        <v>FFDFD3C0</v>
      </c>
      <c r="D701" t="s">
        <v>136</v>
      </c>
      <c r="E701" t="str">
        <f>"0E"</f>
        <v>0E</v>
      </c>
      <c r="F701">
        <v>1014</v>
      </c>
      <c r="G701" t="s">
        <v>125</v>
      </c>
      <c r="J701" t="s">
        <v>137</v>
      </c>
      <c r="K701">
        <v>0</v>
      </c>
      <c r="L701">
        <v>3</v>
      </c>
      <c r="M701">
        <v>0</v>
      </c>
      <c r="N701">
        <v>2</v>
      </c>
      <c r="O701">
        <v>1</v>
      </c>
      <c r="P701">
        <v>0</v>
      </c>
      <c r="Q701">
        <v>0</v>
      </c>
      <c r="R701" t="s">
        <v>127</v>
      </c>
      <c r="S701" t="str">
        <f>"15:44:56.383"</f>
        <v>15:44:56.383</v>
      </c>
      <c r="T701" t="str">
        <f>"15:44:56.183"</f>
        <v>15:44:56.183</v>
      </c>
      <c r="U701" t="str">
        <f t="shared" si="56"/>
        <v>A55E09</v>
      </c>
      <c r="V701">
        <v>0</v>
      </c>
      <c r="W701">
        <v>0</v>
      </c>
      <c r="X701">
        <v>2</v>
      </c>
      <c r="Y701">
        <v>0</v>
      </c>
      <c r="AA701">
        <v>0</v>
      </c>
      <c r="AB701">
        <v>9</v>
      </c>
      <c r="AC701">
        <v>3</v>
      </c>
      <c r="AD701">
        <v>0</v>
      </c>
      <c r="AE701">
        <v>9</v>
      </c>
      <c r="AF701" t="s">
        <v>128</v>
      </c>
      <c r="AG701">
        <v>0</v>
      </c>
      <c r="AH701">
        <v>0</v>
      </c>
      <c r="AI701">
        <v>1</v>
      </c>
      <c r="AJ701">
        <v>0</v>
      </c>
      <c r="AK701" t="s">
        <v>447</v>
      </c>
      <c r="AL701">
        <v>33.765878999999998</v>
      </c>
      <c r="AM701" t="s">
        <v>460</v>
      </c>
      <c r="AN701">
        <v>-101.225452</v>
      </c>
      <c r="AO701">
        <v>100</v>
      </c>
      <c r="AP701">
        <v>3200</v>
      </c>
      <c r="AQ701" t="s">
        <v>131</v>
      </c>
      <c r="AR701">
        <v>-27</v>
      </c>
      <c r="AS701">
        <v>5</v>
      </c>
      <c r="AT701">
        <v>512</v>
      </c>
      <c r="BB701" t="str">
        <f t="shared" si="62"/>
        <v>1200</v>
      </c>
      <c r="BC701">
        <v>1</v>
      </c>
      <c r="BD701" t="str">
        <f t="shared" si="63"/>
        <v xml:space="preserve">N445JS  </v>
      </c>
      <c r="BE701">
        <v>7</v>
      </c>
      <c r="BG701">
        <v>0</v>
      </c>
      <c r="BH701">
        <v>0</v>
      </c>
      <c r="BI701">
        <v>0</v>
      </c>
      <c r="BJ701">
        <v>2975</v>
      </c>
      <c r="BK701">
        <v>-225</v>
      </c>
      <c r="BL701" t="s">
        <v>132</v>
      </c>
      <c r="BM701">
        <v>1</v>
      </c>
      <c r="BN701">
        <v>1</v>
      </c>
      <c r="BO701">
        <v>1</v>
      </c>
      <c r="BP701">
        <v>0</v>
      </c>
      <c r="BT701">
        <v>0</v>
      </c>
      <c r="BU701">
        <v>0</v>
      </c>
      <c r="CE701" t="str">
        <f>"15:44:56.385"</f>
        <v>15:44:56.385</v>
      </c>
      <c r="CF701">
        <v>384558400</v>
      </c>
      <c r="CS701">
        <v>0</v>
      </c>
      <c r="CT701">
        <v>2</v>
      </c>
      <c r="CU701">
        <v>0</v>
      </c>
      <c r="CV701">
        <v>2</v>
      </c>
      <c r="CW701">
        <v>0</v>
      </c>
      <c r="CX701">
        <v>5</v>
      </c>
      <c r="CY701">
        <v>7</v>
      </c>
      <c r="CZ701" t="s">
        <v>133</v>
      </c>
      <c r="DA701">
        <v>125</v>
      </c>
      <c r="DB701">
        <v>0</v>
      </c>
      <c r="DC701" t="s">
        <v>134</v>
      </c>
      <c r="DD701" t="s">
        <v>135</v>
      </c>
      <c r="DG701">
        <v>3874849</v>
      </c>
      <c r="DI701">
        <v>0</v>
      </c>
      <c r="DJ701">
        <v>0</v>
      </c>
      <c r="DK701">
        <v>1</v>
      </c>
      <c r="DL701">
        <v>0</v>
      </c>
      <c r="DM701">
        <v>0</v>
      </c>
      <c r="DN701">
        <v>0</v>
      </c>
      <c r="DO701">
        <v>0</v>
      </c>
      <c r="DP701">
        <v>0</v>
      </c>
      <c r="DQ701">
        <v>0</v>
      </c>
      <c r="DR701">
        <v>0</v>
      </c>
      <c r="DS701">
        <v>0</v>
      </c>
    </row>
    <row r="702" spans="1:123" x14ac:dyDescent="0.25">
      <c r="A702" t="str">
        <f>"04/17/2026 15:44:56.646"</f>
        <v>04/17/2026 15:44:56.646</v>
      </c>
      <c r="C702" t="str">
        <f t="shared" si="61"/>
        <v>FFDFD3C0</v>
      </c>
      <c r="D702" t="s">
        <v>136</v>
      </c>
      <c r="E702" t="str">
        <f>"0F"</f>
        <v>0F</v>
      </c>
      <c r="F702">
        <v>1015</v>
      </c>
      <c r="G702" t="s">
        <v>138</v>
      </c>
      <c r="J702" t="s">
        <v>137</v>
      </c>
      <c r="K702">
        <v>0</v>
      </c>
      <c r="L702">
        <v>3</v>
      </c>
      <c r="M702">
        <v>0</v>
      </c>
      <c r="N702">
        <v>2</v>
      </c>
      <c r="O702">
        <v>1</v>
      </c>
      <c r="P702">
        <v>0</v>
      </c>
      <c r="Q702">
        <v>0</v>
      </c>
      <c r="R702" t="s">
        <v>127</v>
      </c>
      <c r="S702" t="str">
        <f>"15:44:56.383"</f>
        <v>15:44:56.383</v>
      </c>
      <c r="T702" t="str">
        <f>"15:44:56.183"</f>
        <v>15:44:56.183</v>
      </c>
      <c r="U702" t="str">
        <f t="shared" si="56"/>
        <v>A55E09</v>
      </c>
      <c r="V702">
        <v>0</v>
      </c>
      <c r="W702">
        <v>0</v>
      </c>
      <c r="X702">
        <v>2</v>
      </c>
      <c r="Y702">
        <v>0</v>
      </c>
      <c r="AA702">
        <v>0</v>
      </c>
      <c r="AB702">
        <v>9</v>
      </c>
      <c r="AC702">
        <v>3</v>
      </c>
      <c r="AD702">
        <v>0</v>
      </c>
      <c r="AE702">
        <v>9</v>
      </c>
      <c r="AF702" t="s">
        <v>128</v>
      </c>
      <c r="AG702">
        <v>0</v>
      </c>
      <c r="AH702">
        <v>0</v>
      </c>
      <c r="AI702">
        <v>1</v>
      </c>
      <c r="AJ702">
        <v>0</v>
      </c>
      <c r="AK702" t="s">
        <v>447</v>
      </c>
      <c r="AL702">
        <v>33.765878999999998</v>
      </c>
      <c r="AM702" t="s">
        <v>460</v>
      </c>
      <c r="AN702">
        <v>-101.225452</v>
      </c>
      <c r="AO702">
        <v>100</v>
      </c>
      <c r="AP702">
        <v>3200</v>
      </c>
      <c r="AQ702" t="s">
        <v>131</v>
      </c>
      <c r="AR702">
        <v>-27</v>
      </c>
      <c r="AS702">
        <v>5</v>
      </c>
      <c r="AT702">
        <v>512</v>
      </c>
      <c r="BB702" t="str">
        <f t="shared" si="62"/>
        <v>1200</v>
      </c>
      <c r="BC702">
        <v>1</v>
      </c>
      <c r="BD702" t="str">
        <f t="shared" si="63"/>
        <v xml:space="preserve">N445JS  </v>
      </c>
      <c r="BE702">
        <v>7</v>
      </c>
      <c r="BG702">
        <v>0</v>
      </c>
      <c r="BH702">
        <v>0</v>
      </c>
      <c r="BI702">
        <v>0</v>
      </c>
      <c r="BJ702">
        <v>2975</v>
      </c>
      <c r="BK702">
        <v>-225</v>
      </c>
      <c r="BL702" t="s">
        <v>132</v>
      </c>
      <c r="BM702">
        <v>1</v>
      </c>
      <c r="BN702">
        <v>1</v>
      </c>
      <c r="BO702">
        <v>1</v>
      </c>
      <c r="BP702">
        <v>0</v>
      </c>
      <c r="BT702">
        <v>0</v>
      </c>
      <c r="BU702">
        <v>0</v>
      </c>
      <c r="CE702" t="str">
        <f>"15:44:56.385"</f>
        <v>15:44:56.385</v>
      </c>
      <c r="CF702">
        <v>384558400</v>
      </c>
      <c r="CS702">
        <v>0</v>
      </c>
      <c r="CT702">
        <v>2</v>
      </c>
      <c r="CU702">
        <v>0</v>
      </c>
      <c r="CV702">
        <v>2</v>
      </c>
      <c r="CW702">
        <v>0</v>
      </c>
      <c r="CX702">
        <v>5</v>
      </c>
      <c r="CY702">
        <v>7</v>
      </c>
      <c r="CZ702" t="s">
        <v>133</v>
      </c>
      <c r="DA702">
        <v>125</v>
      </c>
      <c r="DB702">
        <v>0</v>
      </c>
      <c r="DC702" t="s">
        <v>134</v>
      </c>
      <c r="DD702" t="s">
        <v>135</v>
      </c>
      <c r="DG702">
        <v>3874849</v>
      </c>
      <c r="DI702">
        <v>0</v>
      </c>
      <c r="DJ702">
        <v>0</v>
      </c>
      <c r="DK702">
        <v>1</v>
      </c>
      <c r="DL702">
        <v>0</v>
      </c>
      <c r="DM702">
        <v>0</v>
      </c>
      <c r="DN702">
        <v>0</v>
      </c>
      <c r="DO702">
        <v>0</v>
      </c>
      <c r="DP702">
        <v>0</v>
      </c>
      <c r="DQ702">
        <v>0</v>
      </c>
      <c r="DR702">
        <v>0</v>
      </c>
      <c r="DS702">
        <v>0</v>
      </c>
    </row>
    <row r="703" spans="1:123" x14ac:dyDescent="0.25">
      <c r="A703" t="str">
        <f>"04/17/2026 15:44:57.605"</f>
        <v>04/17/2026 15:44:57.605</v>
      </c>
      <c r="C703" t="str">
        <f t="shared" si="61"/>
        <v>FFDFD3C0</v>
      </c>
      <c r="D703" t="s">
        <v>139</v>
      </c>
      <c r="E703" t="str">
        <f>"28"</f>
        <v>28</v>
      </c>
      <c r="H703">
        <v>140</v>
      </c>
      <c r="I703" t="s">
        <v>140</v>
      </c>
      <c r="J703" t="s">
        <v>141</v>
      </c>
      <c r="K703">
        <v>0</v>
      </c>
      <c r="L703">
        <v>3</v>
      </c>
      <c r="M703">
        <v>0</v>
      </c>
      <c r="N703">
        <v>2</v>
      </c>
      <c r="O703">
        <v>1</v>
      </c>
      <c r="P703">
        <v>0</v>
      </c>
      <c r="Q703">
        <v>0</v>
      </c>
      <c r="R703" t="s">
        <v>127</v>
      </c>
      <c r="S703" t="str">
        <f>"15:44:57.344"</f>
        <v>15:44:57.344</v>
      </c>
      <c r="T703" t="str">
        <f>"15:44:56.644"</f>
        <v>15:44:56.644</v>
      </c>
      <c r="U703" t="str">
        <f t="shared" si="56"/>
        <v>A55E09</v>
      </c>
      <c r="V703">
        <v>0</v>
      </c>
      <c r="W703">
        <v>0</v>
      </c>
      <c r="X703">
        <v>2</v>
      </c>
      <c r="Y703">
        <v>0</v>
      </c>
      <c r="AA703">
        <v>0</v>
      </c>
      <c r="AB703">
        <v>9</v>
      </c>
      <c r="AC703">
        <v>3</v>
      </c>
      <c r="AD703">
        <v>0</v>
      </c>
      <c r="AE703">
        <v>9</v>
      </c>
      <c r="AF703" t="s">
        <v>128</v>
      </c>
      <c r="AG703">
        <v>0</v>
      </c>
      <c r="AH703">
        <v>0</v>
      </c>
      <c r="AI703">
        <v>1</v>
      </c>
      <c r="AJ703">
        <v>0</v>
      </c>
      <c r="AK703" t="s">
        <v>445</v>
      </c>
      <c r="AL703">
        <v>33.765922000000003</v>
      </c>
      <c r="AM703" t="s">
        <v>461</v>
      </c>
      <c r="AN703">
        <v>-101.22556</v>
      </c>
      <c r="AO703">
        <v>100</v>
      </c>
      <c r="AP703">
        <v>3200</v>
      </c>
      <c r="AQ703" t="s">
        <v>131</v>
      </c>
      <c r="AR703">
        <v>-27</v>
      </c>
      <c r="AS703">
        <v>5</v>
      </c>
      <c r="AT703">
        <v>448</v>
      </c>
      <c r="BB703" t="str">
        <f t="shared" si="62"/>
        <v>1200</v>
      </c>
      <c r="BC703">
        <v>1</v>
      </c>
      <c r="BD703" t="str">
        <f t="shared" si="63"/>
        <v xml:space="preserve">N445JS  </v>
      </c>
      <c r="BE703">
        <v>7</v>
      </c>
      <c r="BG703">
        <v>0</v>
      </c>
      <c r="BH703">
        <v>0</v>
      </c>
      <c r="BI703">
        <v>0</v>
      </c>
      <c r="BJ703">
        <v>2975</v>
      </c>
      <c r="BK703">
        <v>-225</v>
      </c>
      <c r="BL703" t="s">
        <v>132</v>
      </c>
      <c r="BM703">
        <v>1</v>
      </c>
      <c r="BN703">
        <v>1</v>
      </c>
      <c r="BO703">
        <v>1</v>
      </c>
      <c r="BP703">
        <v>0</v>
      </c>
      <c r="BT703">
        <v>0</v>
      </c>
      <c r="BU703">
        <v>0</v>
      </c>
      <c r="CE703" t="str">
        <f>"15:44:57.344"</f>
        <v>15:44:57.344</v>
      </c>
      <c r="CF703">
        <v>344464307</v>
      </c>
      <c r="CS703">
        <v>0</v>
      </c>
      <c r="CT703">
        <v>2</v>
      </c>
      <c r="CU703">
        <v>0</v>
      </c>
      <c r="CV703">
        <v>2</v>
      </c>
      <c r="CW703">
        <v>0</v>
      </c>
      <c r="CX703">
        <v>6</v>
      </c>
      <c r="CY703">
        <v>7</v>
      </c>
      <c r="CZ703" t="s">
        <v>133</v>
      </c>
      <c r="DA703">
        <v>125</v>
      </c>
      <c r="DB703">
        <v>0</v>
      </c>
      <c r="DC703" t="s">
        <v>134</v>
      </c>
      <c r="DD703" t="s">
        <v>135</v>
      </c>
      <c r="DG703">
        <v>3875944</v>
      </c>
      <c r="DI703">
        <v>0</v>
      </c>
      <c r="DJ703">
        <v>0</v>
      </c>
      <c r="DK703">
        <v>0</v>
      </c>
      <c r="DL703">
        <v>0</v>
      </c>
      <c r="DM703">
        <v>0</v>
      </c>
      <c r="DN703">
        <v>0</v>
      </c>
      <c r="DO703">
        <v>0</v>
      </c>
      <c r="DP703">
        <v>0</v>
      </c>
      <c r="DQ703">
        <v>0</v>
      </c>
      <c r="DR703">
        <v>0</v>
      </c>
      <c r="DS703">
        <v>0</v>
      </c>
    </row>
    <row r="704" spans="1:123" x14ac:dyDescent="0.25">
      <c r="A704" t="str">
        <f>"04/17/2026 15:44:57.610"</f>
        <v>04/17/2026 15:44:57.610</v>
      </c>
      <c r="C704" t="str">
        <f t="shared" si="61"/>
        <v>FFDFD3C0</v>
      </c>
      <c r="D704" t="s">
        <v>124</v>
      </c>
      <c r="E704" t="str">
        <f>"03"</f>
        <v>03</v>
      </c>
      <c r="H704">
        <v>160</v>
      </c>
      <c r="I704" t="s">
        <v>125</v>
      </c>
      <c r="J704" t="s">
        <v>126</v>
      </c>
      <c r="K704">
        <v>0</v>
      </c>
      <c r="L704">
        <v>3</v>
      </c>
      <c r="M704">
        <v>0</v>
      </c>
      <c r="N704">
        <v>2</v>
      </c>
      <c r="O704">
        <v>1</v>
      </c>
      <c r="P704">
        <v>0</v>
      </c>
      <c r="Q704">
        <v>0</v>
      </c>
      <c r="R704" t="s">
        <v>127</v>
      </c>
      <c r="S704" t="str">
        <f>"15:44:57.344"</f>
        <v>15:44:57.344</v>
      </c>
      <c r="T704" t="str">
        <f>"15:44:56.644"</f>
        <v>15:44:56.644</v>
      </c>
      <c r="U704" t="str">
        <f t="shared" si="56"/>
        <v>A55E09</v>
      </c>
      <c r="V704">
        <v>0</v>
      </c>
      <c r="W704">
        <v>0</v>
      </c>
      <c r="X704">
        <v>2</v>
      </c>
      <c r="Y704">
        <v>0</v>
      </c>
      <c r="AA704">
        <v>0</v>
      </c>
      <c r="AB704">
        <v>9</v>
      </c>
      <c r="AC704">
        <v>3</v>
      </c>
      <c r="AD704">
        <v>0</v>
      </c>
      <c r="AE704">
        <v>9</v>
      </c>
      <c r="AF704" t="s">
        <v>128</v>
      </c>
      <c r="AG704">
        <v>0</v>
      </c>
      <c r="AH704">
        <v>0</v>
      </c>
      <c r="AI704">
        <v>1</v>
      </c>
      <c r="AJ704">
        <v>0</v>
      </c>
      <c r="AK704" t="s">
        <v>445</v>
      </c>
      <c r="AL704">
        <v>33.765922000000003</v>
      </c>
      <c r="AM704" t="s">
        <v>461</v>
      </c>
      <c r="AN704">
        <v>-101.22556</v>
      </c>
      <c r="AO704">
        <v>100</v>
      </c>
      <c r="AP704">
        <v>3200</v>
      </c>
      <c r="AQ704" t="s">
        <v>131</v>
      </c>
      <c r="AR704">
        <v>-27</v>
      </c>
      <c r="AS704">
        <v>5</v>
      </c>
      <c r="AT704">
        <v>448</v>
      </c>
      <c r="BB704" t="str">
        <f t="shared" si="62"/>
        <v>1200</v>
      </c>
      <c r="BC704">
        <v>1</v>
      </c>
      <c r="BD704" t="str">
        <f t="shared" si="63"/>
        <v xml:space="preserve">N445JS  </v>
      </c>
      <c r="BE704">
        <v>7</v>
      </c>
      <c r="BG704">
        <v>0</v>
      </c>
      <c r="BH704">
        <v>0</v>
      </c>
      <c r="BI704">
        <v>0</v>
      </c>
      <c r="BJ704">
        <v>2975</v>
      </c>
      <c r="BK704">
        <v>-225</v>
      </c>
      <c r="BL704" t="s">
        <v>132</v>
      </c>
      <c r="BM704">
        <v>1</v>
      </c>
      <c r="BN704">
        <v>1</v>
      </c>
      <c r="BO704">
        <v>1</v>
      </c>
      <c r="BP704">
        <v>0</v>
      </c>
      <c r="BT704">
        <v>0</v>
      </c>
      <c r="BU704">
        <v>0</v>
      </c>
      <c r="CE704" t="str">
        <f>"15:44:57.344"</f>
        <v>15:44:57.344</v>
      </c>
      <c r="CF704">
        <v>344464307</v>
      </c>
      <c r="CS704">
        <v>0</v>
      </c>
      <c r="CT704">
        <v>2</v>
      </c>
      <c r="CU704">
        <v>0</v>
      </c>
      <c r="CV704">
        <v>2</v>
      </c>
      <c r="CW704">
        <v>0</v>
      </c>
      <c r="CX704">
        <v>6</v>
      </c>
      <c r="CY704">
        <v>7</v>
      </c>
      <c r="CZ704" t="s">
        <v>133</v>
      </c>
      <c r="DA704">
        <v>125</v>
      </c>
      <c r="DB704">
        <v>0</v>
      </c>
      <c r="DC704" t="s">
        <v>134</v>
      </c>
      <c r="DD704" t="s">
        <v>135</v>
      </c>
      <c r="DG704">
        <v>3875944</v>
      </c>
      <c r="DI704">
        <v>0</v>
      </c>
      <c r="DJ704">
        <v>0</v>
      </c>
      <c r="DK704">
        <v>1</v>
      </c>
      <c r="DL704">
        <v>0</v>
      </c>
      <c r="DM704">
        <v>0</v>
      </c>
      <c r="DN704">
        <v>0</v>
      </c>
      <c r="DO704">
        <v>0</v>
      </c>
      <c r="DP704">
        <v>0</v>
      </c>
      <c r="DQ704">
        <v>0</v>
      </c>
      <c r="DR704">
        <v>0</v>
      </c>
      <c r="DS704">
        <v>0</v>
      </c>
    </row>
    <row r="705" spans="1:123" x14ac:dyDescent="0.25">
      <c r="A705" t="str">
        <f>"04/17/2026 15:44:57.636"</f>
        <v>04/17/2026 15:44:57.636</v>
      </c>
      <c r="C705" t="str">
        <f t="shared" si="61"/>
        <v>FFDFD3C0</v>
      </c>
      <c r="D705" t="s">
        <v>136</v>
      </c>
      <c r="E705" t="str">
        <f>"0E"</f>
        <v>0E</v>
      </c>
      <c r="F705">
        <v>1014</v>
      </c>
      <c r="G705" t="s">
        <v>125</v>
      </c>
      <c r="J705" t="s">
        <v>137</v>
      </c>
      <c r="K705">
        <v>0</v>
      </c>
      <c r="L705">
        <v>3</v>
      </c>
      <c r="M705">
        <v>0</v>
      </c>
      <c r="N705">
        <v>2</v>
      </c>
      <c r="O705">
        <v>1</v>
      </c>
      <c r="P705">
        <v>0</v>
      </c>
      <c r="Q705">
        <v>0</v>
      </c>
      <c r="R705" t="s">
        <v>127</v>
      </c>
      <c r="S705" t="str">
        <f>"15:44:57.344"</f>
        <v>15:44:57.344</v>
      </c>
      <c r="T705" t="str">
        <f>"15:44:56.644"</f>
        <v>15:44:56.644</v>
      </c>
      <c r="U705" t="str">
        <f t="shared" si="56"/>
        <v>A55E09</v>
      </c>
      <c r="V705">
        <v>0</v>
      </c>
      <c r="W705">
        <v>0</v>
      </c>
      <c r="X705">
        <v>2</v>
      </c>
      <c r="Y705">
        <v>0</v>
      </c>
      <c r="AA705">
        <v>0</v>
      </c>
      <c r="AB705">
        <v>9</v>
      </c>
      <c r="AC705">
        <v>3</v>
      </c>
      <c r="AD705">
        <v>0</v>
      </c>
      <c r="AE705">
        <v>9</v>
      </c>
      <c r="AF705" t="s">
        <v>128</v>
      </c>
      <c r="AG705">
        <v>0</v>
      </c>
      <c r="AH705">
        <v>0</v>
      </c>
      <c r="AI705">
        <v>1</v>
      </c>
      <c r="AJ705">
        <v>0</v>
      </c>
      <c r="AK705" t="s">
        <v>445</v>
      </c>
      <c r="AL705">
        <v>33.765922000000003</v>
      </c>
      <c r="AM705" t="s">
        <v>461</v>
      </c>
      <c r="AN705">
        <v>-101.22556</v>
      </c>
      <c r="AO705">
        <v>100</v>
      </c>
      <c r="AP705">
        <v>3200</v>
      </c>
      <c r="AQ705" t="s">
        <v>131</v>
      </c>
      <c r="AR705">
        <v>-27</v>
      </c>
      <c r="AS705">
        <v>5</v>
      </c>
      <c r="AT705">
        <v>448</v>
      </c>
      <c r="BB705" t="str">
        <f t="shared" si="62"/>
        <v>1200</v>
      </c>
      <c r="BC705">
        <v>1</v>
      </c>
      <c r="BD705" t="str">
        <f t="shared" si="63"/>
        <v xml:space="preserve">N445JS  </v>
      </c>
      <c r="BE705">
        <v>7</v>
      </c>
      <c r="BG705">
        <v>0</v>
      </c>
      <c r="BH705">
        <v>0</v>
      </c>
      <c r="BI705">
        <v>0</v>
      </c>
      <c r="BJ705">
        <v>2975</v>
      </c>
      <c r="BK705">
        <v>-225</v>
      </c>
      <c r="BL705" t="s">
        <v>132</v>
      </c>
      <c r="BM705">
        <v>1</v>
      </c>
      <c r="BN705">
        <v>1</v>
      </c>
      <c r="BO705">
        <v>1</v>
      </c>
      <c r="BP705">
        <v>0</v>
      </c>
      <c r="BT705">
        <v>0</v>
      </c>
      <c r="BU705">
        <v>0</v>
      </c>
      <c r="CE705" t="str">
        <f>"15:44:57.344"</f>
        <v>15:44:57.344</v>
      </c>
      <c r="CF705">
        <v>344464307</v>
      </c>
      <c r="CS705">
        <v>0</v>
      </c>
      <c r="CT705">
        <v>2</v>
      </c>
      <c r="CU705">
        <v>0</v>
      </c>
      <c r="CV705">
        <v>2</v>
      </c>
      <c r="CW705">
        <v>0</v>
      </c>
      <c r="CX705">
        <v>6</v>
      </c>
      <c r="CY705">
        <v>7</v>
      </c>
      <c r="CZ705" t="s">
        <v>133</v>
      </c>
      <c r="DA705">
        <v>125</v>
      </c>
      <c r="DB705">
        <v>0</v>
      </c>
      <c r="DC705" t="s">
        <v>134</v>
      </c>
      <c r="DD705" t="s">
        <v>135</v>
      </c>
      <c r="DG705">
        <v>3875944</v>
      </c>
      <c r="DI705">
        <v>0</v>
      </c>
      <c r="DJ705">
        <v>0</v>
      </c>
      <c r="DK705">
        <v>1</v>
      </c>
      <c r="DL705">
        <v>0</v>
      </c>
      <c r="DM705">
        <v>0</v>
      </c>
      <c r="DN705">
        <v>0</v>
      </c>
      <c r="DO705">
        <v>0</v>
      </c>
      <c r="DP705">
        <v>0</v>
      </c>
      <c r="DQ705">
        <v>0</v>
      </c>
      <c r="DR705">
        <v>0</v>
      </c>
      <c r="DS705">
        <v>0</v>
      </c>
    </row>
    <row r="706" spans="1:123" x14ac:dyDescent="0.25">
      <c r="A706" t="str">
        <f>"04/17/2026 15:44:57.648"</f>
        <v>04/17/2026 15:44:57.648</v>
      </c>
      <c r="C706" t="str">
        <f t="shared" si="61"/>
        <v>FFDFD3C0</v>
      </c>
      <c r="D706" t="s">
        <v>136</v>
      </c>
      <c r="E706" t="str">
        <f>"0F"</f>
        <v>0F</v>
      </c>
      <c r="F706">
        <v>1015</v>
      </c>
      <c r="G706" t="s">
        <v>138</v>
      </c>
      <c r="J706" t="s">
        <v>137</v>
      </c>
      <c r="K706">
        <v>0</v>
      </c>
      <c r="L706">
        <v>3</v>
      </c>
      <c r="M706">
        <v>0</v>
      </c>
      <c r="N706">
        <v>2</v>
      </c>
      <c r="O706">
        <v>1</v>
      </c>
      <c r="P706">
        <v>0</v>
      </c>
      <c r="Q706">
        <v>0</v>
      </c>
      <c r="R706" t="s">
        <v>127</v>
      </c>
      <c r="S706" t="str">
        <f>"15:44:57.344"</f>
        <v>15:44:57.344</v>
      </c>
      <c r="T706" t="str">
        <f>"15:44:56.644"</f>
        <v>15:44:56.644</v>
      </c>
      <c r="U706" t="str">
        <f t="shared" ref="U706:U769" si="64">"A55E09"</f>
        <v>A55E09</v>
      </c>
      <c r="V706">
        <v>0</v>
      </c>
      <c r="W706">
        <v>0</v>
      </c>
      <c r="X706">
        <v>2</v>
      </c>
      <c r="Y706">
        <v>0</v>
      </c>
      <c r="AA706">
        <v>0</v>
      </c>
      <c r="AB706">
        <v>9</v>
      </c>
      <c r="AC706">
        <v>3</v>
      </c>
      <c r="AD706">
        <v>0</v>
      </c>
      <c r="AE706">
        <v>9</v>
      </c>
      <c r="AF706" t="s">
        <v>128</v>
      </c>
      <c r="AG706">
        <v>0</v>
      </c>
      <c r="AH706">
        <v>0</v>
      </c>
      <c r="AI706">
        <v>1</v>
      </c>
      <c r="AJ706">
        <v>0</v>
      </c>
      <c r="AK706" t="s">
        <v>445</v>
      </c>
      <c r="AL706">
        <v>33.765922000000003</v>
      </c>
      <c r="AM706" t="s">
        <v>461</v>
      </c>
      <c r="AN706">
        <v>-101.22556</v>
      </c>
      <c r="AO706">
        <v>100</v>
      </c>
      <c r="AP706">
        <v>3200</v>
      </c>
      <c r="AQ706" t="s">
        <v>131</v>
      </c>
      <c r="AR706">
        <v>-27</v>
      </c>
      <c r="AS706">
        <v>5</v>
      </c>
      <c r="AT706">
        <v>448</v>
      </c>
      <c r="BB706" t="str">
        <f t="shared" si="62"/>
        <v>1200</v>
      </c>
      <c r="BC706">
        <v>1</v>
      </c>
      <c r="BD706" t="str">
        <f t="shared" si="63"/>
        <v xml:space="preserve">N445JS  </v>
      </c>
      <c r="BE706">
        <v>7</v>
      </c>
      <c r="BG706">
        <v>0</v>
      </c>
      <c r="BH706">
        <v>0</v>
      </c>
      <c r="BI706">
        <v>0</v>
      </c>
      <c r="BJ706">
        <v>2975</v>
      </c>
      <c r="BK706">
        <v>-225</v>
      </c>
      <c r="BL706" t="s">
        <v>132</v>
      </c>
      <c r="BM706">
        <v>1</v>
      </c>
      <c r="BN706">
        <v>1</v>
      </c>
      <c r="BO706">
        <v>1</v>
      </c>
      <c r="BP706">
        <v>0</v>
      </c>
      <c r="BT706">
        <v>0</v>
      </c>
      <c r="BU706">
        <v>0</v>
      </c>
      <c r="CE706" t="str">
        <f>"15:44:57.344"</f>
        <v>15:44:57.344</v>
      </c>
      <c r="CF706">
        <v>344464307</v>
      </c>
      <c r="CS706">
        <v>0</v>
      </c>
      <c r="CT706">
        <v>2</v>
      </c>
      <c r="CU706">
        <v>0</v>
      </c>
      <c r="CV706">
        <v>2</v>
      </c>
      <c r="CW706">
        <v>0</v>
      </c>
      <c r="CX706">
        <v>6</v>
      </c>
      <c r="CY706">
        <v>7</v>
      </c>
      <c r="CZ706" t="s">
        <v>133</v>
      </c>
      <c r="DA706">
        <v>125</v>
      </c>
      <c r="DB706">
        <v>0</v>
      </c>
      <c r="DC706" t="s">
        <v>134</v>
      </c>
      <c r="DD706" t="s">
        <v>135</v>
      </c>
      <c r="DG706">
        <v>3875944</v>
      </c>
      <c r="DI706">
        <v>0</v>
      </c>
      <c r="DJ706">
        <v>0</v>
      </c>
      <c r="DK706">
        <v>1</v>
      </c>
      <c r="DL706">
        <v>0</v>
      </c>
      <c r="DM706">
        <v>0</v>
      </c>
      <c r="DN706">
        <v>0</v>
      </c>
      <c r="DO706">
        <v>0</v>
      </c>
      <c r="DP706">
        <v>0</v>
      </c>
      <c r="DQ706">
        <v>0</v>
      </c>
      <c r="DR706">
        <v>0</v>
      </c>
      <c r="DS706">
        <v>0</v>
      </c>
    </row>
    <row r="707" spans="1:123" x14ac:dyDescent="0.25">
      <c r="A707" t="str">
        <f>"04/17/2026 15:44:58.788"</f>
        <v>04/17/2026 15:44:58.788</v>
      </c>
      <c r="C707" t="str">
        <f t="shared" si="61"/>
        <v>FFDFD3C0</v>
      </c>
      <c r="D707" t="s">
        <v>136</v>
      </c>
      <c r="E707" t="str">
        <f>"0E"</f>
        <v>0E</v>
      </c>
      <c r="F707">
        <v>1014</v>
      </c>
      <c r="G707" t="s">
        <v>125</v>
      </c>
      <c r="J707" t="s">
        <v>137</v>
      </c>
      <c r="K707">
        <v>0</v>
      </c>
      <c r="L707">
        <v>3</v>
      </c>
      <c r="M707">
        <v>0</v>
      </c>
      <c r="N707">
        <v>2</v>
      </c>
      <c r="O707">
        <v>1</v>
      </c>
      <c r="P707">
        <v>0</v>
      </c>
      <c r="Q707">
        <v>0</v>
      </c>
      <c r="R707" t="s">
        <v>127</v>
      </c>
      <c r="S707" t="str">
        <f>"15:44:58.508"</f>
        <v>15:44:58.508</v>
      </c>
      <c r="T707" t="str">
        <f>"15:44:58.208"</f>
        <v>15:44:58.208</v>
      </c>
      <c r="U707" t="str">
        <f t="shared" si="64"/>
        <v>A55E09</v>
      </c>
      <c r="V707">
        <v>0</v>
      </c>
      <c r="W707">
        <v>0</v>
      </c>
      <c r="X707">
        <v>2</v>
      </c>
      <c r="Y707">
        <v>0</v>
      </c>
      <c r="AA707">
        <v>0</v>
      </c>
      <c r="AB707">
        <v>9</v>
      </c>
      <c r="AC707">
        <v>3</v>
      </c>
      <c r="AD707">
        <v>0</v>
      </c>
      <c r="AE707">
        <v>9</v>
      </c>
      <c r="AF707" t="s">
        <v>128</v>
      </c>
      <c r="AG707">
        <v>0</v>
      </c>
      <c r="AH707">
        <v>0</v>
      </c>
      <c r="AI707">
        <v>1</v>
      </c>
      <c r="AJ707">
        <v>0</v>
      </c>
      <c r="AK707" t="s">
        <v>445</v>
      </c>
      <c r="AL707">
        <v>33.765922000000003</v>
      </c>
      <c r="AM707" t="s">
        <v>462</v>
      </c>
      <c r="AN707">
        <v>-101.225731</v>
      </c>
      <c r="AO707">
        <v>100</v>
      </c>
      <c r="AP707">
        <v>3200</v>
      </c>
      <c r="AQ707" t="s">
        <v>131</v>
      </c>
      <c r="AR707">
        <v>-27</v>
      </c>
      <c r="AS707">
        <v>5</v>
      </c>
      <c r="AT707">
        <v>320</v>
      </c>
      <c r="BB707" t="str">
        <f t="shared" si="62"/>
        <v>1200</v>
      </c>
      <c r="BC707">
        <v>1</v>
      </c>
      <c r="BD707" t="str">
        <f t="shared" si="63"/>
        <v xml:space="preserve">N445JS  </v>
      </c>
      <c r="BE707">
        <v>7</v>
      </c>
      <c r="BG707">
        <v>0</v>
      </c>
      <c r="BH707">
        <v>0</v>
      </c>
      <c r="BI707">
        <v>0</v>
      </c>
      <c r="BJ707">
        <v>2975</v>
      </c>
      <c r="BK707">
        <v>-225</v>
      </c>
      <c r="BL707" t="s">
        <v>132</v>
      </c>
      <c r="BM707">
        <v>1</v>
      </c>
      <c r="BN707">
        <v>1</v>
      </c>
      <c r="BO707">
        <v>1</v>
      </c>
      <c r="BP707">
        <v>0</v>
      </c>
      <c r="BT707">
        <v>0</v>
      </c>
      <c r="BU707">
        <v>0</v>
      </c>
      <c r="CE707" t="str">
        <f>"15:44:58.514"</f>
        <v>15:44:58.514</v>
      </c>
      <c r="CF707">
        <v>514349665</v>
      </c>
      <c r="CS707">
        <v>0</v>
      </c>
      <c r="CT707">
        <v>2</v>
      </c>
      <c r="CU707">
        <v>0</v>
      </c>
      <c r="CV707">
        <v>2</v>
      </c>
      <c r="CW707">
        <v>0</v>
      </c>
      <c r="CX707">
        <v>6</v>
      </c>
      <c r="CY707">
        <v>7</v>
      </c>
      <c r="CZ707" t="s">
        <v>133</v>
      </c>
      <c r="DA707">
        <v>125</v>
      </c>
      <c r="DB707">
        <v>1</v>
      </c>
      <c r="DC707" t="s">
        <v>134</v>
      </c>
      <c r="DD707" t="s">
        <v>135</v>
      </c>
      <c r="DG707">
        <v>2899779</v>
      </c>
      <c r="DI707">
        <v>0</v>
      </c>
      <c r="DJ707">
        <v>0</v>
      </c>
      <c r="DK707">
        <v>0</v>
      </c>
      <c r="DL707">
        <v>0</v>
      </c>
      <c r="DM707">
        <v>0</v>
      </c>
      <c r="DN707">
        <v>0</v>
      </c>
      <c r="DO707">
        <v>0</v>
      </c>
      <c r="DP707">
        <v>0</v>
      </c>
      <c r="DQ707">
        <v>0</v>
      </c>
      <c r="DR707">
        <v>0</v>
      </c>
      <c r="DS707">
        <v>0</v>
      </c>
    </row>
    <row r="708" spans="1:123" x14ac:dyDescent="0.25">
      <c r="A708" t="str">
        <f>"04/17/2026 15:44:58.800"</f>
        <v>04/17/2026 15:44:58.800</v>
      </c>
      <c r="C708" t="str">
        <f t="shared" si="61"/>
        <v>FFDFD3C0</v>
      </c>
      <c r="D708" t="s">
        <v>136</v>
      </c>
      <c r="E708" t="str">
        <f>"0F"</f>
        <v>0F</v>
      </c>
      <c r="F708">
        <v>1015</v>
      </c>
      <c r="G708" t="s">
        <v>138</v>
      </c>
      <c r="J708" t="s">
        <v>137</v>
      </c>
      <c r="K708">
        <v>0</v>
      </c>
      <c r="L708">
        <v>3</v>
      </c>
      <c r="M708">
        <v>0</v>
      </c>
      <c r="N708">
        <v>2</v>
      </c>
      <c r="O708">
        <v>1</v>
      </c>
      <c r="P708">
        <v>0</v>
      </c>
      <c r="Q708">
        <v>0</v>
      </c>
      <c r="R708" t="s">
        <v>127</v>
      </c>
      <c r="S708" t="str">
        <f>"15:44:58.508"</f>
        <v>15:44:58.508</v>
      </c>
      <c r="T708" t="str">
        <f>"15:44:58.208"</f>
        <v>15:44:58.208</v>
      </c>
      <c r="U708" t="str">
        <f t="shared" si="64"/>
        <v>A55E09</v>
      </c>
      <c r="V708">
        <v>0</v>
      </c>
      <c r="W708">
        <v>0</v>
      </c>
      <c r="X708">
        <v>2</v>
      </c>
      <c r="Y708">
        <v>0</v>
      </c>
      <c r="AA708">
        <v>0</v>
      </c>
      <c r="AB708">
        <v>9</v>
      </c>
      <c r="AC708">
        <v>3</v>
      </c>
      <c r="AD708">
        <v>0</v>
      </c>
      <c r="AE708">
        <v>9</v>
      </c>
      <c r="AF708" t="s">
        <v>128</v>
      </c>
      <c r="AG708">
        <v>0</v>
      </c>
      <c r="AH708">
        <v>0</v>
      </c>
      <c r="AI708">
        <v>1</v>
      </c>
      <c r="AJ708">
        <v>0</v>
      </c>
      <c r="AK708" t="s">
        <v>445</v>
      </c>
      <c r="AL708">
        <v>33.765922000000003</v>
      </c>
      <c r="AM708" t="s">
        <v>462</v>
      </c>
      <c r="AN708">
        <v>-101.225731</v>
      </c>
      <c r="AO708">
        <v>100</v>
      </c>
      <c r="AP708">
        <v>3200</v>
      </c>
      <c r="AQ708" t="s">
        <v>131</v>
      </c>
      <c r="AR708">
        <v>-27</v>
      </c>
      <c r="AS708">
        <v>5</v>
      </c>
      <c r="AT708">
        <v>320</v>
      </c>
      <c r="BB708" t="str">
        <f t="shared" si="62"/>
        <v>1200</v>
      </c>
      <c r="BC708">
        <v>1</v>
      </c>
      <c r="BD708" t="str">
        <f t="shared" si="63"/>
        <v xml:space="preserve">N445JS  </v>
      </c>
      <c r="BE708">
        <v>7</v>
      </c>
      <c r="BG708">
        <v>0</v>
      </c>
      <c r="BH708">
        <v>0</v>
      </c>
      <c r="BI708">
        <v>0</v>
      </c>
      <c r="BJ708">
        <v>2975</v>
      </c>
      <c r="BK708">
        <v>-225</v>
      </c>
      <c r="BL708" t="s">
        <v>132</v>
      </c>
      <c r="BM708">
        <v>1</v>
      </c>
      <c r="BN708">
        <v>1</v>
      </c>
      <c r="BO708">
        <v>1</v>
      </c>
      <c r="BP708">
        <v>0</v>
      </c>
      <c r="BT708">
        <v>0</v>
      </c>
      <c r="BU708">
        <v>0</v>
      </c>
      <c r="CE708" t="str">
        <f>"15:44:58.514"</f>
        <v>15:44:58.514</v>
      </c>
      <c r="CF708">
        <v>514349665</v>
      </c>
      <c r="CS708">
        <v>0</v>
      </c>
      <c r="CT708">
        <v>2</v>
      </c>
      <c r="CU708">
        <v>0</v>
      </c>
      <c r="CV708">
        <v>2</v>
      </c>
      <c r="CW708">
        <v>0</v>
      </c>
      <c r="CX708">
        <v>6</v>
      </c>
      <c r="CY708">
        <v>7</v>
      </c>
      <c r="CZ708" t="s">
        <v>133</v>
      </c>
      <c r="DA708">
        <v>125</v>
      </c>
      <c r="DB708">
        <v>1</v>
      </c>
      <c r="DC708" t="s">
        <v>134</v>
      </c>
      <c r="DD708" t="s">
        <v>135</v>
      </c>
      <c r="DG708">
        <v>2899779</v>
      </c>
      <c r="DI708">
        <v>0</v>
      </c>
      <c r="DJ708">
        <v>0</v>
      </c>
      <c r="DK708">
        <v>1</v>
      </c>
      <c r="DL708">
        <v>0</v>
      </c>
      <c r="DM708">
        <v>0</v>
      </c>
      <c r="DN708">
        <v>0</v>
      </c>
      <c r="DO708">
        <v>0</v>
      </c>
      <c r="DP708">
        <v>0</v>
      </c>
      <c r="DQ708">
        <v>0</v>
      </c>
      <c r="DR708">
        <v>0</v>
      </c>
      <c r="DS708">
        <v>0</v>
      </c>
    </row>
    <row r="709" spans="1:123" x14ac:dyDescent="0.25">
      <c r="A709" t="str">
        <f>"04/17/2026 15:44:58.807"</f>
        <v>04/17/2026 15:44:58.807</v>
      </c>
      <c r="C709" t="str">
        <f t="shared" si="61"/>
        <v>FFDFD3C0</v>
      </c>
      <c r="D709" t="s">
        <v>139</v>
      </c>
      <c r="E709" t="str">
        <f>"28"</f>
        <v>28</v>
      </c>
      <c r="H709">
        <v>140</v>
      </c>
      <c r="I709" t="s">
        <v>140</v>
      </c>
      <c r="J709" t="s">
        <v>141</v>
      </c>
      <c r="K709">
        <v>0</v>
      </c>
      <c r="L709">
        <v>3</v>
      </c>
      <c r="M709">
        <v>0</v>
      </c>
      <c r="N709">
        <v>2</v>
      </c>
      <c r="O709">
        <v>1</v>
      </c>
      <c r="P709">
        <v>0</v>
      </c>
      <c r="Q709">
        <v>0</v>
      </c>
      <c r="R709" t="s">
        <v>127</v>
      </c>
      <c r="S709" t="str">
        <f>"15:44:58.508"</f>
        <v>15:44:58.508</v>
      </c>
      <c r="T709" t="str">
        <f>"15:44:58.208"</f>
        <v>15:44:58.208</v>
      </c>
      <c r="U709" t="str">
        <f t="shared" si="64"/>
        <v>A55E09</v>
      </c>
      <c r="V709">
        <v>0</v>
      </c>
      <c r="W709">
        <v>0</v>
      </c>
      <c r="X709">
        <v>2</v>
      </c>
      <c r="Y709">
        <v>0</v>
      </c>
      <c r="AA709">
        <v>0</v>
      </c>
      <c r="AB709">
        <v>9</v>
      </c>
      <c r="AC709">
        <v>3</v>
      </c>
      <c r="AD709">
        <v>0</v>
      </c>
      <c r="AE709">
        <v>9</v>
      </c>
      <c r="AF709" t="s">
        <v>128</v>
      </c>
      <c r="AG709">
        <v>0</v>
      </c>
      <c r="AH709">
        <v>0</v>
      </c>
      <c r="AI709">
        <v>1</v>
      </c>
      <c r="AJ709">
        <v>0</v>
      </c>
      <c r="AK709" t="s">
        <v>445</v>
      </c>
      <c r="AL709">
        <v>33.765922000000003</v>
      </c>
      <c r="AM709" t="s">
        <v>462</v>
      </c>
      <c r="AN709">
        <v>-101.225731</v>
      </c>
      <c r="AO709">
        <v>100</v>
      </c>
      <c r="AP709">
        <v>3200</v>
      </c>
      <c r="AQ709" t="s">
        <v>131</v>
      </c>
      <c r="AR709">
        <v>-27</v>
      </c>
      <c r="AS709">
        <v>5</v>
      </c>
      <c r="AT709">
        <v>320</v>
      </c>
      <c r="BB709" t="str">
        <f t="shared" si="62"/>
        <v>1200</v>
      </c>
      <c r="BC709">
        <v>1</v>
      </c>
      <c r="BD709" t="str">
        <f t="shared" si="63"/>
        <v xml:space="preserve">N445JS  </v>
      </c>
      <c r="BE709">
        <v>7</v>
      </c>
      <c r="BG709">
        <v>0</v>
      </c>
      <c r="BH709">
        <v>0</v>
      </c>
      <c r="BI709">
        <v>0</v>
      </c>
      <c r="BJ709">
        <v>2975</v>
      </c>
      <c r="BK709">
        <v>-225</v>
      </c>
      <c r="BL709" t="s">
        <v>132</v>
      </c>
      <c r="BM709">
        <v>1</v>
      </c>
      <c r="BN709">
        <v>1</v>
      </c>
      <c r="BO709">
        <v>1</v>
      </c>
      <c r="BP709">
        <v>0</v>
      </c>
      <c r="BT709">
        <v>0</v>
      </c>
      <c r="BU709">
        <v>0</v>
      </c>
      <c r="CE709" t="str">
        <f>"15:44:58.514"</f>
        <v>15:44:58.514</v>
      </c>
      <c r="CF709">
        <v>514349665</v>
      </c>
      <c r="CS709">
        <v>0</v>
      </c>
      <c r="CT709">
        <v>2</v>
      </c>
      <c r="CU709">
        <v>0</v>
      </c>
      <c r="CV709">
        <v>2</v>
      </c>
      <c r="CW709">
        <v>0</v>
      </c>
      <c r="CX709">
        <v>6</v>
      </c>
      <c r="CY709">
        <v>7</v>
      </c>
      <c r="CZ709" t="s">
        <v>133</v>
      </c>
      <c r="DA709">
        <v>125</v>
      </c>
      <c r="DB709">
        <v>1</v>
      </c>
      <c r="DC709" t="s">
        <v>134</v>
      </c>
      <c r="DD709" t="s">
        <v>135</v>
      </c>
      <c r="DG709">
        <v>2899779</v>
      </c>
      <c r="DI709">
        <v>0</v>
      </c>
      <c r="DJ709">
        <v>0</v>
      </c>
      <c r="DK709">
        <v>1</v>
      </c>
      <c r="DL709">
        <v>0</v>
      </c>
      <c r="DM709">
        <v>0</v>
      </c>
      <c r="DN709">
        <v>0</v>
      </c>
      <c r="DO709">
        <v>0</v>
      </c>
      <c r="DP709">
        <v>0</v>
      </c>
      <c r="DQ709">
        <v>0</v>
      </c>
      <c r="DR709">
        <v>0</v>
      </c>
      <c r="DS709">
        <v>0</v>
      </c>
    </row>
    <row r="710" spans="1:123" x14ac:dyDescent="0.25">
      <c r="A710" t="str">
        <f>"04/17/2026 15:44:58.812"</f>
        <v>04/17/2026 15:44:58.812</v>
      </c>
      <c r="C710" t="str">
        <f t="shared" si="61"/>
        <v>FFDFD3C0</v>
      </c>
      <c r="D710" t="s">
        <v>124</v>
      </c>
      <c r="E710" t="str">
        <f>"03"</f>
        <v>03</v>
      </c>
      <c r="H710">
        <v>160</v>
      </c>
      <c r="I710" t="s">
        <v>125</v>
      </c>
      <c r="J710" t="s">
        <v>126</v>
      </c>
      <c r="K710">
        <v>0</v>
      </c>
      <c r="L710">
        <v>3</v>
      </c>
      <c r="M710">
        <v>0</v>
      </c>
      <c r="N710">
        <v>2</v>
      </c>
      <c r="O710">
        <v>1</v>
      </c>
      <c r="P710">
        <v>0</v>
      </c>
      <c r="Q710">
        <v>0</v>
      </c>
      <c r="R710" t="s">
        <v>127</v>
      </c>
      <c r="S710" t="str">
        <f>"15:44:58.508"</f>
        <v>15:44:58.508</v>
      </c>
      <c r="T710" t="str">
        <f>"15:44:58.208"</f>
        <v>15:44:58.208</v>
      </c>
      <c r="U710" t="str">
        <f t="shared" si="64"/>
        <v>A55E09</v>
      </c>
      <c r="V710">
        <v>0</v>
      </c>
      <c r="W710">
        <v>0</v>
      </c>
      <c r="X710">
        <v>2</v>
      </c>
      <c r="Y710">
        <v>0</v>
      </c>
      <c r="AA710">
        <v>0</v>
      </c>
      <c r="AB710">
        <v>9</v>
      </c>
      <c r="AC710">
        <v>3</v>
      </c>
      <c r="AD710">
        <v>0</v>
      </c>
      <c r="AE710">
        <v>9</v>
      </c>
      <c r="AF710" t="s">
        <v>128</v>
      </c>
      <c r="AG710">
        <v>0</v>
      </c>
      <c r="AH710">
        <v>0</v>
      </c>
      <c r="AI710">
        <v>1</v>
      </c>
      <c r="AJ710">
        <v>0</v>
      </c>
      <c r="AK710" t="s">
        <v>445</v>
      </c>
      <c r="AL710">
        <v>33.765922000000003</v>
      </c>
      <c r="AM710" t="s">
        <v>462</v>
      </c>
      <c r="AN710">
        <v>-101.225731</v>
      </c>
      <c r="AO710">
        <v>100</v>
      </c>
      <c r="AP710">
        <v>3200</v>
      </c>
      <c r="AQ710" t="s">
        <v>131</v>
      </c>
      <c r="AR710">
        <v>-27</v>
      </c>
      <c r="AS710">
        <v>5</v>
      </c>
      <c r="AT710">
        <v>320</v>
      </c>
      <c r="BB710" t="str">
        <f t="shared" si="62"/>
        <v>1200</v>
      </c>
      <c r="BC710">
        <v>1</v>
      </c>
      <c r="BD710" t="str">
        <f t="shared" si="63"/>
        <v xml:space="preserve">N445JS  </v>
      </c>
      <c r="BE710">
        <v>7</v>
      </c>
      <c r="BG710">
        <v>0</v>
      </c>
      <c r="BH710">
        <v>0</v>
      </c>
      <c r="BI710">
        <v>0</v>
      </c>
      <c r="BJ710">
        <v>2975</v>
      </c>
      <c r="BK710">
        <v>-225</v>
      </c>
      <c r="BL710" t="s">
        <v>132</v>
      </c>
      <c r="BM710">
        <v>1</v>
      </c>
      <c r="BN710">
        <v>1</v>
      </c>
      <c r="BO710">
        <v>1</v>
      </c>
      <c r="BP710">
        <v>0</v>
      </c>
      <c r="BT710">
        <v>0</v>
      </c>
      <c r="BU710">
        <v>0</v>
      </c>
      <c r="CE710" t="str">
        <f>"15:44:58.514"</f>
        <v>15:44:58.514</v>
      </c>
      <c r="CF710">
        <v>514349665</v>
      </c>
      <c r="CS710">
        <v>0</v>
      </c>
      <c r="CT710">
        <v>2</v>
      </c>
      <c r="CU710">
        <v>0</v>
      </c>
      <c r="CV710">
        <v>2</v>
      </c>
      <c r="CW710">
        <v>0</v>
      </c>
      <c r="CX710">
        <v>6</v>
      </c>
      <c r="CY710">
        <v>7</v>
      </c>
      <c r="CZ710" t="s">
        <v>133</v>
      </c>
      <c r="DA710">
        <v>125</v>
      </c>
      <c r="DB710">
        <v>1</v>
      </c>
      <c r="DC710" t="s">
        <v>134</v>
      </c>
      <c r="DD710" t="s">
        <v>135</v>
      </c>
      <c r="DG710">
        <v>2899779</v>
      </c>
      <c r="DI710">
        <v>0</v>
      </c>
      <c r="DJ710">
        <v>0</v>
      </c>
      <c r="DK710">
        <v>1</v>
      </c>
      <c r="DL710">
        <v>0</v>
      </c>
      <c r="DM710">
        <v>0</v>
      </c>
      <c r="DN710">
        <v>0</v>
      </c>
      <c r="DO710">
        <v>0</v>
      </c>
      <c r="DP710">
        <v>0</v>
      </c>
      <c r="DQ710">
        <v>0</v>
      </c>
      <c r="DR710">
        <v>0</v>
      </c>
      <c r="DS710">
        <v>0</v>
      </c>
    </row>
    <row r="711" spans="1:123" x14ac:dyDescent="0.25">
      <c r="A711" t="str">
        <f>"04/17/2026 15:44:59.840"</f>
        <v>04/17/2026 15:44:59.840</v>
      </c>
      <c r="C711" t="str">
        <f t="shared" si="61"/>
        <v>FFDFD3C0</v>
      </c>
      <c r="D711" t="s">
        <v>136</v>
      </c>
      <c r="E711" t="str">
        <f>"0E"</f>
        <v>0E</v>
      </c>
      <c r="F711">
        <v>1014</v>
      </c>
      <c r="G711" t="s">
        <v>125</v>
      </c>
      <c r="J711" t="s">
        <v>137</v>
      </c>
      <c r="K711">
        <v>0</v>
      </c>
      <c r="L711">
        <v>3</v>
      </c>
      <c r="M711">
        <v>0</v>
      </c>
      <c r="N711">
        <v>2</v>
      </c>
      <c r="O711">
        <v>1</v>
      </c>
      <c r="P711">
        <v>0</v>
      </c>
      <c r="Q711">
        <v>0</v>
      </c>
      <c r="R711" t="s">
        <v>127</v>
      </c>
      <c r="S711" t="str">
        <f>"15:44:59.594"</f>
        <v>15:44:59.594</v>
      </c>
      <c r="T711" t="str">
        <f>"15:44:59.294"</f>
        <v>15:44:59.294</v>
      </c>
      <c r="U711" t="str">
        <f t="shared" si="64"/>
        <v>A55E09</v>
      </c>
      <c r="V711">
        <v>0</v>
      </c>
      <c r="W711">
        <v>0</v>
      </c>
      <c r="X711">
        <v>2</v>
      </c>
      <c r="Y711">
        <v>0</v>
      </c>
      <c r="AA711">
        <v>0</v>
      </c>
      <c r="AB711">
        <v>9</v>
      </c>
      <c r="AC711">
        <v>3</v>
      </c>
      <c r="AD711">
        <v>0</v>
      </c>
      <c r="AE711">
        <v>9</v>
      </c>
      <c r="AF711" t="s">
        <v>128</v>
      </c>
      <c r="AG711">
        <v>0</v>
      </c>
      <c r="AH711">
        <v>0</v>
      </c>
      <c r="AI711">
        <v>1</v>
      </c>
      <c r="AJ711">
        <v>0</v>
      </c>
      <c r="AK711" t="s">
        <v>463</v>
      </c>
      <c r="AL711">
        <v>33.765965000000001</v>
      </c>
      <c r="AM711" t="s">
        <v>464</v>
      </c>
      <c r="AN711">
        <v>-101.225903</v>
      </c>
      <c r="AO711">
        <v>100</v>
      </c>
      <c r="AP711">
        <v>3200</v>
      </c>
      <c r="AQ711" t="s">
        <v>131</v>
      </c>
      <c r="AR711">
        <v>-27</v>
      </c>
      <c r="AS711">
        <v>5</v>
      </c>
      <c r="AT711">
        <v>192</v>
      </c>
      <c r="BB711" t="str">
        <f t="shared" si="62"/>
        <v>1200</v>
      </c>
      <c r="BC711">
        <v>1</v>
      </c>
      <c r="BD711" t="str">
        <f t="shared" si="63"/>
        <v xml:space="preserve">N445JS  </v>
      </c>
      <c r="BE711">
        <v>7</v>
      </c>
      <c r="BG711">
        <v>0</v>
      </c>
      <c r="BH711">
        <v>0</v>
      </c>
      <c r="BI711">
        <v>0</v>
      </c>
      <c r="BJ711">
        <v>3000</v>
      </c>
      <c r="BK711">
        <v>-200</v>
      </c>
      <c r="BL711" t="s">
        <v>132</v>
      </c>
      <c r="BM711">
        <v>1</v>
      </c>
      <c r="BN711">
        <v>1</v>
      </c>
      <c r="BO711">
        <v>1</v>
      </c>
      <c r="BP711">
        <v>0</v>
      </c>
      <c r="BT711">
        <v>0</v>
      </c>
      <c r="BU711">
        <v>0</v>
      </c>
      <c r="CE711" t="str">
        <f>"15:44:59.594"</f>
        <v>15:44:59.594</v>
      </c>
      <c r="CF711">
        <v>594243803</v>
      </c>
      <c r="CS711">
        <v>0</v>
      </c>
      <c r="CT711">
        <v>2</v>
      </c>
      <c r="CU711">
        <v>0</v>
      </c>
      <c r="CV711">
        <v>2</v>
      </c>
      <c r="CW711">
        <v>0</v>
      </c>
      <c r="CX711">
        <v>6</v>
      </c>
      <c r="CY711">
        <v>7</v>
      </c>
      <c r="CZ711" t="s">
        <v>133</v>
      </c>
      <c r="DA711">
        <v>125</v>
      </c>
      <c r="DB711">
        <v>0</v>
      </c>
      <c r="DC711" t="s">
        <v>134</v>
      </c>
      <c r="DD711" t="s">
        <v>135</v>
      </c>
      <c r="DG711">
        <v>3878447</v>
      </c>
      <c r="DI711">
        <v>0</v>
      </c>
      <c r="DJ711">
        <v>0</v>
      </c>
      <c r="DK711">
        <v>0</v>
      </c>
      <c r="DL711">
        <v>0</v>
      </c>
      <c r="DM711">
        <v>0</v>
      </c>
      <c r="DN711">
        <v>0</v>
      </c>
      <c r="DO711">
        <v>0</v>
      </c>
      <c r="DP711">
        <v>0</v>
      </c>
      <c r="DQ711">
        <v>0</v>
      </c>
      <c r="DR711">
        <v>0</v>
      </c>
      <c r="DS711">
        <v>0</v>
      </c>
    </row>
    <row r="712" spans="1:123" x14ac:dyDescent="0.25">
      <c r="A712" t="str">
        <f>"04/17/2026 15:44:59.852"</f>
        <v>04/17/2026 15:44:59.852</v>
      </c>
      <c r="C712" t="str">
        <f t="shared" si="61"/>
        <v>FFDFD3C0</v>
      </c>
      <c r="D712" t="s">
        <v>136</v>
      </c>
      <c r="E712" t="str">
        <f>"0F"</f>
        <v>0F</v>
      </c>
      <c r="F712">
        <v>1015</v>
      </c>
      <c r="G712" t="s">
        <v>138</v>
      </c>
      <c r="J712" t="s">
        <v>137</v>
      </c>
      <c r="K712">
        <v>0</v>
      </c>
      <c r="L712">
        <v>3</v>
      </c>
      <c r="M712">
        <v>0</v>
      </c>
      <c r="N712">
        <v>2</v>
      </c>
      <c r="O712">
        <v>1</v>
      </c>
      <c r="P712">
        <v>0</v>
      </c>
      <c r="Q712">
        <v>0</v>
      </c>
      <c r="R712" t="s">
        <v>127</v>
      </c>
      <c r="S712" t="str">
        <f>"15:44:59.594"</f>
        <v>15:44:59.594</v>
      </c>
      <c r="T712" t="str">
        <f>"15:44:59.294"</f>
        <v>15:44:59.294</v>
      </c>
      <c r="U712" t="str">
        <f t="shared" si="64"/>
        <v>A55E09</v>
      </c>
      <c r="V712">
        <v>0</v>
      </c>
      <c r="W712">
        <v>0</v>
      </c>
      <c r="X712">
        <v>2</v>
      </c>
      <c r="Y712">
        <v>0</v>
      </c>
      <c r="AA712">
        <v>0</v>
      </c>
      <c r="AB712">
        <v>9</v>
      </c>
      <c r="AC712">
        <v>3</v>
      </c>
      <c r="AD712">
        <v>0</v>
      </c>
      <c r="AE712">
        <v>9</v>
      </c>
      <c r="AF712" t="s">
        <v>128</v>
      </c>
      <c r="AG712">
        <v>0</v>
      </c>
      <c r="AH712">
        <v>0</v>
      </c>
      <c r="AI712">
        <v>1</v>
      </c>
      <c r="AJ712">
        <v>0</v>
      </c>
      <c r="AK712" t="s">
        <v>463</v>
      </c>
      <c r="AL712">
        <v>33.765965000000001</v>
      </c>
      <c r="AM712" t="s">
        <v>464</v>
      </c>
      <c r="AN712">
        <v>-101.225903</v>
      </c>
      <c r="AO712">
        <v>100</v>
      </c>
      <c r="AP712">
        <v>3200</v>
      </c>
      <c r="AQ712" t="s">
        <v>131</v>
      </c>
      <c r="AR712">
        <v>-27</v>
      </c>
      <c r="AS712">
        <v>5</v>
      </c>
      <c r="AT712">
        <v>192</v>
      </c>
      <c r="BB712" t="str">
        <f t="shared" si="62"/>
        <v>1200</v>
      </c>
      <c r="BC712">
        <v>1</v>
      </c>
      <c r="BD712" t="str">
        <f t="shared" si="63"/>
        <v xml:space="preserve">N445JS  </v>
      </c>
      <c r="BE712">
        <v>7</v>
      </c>
      <c r="BG712">
        <v>0</v>
      </c>
      <c r="BH712">
        <v>0</v>
      </c>
      <c r="BI712">
        <v>0</v>
      </c>
      <c r="BJ712">
        <v>3000</v>
      </c>
      <c r="BK712">
        <v>-200</v>
      </c>
      <c r="BL712" t="s">
        <v>132</v>
      </c>
      <c r="BM712">
        <v>1</v>
      </c>
      <c r="BN712">
        <v>1</v>
      </c>
      <c r="BO712">
        <v>1</v>
      </c>
      <c r="BP712">
        <v>0</v>
      </c>
      <c r="BT712">
        <v>0</v>
      </c>
      <c r="BU712">
        <v>0</v>
      </c>
      <c r="CE712" t="str">
        <f>"15:44:59.594"</f>
        <v>15:44:59.594</v>
      </c>
      <c r="CF712">
        <v>594243803</v>
      </c>
      <c r="CS712">
        <v>0</v>
      </c>
      <c r="CT712">
        <v>2</v>
      </c>
      <c r="CU712">
        <v>0</v>
      </c>
      <c r="CV712">
        <v>2</v>
      </c>
      <c r="CW712">
        <v>0</v>
      </c>
      <c r="CX712">
        <v>6</v>
      </c>
      <c r="CY712">
        <v>7</v>
      </c>
      <c r="CZ712" t="s">
        <v>133</v>
      </c>
      <c r="DA712">
        <v>125</v>
      </c>
      <c r="DB712">
        <v>0</v>
      </c>
      <c r="DC712" t="s">
        <v>134</v>
      </c>
      <c r="DD712" t="s">
        <v>135</v>
      </c>
      <c r="DG712">
        <v>3878447</v>
      </c>
      <c r="DI712">
        <v>0</v>
      </c>
      <c r="DJ712">
        <v>0</v>
      </c>
      <c r="DK712">
        <v>1</v>
      </c>
      <c r="DL712">
        <v>0</v>
      </c>
      <c r="DM712">
        <v>0</v>
      </c>
      <c r="DN712">
        <v>0</v>
      </c>
      <c r="DO712">
        <v>0</v>
      </c>
      <c r="DP712">
        <v>0</v>
      </c>
      <c r="DQ712">
        <v>0</v>
      </c>
      <c r="DR712">
        <v>0</v>
      </c>
      <c r="DS712">
        <v>0</v>
      </c>
    </row>
    <row r="713" spans="1:123" x14ac:dyDescent="0.25">
      <c r="A713" t="str">
        <f>"04/17/2026 15:44:59.859"</f>
        <v>04/17/2026 15:44:59.859</v>
      </c>
      <c r="C713" t="str">
        <f t="shared" si="61"/>
        <v>FFDFD3C0</v>
      </c>
      <c r="D713" t="s">
        <v>139</v>
      </c>
      <c r="E713" t="str">
        <f>"28"</f>
        <v>28</v>
      </c>
      <c r="H713">
        <v>140</v>
      </c>
      <c r="I713" t="s">
        <v>140</v>
      </c>
      <c r="J713" t="s">
        <v>141</v>
      </c>
      <c r="K713">
        <v>0</v>
      </c>
      <c r="L713">
        <v>3</v>
      </c>
      <c r="M713">
        <v>0</v>
      </c>
      <c r="N713">
        <v>2</v>
      </c>
      <c r="O713">
        <v>1</v>
      </c>
      <c r="P713">
        <v>0</v>
      </c>
      <c r="Q713">
        <v>0</v>
      </c>
      <c r="R713" t="s">
        <v>127</v>
      </c>
      <c r="S713" t="str">
        <f>"15:44:59.594"</f>
        <v>15:44:59.594</v>
      </c>
      <c r="T713" t="str">
        <f>"15:44:59.294"</f>
        <v>15:44:59.294</v>
      </c>
      <c r="U713" t="str">
        <f t="shared" si="64"/>
        <v>A55E09</v>
      </c>
      <c r="V713">
        <v>0</v>
      </c>
      <c r="W713">
        <v>0</v>
      </c>
      <c r="X713">
        <v>2</v>
      </c>
      <c r="Y713">
        <v>0</v>
      </c>
      <c r="AA713">
        <v>0</v>
      </c>
      <c r="AB713">
        <v>9</v>
      </c>
      <c r="AC713">
        <v>3</v>
      </c>
      <c r="AD713">
        <v>0</v>
      </c>
      <c r="AE713">
        <v>9</v>
      </c>
      <c r="AF713" t="s">
        <v>128</v>
      </c>
      <c r="AG713">
        <v>0</v>
      </c>
      <c r="AH713">
        <v>0</v>
      </c>
      <c r="AI713">
        <v>1</v>
      </c>
      <c r="AJ713">
        <v>0</v>
      </c>
      <c r="AK713" t="s">
        <v>463</v>
      </c>
      <c r="AL713">
        <v>33.765965000000001</v>
      </c>
      <c r="AM713" t="s">
        <v>464</v>
      </c>
      <c r="AN713">
        <v>-101.225903</v>
      </c>
      <c r="AO713">
        <v>100</v>
      </c>
      <c r="AP713">
        <v>3200</v>
      </c>
      <c r="AQ713" t="s">
        <v>131</v>
      </c>
      <c r="AR713">
        <v>-27</v>
      </c>
      <c r="AS713">
        <v>5</v>
      </c>
      <c r="AT713">
        <v>192</v>
      </c>
      <c r="BB713" t="str">
        <f t="shared" si="62"/>
        <v>1200</v>
      </c>
      <c r="BC713">
        <v>1</v>
      </c>
      <c r="BD713" t="str">
        <f t="shared" si="63"/>
        <v xml:space="preserve">N445JS  </v>
      </c>
      <c r="BE713">
        <v>7</v>
      </c>
      <c r="BG713">
        <v>0</v>
      </c>
      <c r="BH713">
        <v>0</v>
      </c>
      <c r="BI713">
        <v>0</v>
      </c>
      <c r="BJ713">
        <v>3000</v>
      </c>
      <c r="BK713">
        <v>-200</v>
      </c>
      <c r="BL713" t="s">
        <v>132</v>
      </c>
      <c r="BM713">
        <v>1</v>
      </c>
      <c r="BN713">
        <v>1</v>
      </c>
      <c r="BO713">
        <v>1</v>
      </c>
      <c r="BP713">
        <v>0</v>
      </c>
      <c r="BT713">
        <v>0</v>
      </c>
      <c r="BU713">
        <v>0</v>
      </c>
      <c r="CE713" t="str">
        <f>"15:44:59.594"</f>
        <v>15:44:59.594</v>
      </c>
      <c r="CF713">
        <v>594243803</v>
      </c>
      <c r="CS713">
        <v>0</v>
      </c>
      <c r="CT713">
        <v>2</v>
      </c>
      <c r="CU713">
        <v>0</v>
      </c>
      <c r="CV713">
        <v>2</v>
      </c>
      <c r="CW713">
        <v>0</v>
      </c>
      <c r="CX713">
        <v>6</v>
      </c>
      <c r="CY713">
        <v>7</v>
      </c>
      <c r="CZ713" t="s">
        <v>133</v>
      </c>
      <c r="DA713">
        <v>125</v>
      </c>
      <c r="DB713">
        <v>0</v>
      </c>
      <c r="DC713" t="s">
        <v>134</v>
      </c>
      <c r="DD713" t="s">
        <v>135</v>
      </c>
      <c r="DG713">
        <v>3878447</v>
      </c>
      <c r="DI713">
        <v>0</v>
      </c>
      <c r="DJ713">
        <v>0</v>
      </c>
      <c r="DK713">
        <v>1</v>
      </c>
      <c r="DL713">
        <v>0</v>
      </c>
      <c r="DM713">
        <v>0</v>
      </c>
      <c r="DN713">
        <v>0</v>
      </c>
      <c r="DO713">
        <v>0</v>
      </c>
      <c r="DP713">
        <v>0</v>
      </c>
      <c r="DQ713">
        <v>0</v>
      </c>
      <c r="DR713">
        <v>0</v>
      </c>
      <c r="DS713">
        <v>0</v>
      </c>
    </row>
    <row r="714" spans="1:123" x14ac:dyDescent="0.25">
      <c r="A714" t="str">
        <f>"04/17/2026 15:44:59.864"</f>
        <v>04/17/2026 15:44:59.864</v>
      </c>
      <c r="C714" t="str">
        <f t="shared" si="61"/>
        <v>FFDFD3C0</v>
      </c>
      <c r="D714" t="s">
        <v>124</v>
      </c>
      <c r="E714" t="str">
        <f>"03"</f>
        <v>03</v>
      </c>
      <c r="H714">
        <v>160</v>
      </c>
      <c r="I714" t="s">
        <v>125</v>
      </c>
      <c r="J714" t="s">
        <v>126</v>
      </c>
      <c r="K714">
        <v>0</v>
      </c>
      <c r="L714">
        <v>3</v>
      </c>
      <c r="M714">
        <v>0</v>
      </c>
      <c r="N714">
        <v>2</v>
      </c>
      <c r="O714">
        <v>1</v>
      </c>
      <c r="P714">
        <v>0</v>
      </c>
      <c r="Q714">
        <v>0</v>
      </c>
      <c r="R714" t="s">
        <v>127</v>
      </c>
      <c r="S714" t="str">
        <f>"15:44:59.594"</f>
        <v>15:44:59.594</v>
      </c>
      <c r="T714" t="str">
        <f>"15:44:59.294"</f>
        <v>15:44:59.294</v>
      </c>
      <c r="U714" t="str">
        <f t="shared" si="64"/>
        <v>A55E09</v>
      </c>
      <c r="V714">
        <v>0</v>
      </c>
      <c r="W714">
        <v>0</v>
      </c>
      <c r="X714">
        <v>2</v>
      </c>
      <c r="Y714">
        <v>0</v>
      </c>
      <c r="AA714">
        <v>0</v>
      </c>
      <c r="AB714">
        <v>9</v>
      </c>
      <c r="AC714">
        <v>3</v>
      </c>
      <c r="AD714">
        <v>0</v>
      </c>
      <c r="AE714">
        <v>9</v>
      </c>
      <c r="AF714" t="s">
        <v>128</v>
      </c>
      <c r="AG714">
        <v>0</v>
      </c>
      <c r="AH714">
        <v>0</v>
      </c>
      <c r="AI714">
        <v>1</v>
      </c>
      <c r="AJ714">
        <v>0</v>
      </c>
      <c r="AK714" t="s">
        <v>463</v>
      </c>
      <c r="AL714">
        <v>33.765965000000001</v>
      </c>
      <c r="AM714" t="s">
        <v>464</v>
      </c>
      <c r="AN714">
        <v>-101.225903</v>
      </c>
      <c r="AO714">
        <v>100</v>
      </c>
      <c r="AP714">
        <v>3200</v>
      </c>
      <c r="AQ714" t="s">
        <v>131</v>
      </c>
      <c r="AR714">
        <v>-27</v>
      </c>
      <c r="AS714">
        <v>5</v>
      </c>
      <c r="AT714">
        <v>192</v>
      </c>
      <c r="BB714" t="str">
        <f t="shared" si="62"/>
        <v>1200</v>
      </c>
      <c r="BC714">
        <v>1</v>
      </c>
      <c r="BD714" t="str">
        <f t="shared" si="63"/>
        <v xml:space="preserve">N445JS  </v>
      </c>
      <c r="BE714">
        <v>7</v>
      </c>
      <c r="BG714">
        <v>0</v>
      </c>
      <c r="BH714">
        <v>0</v>
      </c>
      <c r="BI714">
        <v>0</v>
      </c>
      <c r="BJ714">
        <v>3000</v>
      </c>
      <c r="BK714">
        <v>-200</v>
      </c>
      <c r="BL714" t="s">
        <v>132</v>
      </c>
      <c r="BM714">
        <v>1</v>
      </c>
      <c r="BN714">
        <v>1</v>
      </c>
      <c r="BO714">
        <v>1</v>
      </c>
      <c r="BP714">
        <v>0</v>
      </c>
      <c r="BT714">
        <v>0</v>
      </c>
      <c r="BU714">
        <v>0</v>
      </c>
      <c r="CE714" t="str">
        <f>"15:44:59.594"</f>
        <v>15:44:59.594</v>
      </c>
      <c r="CF714">
        <v>594243803</v>
      </c>
      <c r="CS714">
        <v>0</v>
      </c>
      <c r="CT714">
        <v>2</v>
      </c>
      <c r="CU714">
        <v>0</v>
      </c>
      <c r="CV714">
        <v>2</v>
      </c>
      <c r="CW714">
        <v>0</v>
      </c>
      <c r="CX714">
        <v>6</v>
      </c>
      <c r="CY714">
        <v>7</v>
      </c>
      <c r="CZ714" t="s">
        <v>133</v>
      </c>
      <c r="DA714">
        <v>125</v>
      </c>
      <c r="DB714">
        <v>0</v>
      </c>
      <c r="DC714" t="s">
        <v>134</v>
      </c>
      <c r="DD714" t="s">
        <v>135</v>
      </c>
      <c r="DG714">
        <v>3878447</v>
      </c>
      <c r="DI714">
        <v>0</v>
      </c>
      <c r="DJ714">
        <v>0</v>
      </c>
      <c r="DK714">
        <v>1</v>
      </c>
      <c r="DL714">
        <v>0</v>
      </c>
      <c r="DM714">
        <v>0</v>
      </c>
      <c r="DN714">
        <v>0</v>
      </c>
      <c r="DO714">
        <v>0</v>
      </c>
      <c r="DP714">
        <v>0</v>
      </c>
      <c r="DQ714">
        <v>0</v>
      </c>
      <c r="DR714">
        <v>0</v>
      </c>
      <c r="DS714">
        <v>0</v>
      </c>
    </row>
    <row r="715" spans="1:123" x14ac:dyDescent="0.25">
      <c r="A715" t="str">
        <f>"04/17/2026 15:45:00.760"</f>
        <v>04/17/2026 15:45:00.760</v>
      </c>
      <c r="C715" t="str">
        <f t="shared" si="61"/>
        <v>FFDFD3C0</v>
      </c>
      <c r="D715" t="s">
        <v>139</v>
      </c>
      <c r="E715" t="str">
        <f>"28"</f>
        <v>28</v>
      </c>
      <c r="H715">
        <v>140</v>
      </c>
      <c r="I715" t="s">
        <v>140</v>
      </c>
      <c r="J715" t="s">
        <v>141</v>
      </c>
      <c r="K715">
        <v>0</v>
      </c>
      <c r="L715">
        <v>3</v>
      </c>
      <c r="M715">
        <v>0</v>
      </c>
      <c r="N715">
        <v>2</v>
      </c>
      <c r="O715">
        <v>1</v>
      </c>
      <c r="P715">
        <v>0</v>
      </c>
      <c r="Q715">
        <v>0</v>
      </c>
      <c r="R715" t="s">
        <v>127</v>
      </c>
      <c r="S715" t="str">
        <f>"15:45:00.492"</f>
        <v>15:45:00.492</v>
      </c>
      <c r="T715" t="str">
        <f>"15:45:00.292"</f>
        <v>15:45:00.292</v>
      </c>
      <c r="U715" t="str">
        <f t="shared" si="64"/>
        <v>A55E09</v>
      </c>
      <c r="V715">
        <v>0</v>
      </c>
      <c r="W715">
        <v>0</v>
      </c>
      <c r="X715">
        <v>2</v>
      </c>
      <c r="Y715">
        <v>0</v>
      </c>
      <c r="AA715">
        <v>0</v>
      </c>
      <c r="AB715">
        <v>9</v>
      </c>
      <c r="AC715">
        <v>3</v>
      </c>
      <c r="AD715">
        <v>0</v>
      </c>
      <c r="AE715">
        <v>9</v>
      </c>
      <c r="AF715" t="s">
        <v>128</v>
      </c>
      <c r="AG715">
        <v>0</v>
      </c>
      <c r="AH715">
        <v>0</v>
      </c>
      <c r="AI715">
        <v>1</v>
      </c>
      <c r="AJ715">
        <v>0</v>
      </c>
      <c r="AK715" t="s">
        <v>465</v>
      </c>
      <c r="AL715">
        <v>33.766007000000002</v>
      </c>
      <c r="AM715" t="s">
        <v>466</v>
      </c>
      <c r="AN715">
        <v>-101.226032</v>
      </c>
      <c r="AO715">
        <v>100</v>
      </c>
      <c r="AP715">
        <v>3200</v>
      </c>
      <c r="AQ715" t="s">
        <v>131</v>
      </c>
      <c r="AR715">
        <v>-26</v>
      </c>
      <c r="AS715">
        <v>7</v>
      </c>
      <c r="AT715">
        <v>320</v>
      </c>
      <c r="BB715" t="str">
        <f t="shared" si="62"/>
        <v>1200</v>
      </c>
      <c r="BC715">
        <v>1</v>
      </c>
      <c r="BD715" t="str">
        <f t="shared" si="63"/>
        <v xml:space="preserve">N445JS  </v>
      </c>
      <c r="BE715">
        <v>7</v>
      </c>
      <c r="BG715">
        <v>0</v>
      </c>
      <c r="BH715">
        <v>0</v>
      </c>
      <c r="BI715">
        <v>0</v>
      </c>
      <c r="BJ715">
        <v>3000</v>
      </c>
      <c r="BK715">
        <v>-200</v>
      </c>
      <c r="BL715" t="s">
        <v>132</v>
      </c>
      <c r="BM715">
        <v>1</v>
      </c>
      <c r="BN715">
        <v>1</v>
      </c>
      <c r="BO715">
        <v>1</v>
      </c>
      <c r="BP715">
        <v>0</v>
      </c>
      <c r="BT715">
        <v>0</v>
      </c>
      <c r="BU715">
        <v>0</v>
      </c>
      <c r="CE715" t="str">
        <f>"15:45:00.494"</f>
        <v>15:45:00.494</v>
      </c>
      <c r="CF715">
        <v>494155605</v>
      </c>
      <c r="CS715">
        <v>0</v>
      </c>
      <c r="CT715">
        <v>2</v>
      </c>
      <c r="CU715">
        <v>0</v>
      </c>
      <c r="CV715">
        <v>2</v>
      </c>
      <c r="CW715">
        <v>0</v>
      </c>
      <c r="CX715">
        <v>7</v>
      </c>
      <c r="CY715">
        <v>7</v>
      </c>
      <c r="CZ715" t="s">
        <v>133</v>
      </c>
      <c r="DA715">
        <v>125</v>
      </c>
      <c r="DB715">
        <v>0</v>
      </c>
      <c r="DC715" t="s">
        <v>134</v>
      </c>
      <c r="DD715" t="s">
        <v>135</v>
      </c>
      <c r="DG715">
        <v>3879416</v>
      </c>
      <c r="DI715">
        <v>0</v>
      </c>
      <c r="DJ715">
        <v>0</v>
      </c>
      <c r="DK715">
        <v>0</v>
      </c>
      <c r="DL715">
        <v>0</v>
      </c>
      <c r="DM715">
        <v>0</v>
      </c>
      <c r="DN715">
        <v>0</v>
      </c>
      <c r="DO715">
        <v>0</v>
      </c>
      <c r="DP715">
        <v>0</v>
      </c>
      <c r="DQ715">
        <v>0</v>
      </c>
      <c r="DR715">
        <v>0</v>
      </c>
      <c r="DS715">
        <v>0</v>
      </c>
    </row>
    <row r="716" spans="1:123" x14ac:dyDescent="0.25">
      <c r="A716" t="str">
        <f>"04/17/2026 15:45:00.766"</f>
        <v>04/17/2026 15:45:00.766</v>
      </c>
      <c r="C716" t="str">
        <f t="shared" si="61"/>
        <v>FFDFD3C0</v>
      </c>
      <c r="D716" t="s">
        <v>124</v>
      </c>
      <c r="E716" t="str">
        <f>"03"</f>
        <v>03</v>
      </c>
      <c r="H716">
        <v>160</v>
      </c>
      <c r="I716" t="s">
        <v>125</v>
      </c>
      <c r="J716" t="s">
        <v>126</v>
      </c>
      <c r="K716">
        <v>0</v>
      </c>
      <c r="L716">
        <v>3</v>
      </c>
      <c r="M716">
        <v>0</v>
      </c>
      <c r="N716">
        <v>2</v>
      </c>
      <c r="O716">
        <v>1</v>
      </c>
      <c r="P716">
        <v>0</v>
      </c>
      <c r="Q716">
        <v>0</v>
      </c>
      <c r="R716" t="s">
        <v>127</v>
      </c>
      <c r="S716" t="str">
        <f>"15:45:00.492"</f>
        <v>15:45:00.492</v>
      </c>
      <c r="T716" t="str">
        <f>"15:45:00.292"</f>
        <v>15:45:00.292</v>
      </c>
      <c r="U716" t="str">
        <f t="shared" si="64"/>
        <v>A55E09</v>
      </c>
      <c r="V716">
        <v>0</v>
      </c>
      <c r="W716">
        <v>0</v>
      </c>
      <c r="X716">
        <v>2</v>
      </c>
      <c r="Y716">
        <v>0</v>
      </c>
      <c r="AA716">
        <v>0</v>
      </c>
      <c r="AB716">
        <v>9</v>
      </c>
      <c r="AC716">
        <v>3</v>
      </c>
      <c r="AD716">
        <v>0</v>
      </c>
      <c r="AE716">
        <v>9</v>
      </c>
      <c r="AF716" t="s">
        <v>128</v>
      </c>
      <c r="AG716">
        <v>0</v>
      </c>
      <c r="AH716">
        <v>0</v>
      </c>
      <c r="AI716">
        <v>1</v>
      </c>
      <c r="AJ716">
        <v>0</v>
      </c>
      <c r="AK716" t="s">
        <v>465</v>
      </c>
      <c r="AL716">
        <v>33.766007000000002</v>
      </c>
      <c r="AM716" t="s">
        <v>466</v>
      </c>
      <c r="AN716">
        <v>-101.226032</v>
      </c>
      <c r="AO716">
        <v>100</v>
      </c>
      <c r="AP716">
        <v>3200</v>
      </c>
      <c r="AQ716" t="s">
        <v>131</v>
      </c>
      <c r="AR716">
        <v>-26</v>
      </c>
      <c r="AS716">
        <v>7</v>
      </c>
      <c r="AT716">
        <v>320</v>
      </c>
      <c r="BB716" t="str">
        <f t="shared" si="62"/>
        <v>1200</v>
      </c>
      <c r="BC716">
        <v>1</v>
      </c>
      <c r="BD716" t="str">
        <f t="shared" si="63"/>
        <v xml:space="preserve">N445JS  </v>
      </c>
      <c r="BE716">
        <v>7</v>
      </c>
      <c r="BG716">
        <v>0</v>
      </c>
      <c r="BH716">
        <v>0</v>
      </c>
      <c r="BI716">
        <v>0</v>
      </c>
      <c r="BJ716">
        <v>3000</v>
      </c>
      <c r="BK716">
        <v>-200</v>
      </c>
      <c r="BL716" t="s">
        <v>132</v>
      </c>
      <c r="BM716">
        <v>1</v>
      </c>
      <c r="BN716">
        <v>1</v>
      </c>
      <c r="BO716">
        <v>1</v>
      </c>
      <c r="BP716">
        <v>0</v>
      </c>
      <c r="BT716">
        <v>0</v>
      </c>
      <c r="BU716">
        <v>0</v>
      </c>
      <c r="CE716" t="str">
        <f>"15:45:00.494"</f>
        <v>15:45:00.494</v>
      </c>
      <c r="CF716">
        <v>494155605</v>
      </c>
      <c r="CS716">
        <v>0</v>
      </c>
      <c r="CT716">
        <v>2</v>
      </c>
      <c r="CU716">
        <v>0</v>
      </c>
      <c r="CV716">
        <v>2</v>
      </c>
      <c r="CW716">
        <v>0</v>
      </c>
      <c r="CX716">
        <v>7</v>
      </c>
      <c r="CY716">
        <v>7</v>
      </c>
      <c r="CZ716" t="s">
        <v>133</v>
      </c>
      <c r="DA716">
        <v>125</v>
      </c>
      <c r="DB716">
        <v>0</v>
      </c>
      <c r="DC716" t="s">
        <v>134</v>
      </c>
      <c r="DD716" t="s">
        <v>135</v>
      </c>
      <c r="DG716">
        <v>3879416</v>
      </c>
      <c r="DI716">
        <v>0</v>
      </c>
      <c r="DJ716">
        <v>0</v>
      </c>
      <c r="DK716">
        <v>1</v>
      </c>
      <c r="DL716">
        <v>0</v>
      </c>
      <c r="DM716">
        <v>0</v>
      </c>
      <c r="DN716">
        <v>0</v>
      </c>
      <c r="DO716">
        <v>0</v>
      </c>
      <c r="DP716">
        <v>0</v>
      </c>
      <c r="DQ716">
        <v>0</v>
      </c>
      <c r="DR716">
        <v>0</v>
      </c>
      <c r="DS716">
        <v>0</v>
      </c>
    </row>
    <row r="717" spans="1:123" x14ac:dyDescent="0.25">
      <c r="A717" t="str">
        <f>"04/17/2026 15:45:00.791"</f>
        <v>04/17/2026 15:45:00.791</v>
      </c>
      <c r="C717" t="str">
        <f t="shared" si="61"/>
        <v>FFDFD3C0</v>
      </c>
      <c r="D717" t="s">
        <v>136</v>
      </c>
      <c r="E717" t="str">
        <f>"0E"</f>
        <v>0E</v>
      </c>
      <c r="F717">
        <v>1014</v>
      </c>
      <c r="G717" t="s">
        <v>125</v>
      </c>
      <c r="J717" t="s">
        <v>137</v>
      </c>
      <c r="K717">
        <v>0</v>
      </c>
      <c r="L717">
        <v>3</v>
      </c>
      <c r="M717">
        <v>0</v>
      </c>
      <c r="N717">
        <v>2</v>
      </c>
      <c r="O717">
        <v>1</v>
      </c>
      <c r="P717">
        <v>0</v>
      </c>
      <c r="Q717">
        <v>0</v>
      </c>
      <c r="R717" t="s">
        <v>127</v>
      </c>
      <c r="S717" t="str">
        <f>"15:45:00.492"</f>
        <v>15:45:00.492</v>
      </c>
      <c r="T717" t="str">
        <f>"15:45:00.292"</f>
        <v>15:45:00.292</v>
      </c>
      <c r="U717" t="str">
        <f t="shared" si="64"/>
        <v>A55E09</v>
      </c>
      <c r="V717">
        <v>0</v>
      </c>
      <c r="W717">
        <v>0</v>
      </c>
      <c r="X717">
        <v>2</v>
      </c>
      <c r="Y717">
        <v>0</v>
      </c>
      <c r="AA717">
        <v>0</v>
      </c>
      <c r="AB717">
        <v>9</v>
      </c>
      <c r="AC717">
        <v>3</v>
      </c>
      <c r="AD717">
        <v>0</v>
      </c>
      <c r="AE717">
        <v>9</v>
      </c>
      <c r="AF717" t="s">
        <v>128</v>
      </c>
      <c r="AG717">
        <v>0</v>
      </c>
      <c r="AH717">
        <v>0</v>
      </c>
      <c r="AI717">
        <v>1</v>
      </c>
      <c r="AJ717">
        <v>0</v>
      </c>
      <c r="AK717" t="s">
        <v>465</v>
      </c>
      <c r="AL717">
        <v>33.766007000000002</v>
      </c>
      <c r="AM717" t="s">
        <v>466</v>
      </c>
      <c r="AN717">
        <v>-101.226032</v>
      </c>
      <c r="AO717">
        <v>100</v>
      </c>
      <c r="AP717">
        <v>3200</v>
      </c>
      <c r="AQ717" t="s">
        <v>131</v>
      </c>
      <c r="AR717">
        <v>-26</v>
      </c>
      <c r="AS717">
        <v>7</v>
      </c>
      <c r="AT717">
        <v>320</v>
      </c>
      <c r="BB717" t="str">
        <f t="shared" si="62"/>
        <v>1200</v>
      </c>
      <c r="BC717">
        <v>1</v>
      </c>
      <c r="BD717" t="str">
        <f t="shared" si="63"/>
        <v xml:space="preserve">N445JS  </v>
      </c>
      <c r="BE717">
        <v>7</v>
      </c>
      <c r="BG717">
        <v>0</v>
      </c>
      <c r="BH717">
        <v>0</v>
      </c>
      <c r="BI717">
        <v>0</v>
      </c>
      <c r="BJ717">
        <v>3000</v>
      </c>
      <c r="BK717">
        <v>-200</v>
      </c>
      <c r="BL717" t="s">
        <v>132</v>
      </c>
      <c r="BM717">
        <v>1</v>
      </c>
      <c r="BN717">
        <v>1</v>
      </c>
      <c r="BO717">
        <v>1</v>
      </c>
      <c r="BP717">
        <v>0</v>
      </c>
      <c r="BT717">
        <v>0</v>
      </c>
      <c r="BU717">
        <v>0</v>
      </c>
      <c r="CE717" t="str">
        <f>"15:45:00.494"</f>
        <v>15:45:00.494</v>
      </c>
      <c r="CF717">
        <v>494155605</v>
      </c>
      <c r="CS717">
        <v>0</v>
      </c>
      <c r="CT717">
        <v>2</v>
      </c>
      <c r="CU717">
        <v>0</v>
      </c>
      <c r="CV717">
        <v>2</v>
      </c>
      <c r="CW717">
        <v>0</v>
      </c>
      <c r="CX717">
        <v>7</v>
      </c>
      <c r="CY717">
        <v>7</v>
      </c>
      <c r="CZ717" t="s">
        <v>133</v>
      </c>
      <c r="DA717">
        <v>125</v>
      </c>
      <c r="DB717">
        <v>0</v>
      </c>
      <c r="DC717" t="s">
        <v>134</v>
      </c>
      <c r="DD717" t="s">
        <v>135</v>
      </c>
      <c r="DG717">
        <v>3879416</v>
      </c>
      <c r="DI717">
        <v>0</v>
      </c>
      <c r="DJ717">
        <v>0</v>
      </c>
      <c r="DK717">
        <v>1</v>
      </c>
      <c r="DL717">
        <v>0</v>
      </c>
      <c r="DM717">
        <v>0</v>
      </c>
      <c r="DN717">
        <v>0</v>
      </c>
      <c r="DO717">
        <v>0</v>
      </c>
      <c r="DP717">
        <v>0</v>
      </c>
      <c r="DQ717">
        <v>0</v>
      </c>
      <c r="DR717">
        <v>0</v>
      </c>
      <c r="DS717">
        <v>0</v>
      </c>
    </row>
    <row r="718" spans="1:123" x14ac:dyDescent="0.25">
      <c r="A718" t="str">
        <f>"04/17/2026 15:45:00.804"</f>
        <v>04/17/2026 15:45:00.804</v>
      </c>
      <c r="C718" t="str">
        <f t="shared" si="61"/>
        <v>FFDFD3C0</v>
      </c>
      <c r="D718" t="s">
        <v>136</v>
      </c>
      <c r="E718" t="str">
        <f>"0F"</f>
        <v>0F</v>
      </c>
      <c r="F718">
        <v>1015</v>
      </c>
      <c r="G718" t="s">
        <v>138</v>
      </c>
      <c r="J718" t="s">
        <v>137</v>
      </c>
      <c r="K718">
        <v>0</v>
      </c>
      <c r="L718">
        <v>3</v>
      </c>
      <c r="M718">
        <v>0</v>
      </c>
      <c r="N718">
        <v>2</v>
      </c>
      <c r="O718">
        <v>1</v>
      </c>
      <c r="P718">
        <v>0</v>
      </c>
      <c r="Q718">
        <v>0</v>
      </c>
      <c r="R718" t="s">
        <v>127</v>
      </c>
      <c r="S718" t="str">
        <f>"15:45:00.492"</f>
        <v>15:45:00.492</v>
      </c>
      <c r="T718" t="str">
        <f>"15:45:00.292"</f>
        <v>15:45:00.292</v>
      </c>
      <c r="U718" t="str">
        <f t="shared" si="64"/>
        <v>A55E09</v>
      </c>
      <c r="V718">
        <v>0</v>
      </c>
      <c r="W718">
        <v>0</v>
      </c>
      <c r="X718">
        <v>2</v>
      </c>
      <c r="Y718">
        <v>0</v>
      </c>
      <c r="AA718">
        <v>0</v>
      </c>
      <c r="AB718">
        <v>9</v>
      </c>
      <c r="AC718">
        <v>3</v>
      </c>
      <c r="AD718">
        <v>0</v>
      </c>
      <c r="AE718">
        <v>9</v>
      </c>
      <c r="AF718" t="s">
        <v>128</v>
      </c>
      <c r="AG718">
        <v>0</v>
      </c>
      <c r="AH718">
        <v>0</v>
      </c>
      <c r="AI718">
        <v>1</v>
      </c>
      <c r="AJ718">
        <v>0</v>
      </c>
      <c r="AK718" t="s">
        <v>465</v>
      </c>
      <c r="AL718">
        <v>33.766007000000002</v>
      </c>
      <c r="AM718" t="s">
        <v>466</v>
      </c>
      <c r="AN718">
        <v>-101.226032</v>
      </c>
      <c r="AO718">
        <v>100</v>
      </c>
      <c r="AP718">
        <v>3200</v>
      </c>
      <c r="AQ718" t="s">
        <v>131</v>
      </c>
      <c r="AR718">
        <v>-26</v>
      </c>
      <c r="AS718">
        <v>7</v>
      </c>
      <c r="AT718">
        <v>320</v>
      </c>
      <c r="BB718" t="str">
        <f t="shared" si="62"/>
        <v>1200</v>
      </c>
      <c r="BC718">
        <v>1</v>
      </c>
      <c r="BD718" t="str">
        <f t="shared" si="63"/>
        <v xml:space="preserve">N445JS  </v>
      </c>
      <c r="BE718">
        <v>7</v>
      </c>
      <c r="BG718">
        <v>0</v>
      </c>
      <c r="BH718">
        <v>0</v>
      </c>
      <c r="BI718">
        <v>0</v>
      </c>
      <c r="BJ718">
        <v>3000</v>
      </c>
      <c r="BK718">
        <v>-200</v>
      </c>
      <c r="BL718" t="s">
        <v>132</v>
      </c>
      <c r="BM718">
        <v>1</v>
      </c>
      <c r="BN718">
        <v>1</v>
      </c>
      <c r="BO718">
        <v>1</v>
      </c>
      <c r="BP718">
        <v>0</v>
      </c>
      <c r="BT718">
        <v>0</v>
      </c>
      <c r="BU718">
        <v>0</v>
      </c>
      <c r="CE718" t="str">
        <f>"15:45:00.494"</f>
        <v>15:45:00.494</v>
      </c>
      <c r="CF718">
        <v>494155605</v>
      </c>
      <c r="CS718">
        <v>0</v>
      </c>
      <c r="CT718">
        <v>2</v>
      </c>
      <c r="CU718">
        <v>0</v>
      </c>
      <c r="CV718">
        <v>2</v>
      </c>
      <c r="CW718">
        <v>0</v>
      </c>
      <c r="CX718">
        <v>7</v>
      </c>
      <c r="CY718">
        <v>7</v>
      </c>
      <c r="CZ718" t="s">
        <v>133</v>
      </c>
      <c r="DA718">
        <v>125</v>
      </c>
      <c r="DB718">
        <v>0</v>
      </c>
      <c r="DC718" t="s">
        <v>134</v>
      </c>
      <c r="DD718" t="s">
        <v>135</v>
      </c>
      <c r="DG718">
        <v>3879416</v>
      </c>
      <c r="DI718">
        <v>0</v>
      </c>
      <c r="DJ718">
        <v>0</v>
      </c>
      <c r="DK718">
        <v>1</v>
      </c>
      <c r="DL718">
        <v>0</v>
      </c>
      <c r="DM718">
        <v>0</v>
      </c>
      <c r="DN718">
        <v>0</v>
      </c>
      <c r="DO718">
        <v>0</v>
      </c>
      <c r="DP718">
        <v>0</v>
      </c>
      <c r="DQ718">
        <v>0</v>
      </c>
      <c r="DR718">
        <v>0</v>
      </c>
      <c r="DS718">
        <v>0</v>
      </c>
    </row>
    <row r="719" spans="1:123" x14ac:dyDescent="0.25">
      <c r="A719" t="str">
        <f>"04/17/2026 15:45:01.843"</f>
        <v>04/17/2026 15:45:01.843</v>
      </c>
      <c r="C719" t="str">
        <f t="shared" si="61"/>
        <v>FFDFD3C0</v>
      </c>
      <c r="D719" t="s">
        <v>136</v>
      </c>
      <c r="E719" t="str">
        <f>"0E"</f>
        <v>0E</v>
      </c>
      <c r="F719">
        <v>1014</v>
      </c>
      <c r="G719" t="s">
        <v>125</v>
      </c>
      <c r="J719" t="s">
        <v>137</v>
      </c>
      <c r="K719">
        <v>0</v>
      </c>
      <c r="L719">
        <v>3</v>
      </c>
      <c r="M719">
        <v>0</v>
      </c>
      <c r="N719">
        <v>2</v>
      </c>
      <c r="O719">
        <v>1</v>
      </c>
      <c r="P719">
        <v>0</v>
      </c>
      <c r="Q719">
        <v>0</v>
      </c>
      <c r="R719" t="s">
        <v>127</v>
      </c>
      <c r="S719" t="str">
        <f>"15:45:01.555"</f>
        <v>15:45:01.555</v>
      </c>
      <c r="T719" t="str">
        <f>"15:45:01.255"</f>
        <v>15:45:01.255</v>
      </c>
      <c r="U719" t="str">
        <f t="shared" si="64"/>
        <v>A55E09</v>
      </c>
      <c r="V719">
        <v>0</v>
      </c>
      <c r="W719">
        <v>0</v>
      </c>
      <c r="X719">
        <v>2</v>
      </c>
      <c r="Y719">
        <v>0</v>
      </c>
      <c r="AA719">
        <v>0</v>
      </c>
      <c r="AB719">
        <v>9</v>
      </c>
      <c r="AC719">
        <v>3</v>
      </c>
      <c r="AD719">
        <v>0</v>
      </c>
      <c r="AE719">
        <v>9</v>
      </c>
      <c r="AF719" t="s">
        <v>128</v>
      </c>
      <c r="AG719">
        <v>0</v>
      </c>
      <c r="AH719">
        <v>0</v>
      </c>
      <c r="AI719">
        <v>1</v>
      </c>
      <c r="AJ719">
        <v>0</v>
      </c>
      <c r="AK719" t="s">
        <v>467</v>
      </c>
      <c r="AL719">
        <v>33.76605</v>
      </c>
      <c r="AM719" t="s">
        <v>468</v>
      </c>
      <c r="AN719">
        <v>-101.226203</v>
      </c>
      <c r="AO719">
        <v>100</v>
      </c>
      <c r="AP719">
        <v>3200</v>
      </c>
      <c r="AQ719" t="s">
        <v>131</v>
      </c>
      <c r="AR719">
        <v>-24</v>
      </c>
      <c r="AS719">
        <v>11</v>
      </c>
      <c r="AT719">
        <v>320</v>
      </c>
      <c r="BB719" t="str">
        <f t="shared" si="62"/>
        <v>1200</v>
      </c>
      <c r="BC719">
        <v>1</v>
      </c>
      <c r="BD719" t="str">
        <f t="shared" si="63"/>
        <v xml:space="preserve">N445JS  </v>
      </c>
      <c r="BE719">
        <v>7</v>
      </c>
      <c r="BG719">
        <v>0</v>
      </c>
      <c r="BH719">
        <v>0</v>
      </c>
      <c r="BI719">
        <v>0</v>
      </c>
      <c r="BJ719">
        <v>3000</v>
      </c>
      <c r="BK719">
        <v>-200</v>
      </c>
      <c r="BL719" t="s">
        <v>132</v>
      </c>
      <c r="BM719">
        <v>1</v>
      </c>
      <c r="BN719">
        <v>1</v>
      </c>
      <c r="BO719">
        <v>1</v>
      </c>
      <c r="BP719">
        <v>0</v>
      </c>
      <c r="BT719">
        <v>0</v>
      </c>
      <c r="BU719">
        <v>0</v>
      </c>
      <c r="CE719" t="str">
        <f>"15:45:01.559"</f>
        <v>15:45:01.559</v>
      </c>
      <c r="CF719">
        <v>559051243</v>
      </c>
      <c r="CS719">
        <v>0</v>
      </c>
      <c r="CT719">
        <v>2</v>
      </c>
      <c r="CU719">
        <v>0</v>
      </c>
      <c r="CV719">
        <v>2</v>
      </c>
      <c r="CW719">
        <v>0</v>
      </c>
      <c r="CX719">
        <v>7</v>
      </c>
      <c r="CY719">
        <v>7</v>
      </c>
      <c r="CZ719" t="s">
        <v>133</v>
      </c>
      <c r="DA719">
        <v>125</v>
      </c>
      <c r="DB719">
        <v>0</v>
      </c>
      <c r="DC719" t="s">
        <v>134</v>
      </c>
      <c r="DD719" t="s">
        <v>135</v>
      </c>
      <c r="DG719">
        <v>3880596</v>
      </c>
      <c r="DI719">
        <v>0</v>
      </c>
      <c r="DJ719">
        <v>0</v>
      </c>
      <c r="DK719">
        <v>0</v>
      </c>
      <c r="DL719">
        <v>0</v>
      </c>
      <c r="DM719">
        <v>0</v>
      </c>
      <c r="DN719">
        <v>0</v>
      </c>
      <c r="DO719">
        <v>0</v>
      </c>
      <c r="DP719">
        <v>0</v>
      </c>
      <c r="DQ719">
        <v>0</v>
      </c>
      <c r="DR719">
        <v>0</v>
      </c>
      <c r="DS719">
        <v>0</v>
      </c>
    </row>
    <row r="720" spans="1:123" x14ac:dyDescent="0.25">
      <c r="A720" t="str">
        <f>"04/17/2026 15:45:01.856"</f>
        <v>04/17/2026 15:45:01.856</v>
      </c>
      <c r="C720" t="str">
        <f t="shared" si="61"/>
        <v>FFDFD3C0</v>
      </c>
      <c r="D720" t="s">
        <v>136</v>
      </c>
      <c r="E720" t="str">
        <f>"0F"</f>
        <v>0F</v>
      </c>
      <c r="F720">
        <v>1015</v>
      </c>
      <c r="G720" t="s">
        <v>138</v>
      </c>
      <c r="J720" t="s">
        <v>137</v>
      </c>
      <c r="K720">
        <v>0</v>
      </c>
      <c r="L720">
        <v>3</v>
      </c>
      <c r="M720">
        <v>0</v>
      </c>
      <c r="N720">
        <v>2</v>
      </c>
      <c r="O720">
        <v>1</v>
      </c>
      <c r="P720">
        <v>0</v>
      </c>
      <c r="Q720">
        <v>0</v>
      </c>
      <c r="R720" t="s">
        <v>127</v>
      </c>
      <c r="S720" t="str">
        <f>"15:45:01.555"</f>
        <v>15:45:01.555</v>
      </c>
      <c r="T720" t="str">
        <f>"15:45:01.255"</f>
        <v>15:45:01.255</v>
      </c>
      <c r="U720" t="str">
        <f t="shared" si="64"/>
        <v>A55E09</v>
      </c>
      <c r="V720">
        <v>0</v>
      </c>
      <c r="W720">
        <v>0</v>
      </c>
      <c r="X720">
        <v>2</v>
      </c>
      <c r="Y720">
        <v>0</v>
      </c>
      <c r="AA720">
        <v>0</v>
      </c>
      <c r="AB720">
        <v>9</v>
      </c>
      <c r="AC720">
        <v>3</v>
      </c>
      <c r="AD720">
        <v>0</v>
      </c>
      <c r="AE720">
        <v>9</v>
      </c>
      <c r="AF720" t="s">
        <v>128</v>
      </c>
      <c r="AG720">
        <v>0</v>
      </c>
      <c r="AH720">
        <v>0</v>
      </c>
      <c r="AI720">
        <v>1</v>
      </c>
      <c r="AJ720">
        <v>0</v>
      </c>
      <c r="AK720" t="s">
        <v>467</v>
      </c>
      <c r="AL720">
        <v>33.76605</v>
      </c>
      <c r="AM720" t="s">
        <v>468</v>
      </c>
      <c r="AN720">
        <v>-101.226203</v>
      </c>
      <c r="AO720">
        <v>100</v>
      </c>
      <c r="AP720">
        <v>3200</v>
      </c>
      <c r="AQ720" t="s">
        <v>131</v>
      </c>
      <c r="AR720">
        <v>-24</v>
      </c>
      <c r="AS720">
        <v>11</v>
      </c>
      <c r="AT720">
        <v>320</v>
      </c>
      <c r="BB720" t="str">
        <f t="shared" si="62"/>
        <v>1200</v>
      </c>
      <c r="BC720">
        <v>1</v>
      </c>
      <c r="BD720" t="str">
        <f t="shared" si="63"/>
        <v xml:space="preserve">N445JS  </v>
      </c>
      <c r="BE720">
        <v>7</v>
      </c>
      <c r="BG720">
        <v>0</v>
      </c>
      <c r="BH720">
        <v>0</v>
      </c>
      <c r="BI720">
        <v>0</v>
      </c>
      <c r="BJ720">
        <v>3000</v>
      </c>
      <c r="BK720">
        <v>-200</v>
      </c>
      <c r="BL720" t="s">
        <v>132</v>
      </c>
      <c r="BM720">
        <v>1</v>
      </c>
      <c r="BN720">
        <v>1</v>
      </c>
      <c r="BO720">
        <v>1</v>
      </c>
      <c r="BP720">
        <v>0</v>
      </c>
      <c r="BT720">
        <v>0</v>
      </c>
      <c r="BU720">
        <v>0</v>
      </c>
      <c r="CE720" t="str">
        <f>"15:45:01.559"</f>
        <v>15:45:01.559</v>
      </c>
      <c r="CF720">
        <v>559051243</v>
      </c>
      <c r="CS720">
        <v>0</v>
      </c>
      <c r="CT720">
        <v>2</v>
      </c>
      <c r="CU720">
        <v>0</v>
      </c>
      <c r="CV720">
        <v>2</v>
      </c>
      <c r="CW720">
        <v>0</v>
      </c>
      <c r="CX720">
        <v>7</v>
      </c>
      <c r="CY720">
        <v>7</v>
      </c>
      <c r="CZ720" t="s">
        <v>133</v>
      </c>
      <c r="DA720">
        <v>125</v>
      </c>
      <c r="DB720">
        <v>0</v>
      </c>
      <c r="DC720" t="s">
        <v>134</v>
      </c>
      <c r="DD720" t="s">
        <v>135</v>
      </c>
      <c r="DG720">
        <v>3880596</v>
      </c>
      <c r="DI720">
        <v>0</v>
      </c>
      <c r="DJ720">
        <v>0</v>
      </c>
      <c r="DK720">
        <v>1</v>
      </c>
      <c r="DL720">
        <v>0</v>
      </c>
      <c r="DM720">
        <v>0</v>
      </c>
      <c r="DN720">
        <v>0</v>
      </c>
      <c r="DO720">
        <v>0</v>
      </c>
      <c r="DP720">
        <v>0</v>
      </c>
      <c r="DQ720">
        <v>0</v>
      </c>
      <c r="DR720">
        <v>0</v>
      </c>
      <c r="DS720">
        <v>0</v>
      </c>
    </row>
    <row r="721" spans="1:123" x14ac:dyDescent="0.25">
      <c r="A721" t="str">
        <f>"04/17/2026 15:45:01.862"</f>
        <v>04/17/2026 15:45:01.862</v>
      </c>
      <c r="C721" t="str">
        <f t="shared" si="61"/>
        <v>FFDFD3C0</v>
      </c>
      <c r="D721" t="s">
        <v>139</v>
      </c>
      <c r="E721" t="str">
        <f>"28"</f>
        <v>28</v>
      </c>
      <c r="H721">
        <v>140</v>
      </c>
      <c r="I721" t="s">
        <v>140</v>
      </c>
      <c r="J721" t="s">
        <v>141</v>
      </c>
      <c r="K721">
        <v>0</v>
      </c>
      <c r="L721">
        <v>3</v>
      </c>
      <c r="M721">
        <v>0</v>
      </c>
      <c r="N721">
        <v>2</v>
      </c>
      <c r="O721">
        <v>1</v>
      </c>
      <c r="P721">
        <v>0</v>
      </c>
      <c r="Q721">
        <v>0</v>
      </c>
      <c r="R721" t="s">
        <v>127</v>
      </c>
      <c r="S721" t="str">
        <f>"15:45:01.555"</f>
        <v>15:45:01.555</v>
      </c>
      <c r="T721" t="str">
        <f>"15:45:01.255"</f>
        <v>15:45:01.255</v>
      </c>
      <c r="U721" t="str">
        <f t="shared" si="64"/>
        <v>A55E09</v>
      </c>
      <c r="V721">
        <v>0</v>
      </c>
      <c r="W721">
        <v>0</v>
      </c>
      <c r="X721">
        <v>2</v>
      </c>
      <c r="Y721">
        <v>0</v>
      </c>
      <c r="AA721">
        <v>0</v>
      </c>
      <c r="AB721">
        <v>9</v>
      </c>
      <c r="AC721">
        <v>3</v>
      </c>
      <c r="AD721">
        <v>0</v>
      </c>
      <c r="AE721">
        <v>9</v>
      </c>
      <c r="AF721" t="s">
        <v>128</v>
      </c>
      <c r="AG721">
        <v>0</v>
      </c>
      <c r="AH721">
        <v>0</v>
      </c>
      <c r="AI721">
        <v>1</v>
      </c>
      <c r="AJ721">
        <v>0</v>
      </c>
      <c r="AK721" t="s">
        <v>467</v>
      </c>
      <c r="AL721">
        <v>33.76605</v>
      </c>
      <c r="AM721" t="s">
        <v>468</v>
      </c>
      <c r="AN721">
        <v>-101.226203</v>
      </c>
      <c r="AO721">
        <v>100</v>
      </c>
      <c r="AP721">
        <v>3200</v>
      </c>
      <c r="AQ721" t="s">
        <v>131</v>
      </c>
      <c r="AR721">
        <v>-24</v>
      </c>
      <c r="AS721">
        <v>11</v>
      </c>
      <c r="AT721">
        <v>320</v>
      </c>
      <c r="BB721" t="str">
        <f t="shared" si="62"/>
        <v>1200</v>
      </c>
      <c r="BC721">
        <v>1</v>
      </c>
      <c r="BD721" t="str">
        <f t="shared" si="63"/>
        <v xml:space="preserve">N445JS  </v>
      </c>
      <c r="BE721">
        <v>7</v>
      </c>
      <c r="BG721">
        <v>0</v>
      </c>
      <c r="BH721">
        <v>0</v>
      </c>
      <c r="BI721">
        <v>0</v>
      </c>
      <c r="BJ721">
        <v>3000</v>
      </c>
      <c r="BK721">
        <v>-200</v>
      </c>
      <c r="BL721" t="s">
        <v>132</v>
      </c>
      <c r="BM721">
        <v>1</v>
      </c>
      <c r="BN721">
        <v>1</v>
      </c>
      <c r="BO721">
        <v>1</v>
      </c>
      <c r="BP721">
        <v>0</v>
      </c>
      <c r="BT721">
        <v>0</v>
      </c>
      <c r="BU721">
        <v>0</v>
      </c>
      <c r="CE721" t="str">
        <f>"15:45:01.559"</f>
        <v>15:45:01.559</v>
      </c>
      <c r="CF721">
        <v>559051243</v>
      </c>
      <c r="CS721">
        <v>0</v>
      </c>
      <c r="CT721">
        <v>2</v>
      </c>
      <c r="CU721">
        <v>0</v>
      </c>
      <c r="CV721">
        <v>2</v>
      </c>
      <c r="CW721">
        <v>0</v>
      </c>
      <c r="CX721">
        <v>7</v>
      </c>
      <c r="CY721">
        <v>7</v>
      </c>
      <c r="CZ721" t="s">
        <v>133</v>
      </c>
      <c r="DA721">
        <v>125</v>
      </c>
      <c r="DB721">
        <v>0</v>
      </c>
      <c r="DC721" t="s">
        <v>134</v>
      </c>
      <c r="DD721" t="s">
        <v>135</v>
      </c>
      <c r="DG721">
        <v>3880596</v>
      </c>
      <c r="DI721">
        <v>0</v>
      </c>
      <c r="DJ721">
        <v>0</v>
      </c>
      <c r="DK721">
        <v>1</v>
      </c>
      <c r="DL721">
        <v>0</v>
      </c>
      <c r="DM721">
        <v>0</v>
      </c>
      <c r="DN721">
        <v>0</v>
      </c>
      <c r="DO721">
        <v>0</v>
      </c>
      <c r="DP721">
        <v>0</v>
      </c>
      <c r="DQ721">
        <v>0</v>
      </c>
      <c r="DR721">
        <v>0</v>
      </c>
      <c r="DS721">
        <v>0</v>
      </c>
    </row>
    <row r="722" spans="1:123" x14ac:dyDescent="0.25">
      <c r="A722" t="str">
        <f>"04/17/2026 15:45:01.868"</f>
        <v>04/17/2026 15:45:01.868</v>
      </c>
      <c r="C722" t="str">
        <f t="shared" si="61"/>
        <v>FFDFD3C0</v>
      </c>
      <c r="D722" t="s">
        <v>124</v>
      </c>
      <c r="E722" t="str">
        <f>"03"</f>
        <v>03</v>
      </c>
      <c r="H722">
        <v>160</v>
      </c>
      <c r="I722" t="s">
        <v>125</v>
      </c>
      <c r="J722" t="s">
        <v>126</v>
      </c>
      <c r="K722">
        <v>0</v>
      </c>
      <c r="L722">
        <v>3</v>
      </c>
      <c r="M722">
        <v>0</v>
      </c>
      <c r="N722">
        <v>2</v>
      </c>
      <c r="O722">
        <v>1</v>
      </c>
      <c r="P722">
        <v>0</v>
      </c>
      <c r="Q722">
        <v>0</v>
      </c>
      <c r="R722" t="s">
        <v>127</v>
      </c>
      <c r="S722" t="str">
        <f>"15:45:01.555"</f>
        <v>15:45:01.555</v>
      </c>
      <c r="T722" t="str">
        <f>"15:45:01.255"</f>
        <v>15:45:01.255</v>
      </c>
      <c r="U722" t="str">
        <f t="shared" si="64"/>
        <v>A55E09</v>
      </c>
      <c r="V722">
        <v>0</v>
      </c>
      <c r="W722">
        <v>0</v>
      </c>
      <c r="X722">
        <v>2</v>
      </c>
      <c r="Y722">
        <v>0</v>
      </c>
      <c r="AA722">
        <v>0</v>
      </c>
      <c r="AB722">
        <v>9</v>
      </c>
      <c r="AC722">
        <v>3</v>
      </c>
      <c r="AD722">
        <v>0</v>
      </c>
      <c r="AE722">
        <v>9</v>
      </c>
      <c r="AF722" t="s">
        <v>128</v>
      </c>
      <c r="AG722">
        <v>0</v>
      </c>
      <c r="AH722">
        <v>0</v>
      </c>
      <c r="AI722">
        <v>1</v>
      </c>
      <c r="AJ722">
        <v>0</v>
      </c>
      <c r="AK722" t="s">
        <v>467</v>
      </c>
      <c r="AL722">
        <v>33.76605</v>
      </c>
      <c r="AM722" t="s">
        <v>468</v>
      </c>
      <c r="AN722">
        <v>-101.226203</v>
      </c>
      <c r="AO722">
        <v>100</v>
      </c>
      <c r="AP722">
        <v>3200</v>
      </c>
      <c r="AQ722" t="s">
        <v>131</v>
      </c>
      <c r="AR722">
        <v>-24</v>
      </c>
      <c r="AS722">
        <v>11</v>
      </c>
      <c r="AT722">
        <v>320</v>
      </c>
      <c r="BB722" t="str">
        <f t="shared" si="62"/>
        <v>1200</v>
      </c>
      <c r="BC722">
        <v>1</v>
      </c>
      <c r="BD722" t="str">
        <f t="shared" si="63"/>
        <v xml:space="preserve">N445JS  </v>
      </c>
      <c r="BE722">
        <v>7</v>
      </c>
      <c r="BG722">
        <v>0</v>
      </c>
      <c r="BH722">
        <v>0</v>
      </c>
      <c r="BI722">
        <v>0</v>
      </c>
      <c r="BJ722">
        <v>3000</v>
      </c>
      <c r="BK722">
        <v>-200</v>
      </c>
      <c r="BL722" t="s">
        <v>132</v>
      </c>
      <c r="BM722">
        <v>1</v>
      </c>
      <c r="BN722">
        <v>1</v>
      </c>
      <c r="BO722">
        <v>1</v>
      </c>
      <c r="BP722">
        <v>0</v>
      </c>
      <c r="BT722">
        <v>0</v>
      </c>
      <c r="BU722">
        <v>0</v>
      </c>
      <c r="CE722" t="str">
        <f>"15:45:01.559"</f>
        <v>15:45:01.559</v>
      </c>
      <c r="CF722">
        <v>559051243</v>
      </c>
      <c r="CS722">
        <v>0</v>
      </c>
      <c r="CT722">
        <v>2</v>
      </c>
      <c r="CU722">
        <v>0</v>
      </c>
      <c r="CV722">
        <v>2</v>
      </c>
      <c r="CW722">
        <v>0</v>
      </c>
      <c r="CX722">
        <v>7</v>
      </c>
      <c r="CY722">
        <v>7</v>
      </c>
      <c r="CZ722" t="s">
        <v>133</v>
      </c>
      <c r="DA722">
        <v>125</v>
      </c>
      <c r="DB722">
        <v>0</v>
      </c>
      <c r="DC722" t="s">
        <v>134</v>
      </c>
      <c r="DD722" t="s">
        <v>135</v>
      </c>
      <c r="DG722">
        <v>3880596</v>
      </c>
      <c r="DI722">
        <v>0</v>
      </c>
      <c r="DJ722">
        <v>0</v>
      </c>
      <c r="DK722">
        <v>1</v>
      </c>
      <c r="DL722">
        <v>0</v>
      </c>
      <c r="DM722">
        <v>0</v>
      </c>
      <c r="DN722">
        <v>0</v>
      </c>
      <c r="DO722">
        <v>0</v>
      </c>
      <c r="DP722">
        <v>0</v>
      </c>
      <c r="DQ722">
        <v>0</v>
      </c>
      <c r="DR722">
        <v>0</v>
      </c>
      <c r="DS722">
        <v>0</v>
      </c>
    </row>
    <row r="723" spans="1:123" x14ac:dyDescent="0.25">
      <c r="A723" t="str">
        <f>"04/17/2026 15:45:03.264"</f>
        <v>04/17/2026 15:45:03.264</v>
      </c>
      <c r="C723" t="str">
        <f t="shared" si="61"/>
        <v>FFDFD3C0</v>
      </c>
      <c r="D723" t="s">
        <v>139</v>
      </c>
      <c r="E723" t="str">
        <f>"28"</f>
        <v>28</v>
      </c>
      <c r="H723">
        <v>140</v>
      </c>
      <c r="I723" t="s">
        <v>140</v>
      </c>
      <c r="J723" t="s">
        <v>141</v>
      </c>
      <c r="K723">
        <v>0</v>
      </c>
      <c r="L723">
        <v>3</v>
      </c>
      <c r="M723">
        <v>0</v>
      </c>
      <c r="N723">
        <v>2</v>
      </c>
      <c r="O723">
        <v>1</v>
      </c>
      <c r="P723">
        <v>0</v>
      </c>
      <c r="Q723">
        <v>0</v>
      </c>
      <c r="R723" t="s">
        <v>127</v>
      </c>
      <c r="S723" t="str">
        <f>"15:45:02.992"</f>
        <v>15:45:02.992</v>
      </c>
      <c r="T723" t="str">
        <f>"15:45:02.792"</f>
        <v>15:45:02.792</v>
      </c>
      <c r="U723" t="str">
        <f t="shared" si="64"/>
        <v>A55E09</v>
      </c>
      <c r="V723">
        <v>0</v>
      </c>
      <c r="W723">
        <v>0</v>
      </c>
      <c r="X723">
        <v>2</v>
      </c>
      <c r="Y723">
        <v>0</v>
      </c>
      <c r="AA723">
        <v>0</v>
      </c>
      <c r="AB723">
        <v>9</v>
      </c>
      <c r="AC723">
        <v>3</v>
      </c>
      <c r="AD723">
        <v>0</v>
      </c>
      <c r="AE723">
        <v>9</v>
      </c>
      <c r="AF723" t="s">
        <v>128</v>
      </c>
      <c r="AG723">
        <v>0</v>
      </c>
      <c r="AH723">
        <v>0</v>
      </c>
      <c r="AI723">
        <v>1</v>
      </c>
      <c r="AJ723">
        <v>0</v>
      </c>
      <c r="AK723" t="s">
        <v>469</v>
      </c>
      <c r="AL723">
        <v>33.766157999999997</v>
      </c>
      <c r="AM723" t="s">
        <v>470</v>
      </c>
      <c r="AN723">
        <v>-101.226354</v>
      </c>
      <c r="AO723">
        <v>100</v>
      </c>
      <c r="AP723">
        <v>3200</v>
      </c>
      <c r="AQ723" t="s">
        <v>131</v>
      </c>
      <c r="AR723">
        <v>-20</v>
      </c>
      <c r="AS723">
        <v>19</v>
      </c>
      <c r="AT723">
        <v>320</v>
      </c>
      <c r="BB723" t="str">
        <f t="shared" si="62"/>
        <v>1200</v>
      </c>
      <c r="BC723">
        <v>1</v>
      </c>
      <c r="BD723" t="str">
        <f t="shared" si="63"/>
        <v xml:space="preserve">N445JS  </v>
      </c>
      <c r="BE723">
        <v>7</v>
      </c>
      <c r="BG723">
        <v>0</v>
      </c>
      <c r="BH723">
        <v>0</v>
      </c>
      <c r="BI723">
        <v>0</v>
      </c>
      <c r="BJ723">
        <v>3000</v>
      </c>
      <c r="BK723">
        <v>-200</v>
      </c>
      <c r="BL723" t="s">
        <v>132</v>
      </c>
      <c r="BM723">
        <v>1</v>
      </c>
      <c r="BN723">
        <v>1</v>
      </c>
      <c r="BO723">
        <v>1</v>
      </c>
      <c r="BP723">
        <v>0</v>
      </c>
      <c r="BT723">
        <v>0</v>
      </c>
      <c r="BU723">
        <v>0</v>
      </c>
      <c r="CE723" t="str">
        <f>"15:45:02.999"</f>
        <v>15:45:02.999</v>
      </c>
      <c r="CF723">
        <v>998910146</v>
      </c>
      <c r="CS723">
        <v>0</v>
      </c>
      <c r="CT723">
        <v>2</v>
      </c>
      <c r="CU723">
        <v>0</v>
      </c>
      <c r="CV723">
        <v>2</v>
      </c>
      <c r="CW723">
        <v>0</v>
      </c>
      <c r="CX723">
        <v>7</v>
      </c>
      <c r="CY723">
        <v>7</v>
      </c>
      <c r="CZ723" t="s">
        <v>133</v>
      </c>
      <c r="DA723">
        <v>125</v>
      </c>
      <c r="DB723">
        <v>1</v>
      </c>
      <c r="DC723" t="s">
        <v>134</v>
      </c>
      <c r="DD723" t="s">
        <v>135</v>
      </c>
      <c r="DG723">
        <v>2904596</v>
      </c>
      <c r="DI723">
        <v>0</v>
      </c>
      <c r="DJ723">
        <v>0</v>
      </c>
      <c r="DK723">
        <v>0</v>
      </c>
      <c r="DL723">
        <v>0</v>
      </c>
      <c r="DM723">
        <v>0</v>
      </c>
      <c r="DN723">
        <v>0</v>
      </c>
      <c r="DO723">
        <v>0</v>
      </c>
      <c r="DP723">
        <v>0</v>
      </c>
      <c r="DQ723">
        <v>0</v>
      </c>
      <c r="DR723">
        <v>0</v>
      </c>
      <c r="DS723">
        <v>0</v>
      </c>
    </row>
    <row r="724" spans="1:123" x14ac:dyDescent="0.25">
      <c r="A724" t="str">
        <f>"04/17/2026 15:45:03.270"</f>
        <v>04/17/2026 15:45:03.270</v>
      </c>
      <c r="C724" t="str">
        <f t="shared" ref="C724:C755" si="65">"FFDFD3C0"</f>
        <v>FFDFD3C0</v>
      </c>
      <c r="D724" t="s">
        <v>124</v>
      </c>
      <c r="E724" t="str">
        <f>"03"</f>
        <v>03</v>
      </c>
      <c r="H724">
        <v>160</v>
      </c>
      <c r="I724" t="s">
        <v>125</v>
      </c>
      <c r="J724" t="s">
        <v>126</v>
      </c>
      <c r="K724">
        <v>0</v>
      </c>
      <c r="L724">
        <v>3</v>
      </c>
      <c r="M724">
        <v>0</v>
      </c>
      <c r="N724">
        <v>2</v>
      </c>
      <c r="O724">
        <v>1</v>
      </c>
      <c r="P724">
        <v>0</v>
      </c>
      <c r="Q724">
        <v>0</v>
      </c>
      <c r="R724" t="s">
        <v>127</v>
      </c>
      <c r="S724" t="str">
        <f>"15:45:02.992"</f>
        <v>15:45:02.992</v>
      </c>
      <c r="T724" t="str">
        <f>"15:45:02.792"</f>
        <v>15:45:02.792</v>
      </c>
      <c r="U724" t="str">
        <f t="shared" si="64"/>
        <v>A55E09</v>
      </c>
      <c r="V724">
        <v>0</v>
      </c>
      <c r="W724">
        <v>0</v>
      </c>
      <c r="X724">
        <v>2</v>
      </c>
      <c r="Y724">
        <v>0</v>
      </c>
      <c r="AA724">
        <v>0</v>
      </c>
      <c r="AB724">
        <v>9</v>
      </c>
      <c r="AC724">
        <v>3</v>
      </c>
      <c r="AD724">
        <v>0</v>
      </c>
      <c r="AE724">
        <v>9</v>
      </c>
      <c r="AF724" t="s">
        <v>128</v>
      </c>
      <c r="AG724">
        <v>0</v>
      </c>
      <c r="AH724">
        <v>0</v>
      </c>
      <c r="AI724">
        <v>1</v>
      </c>
      <c r="AJ724">
        <v>0</v>
      </c>
      <c r="AK724" t="s">
        <v>469</v>
      </c>
      <c r="AL724">
        <v>33.766157999999997</v>
      </c>
      <c r="AM724" t="s">
        <v>470</v>
      </c>
      <c r="AN724">
        <v>-101.226354</v>
      </c>
      <c r="AO724">
        <v>100</v>
      </c>
      <c r="AP724">
        <v>3200</v>
      </c>
      <c r="AQ724" t="s">
        <v>131</v>
      </c>
      <c r="AR724">
        <v>-20</v>
      </c>
      <c r="AS724">
        <v>19</v>
      </c>
      <c r="AT724">
        <v>320</v>
      </c>
      <c r="BB724" t="str">
        <f t="shared" ref="BB724:BB755" si="66">"1200"</f>
        <v>1200</v>
      </c>
      <c r="BC724">
        <v>1</v>
      </c>
      <c r="BD724" t="str">
        <f t="shared" ref="BD724:BD755" si="67">"N445JS  "</f>
        <v xml:space="preserve">N445JS  </v>
      </c>
      <c r="BE724">
        <v>7</v>
      </c>
      <c r="BG724">
        <v>0</v>
      </c>
      <c r="BH724">
        <v>0</v>
      </c>
      <c r="BI724">
        <v>0</v>
      </c>
      <c r="BJ724">
        <v>3000</v>
      </c>
      <c r="BK724">
        <v>-200</v>
      </c>
      <c r="BL724" t="s">
        <v>132</v>
      </c>
      <c r="BM724">
        <v>1</v>
      </c>
      <c r="BN724">
        <v>1</v>
      </c>
      <c r="BO724">
        <v>1</v>
      </c>
      <c r="BP724">
        <v>0</v>
      </c>
      <c r="BT724">
        <v>0</v>
      </c>
      <c r="BU724">
        <v>0</v>
      </c>
      <c r="CE724" t="str">
        <f>"15:45:02.999"</f>
        <v>15:45:02.999</v>
      </c>
      <c r="CF724">
        <v>998910146</v>
      </c>
      <c r="CS724">
        <v>0</v>
      </c>
      <c r="CT724">
        <v>2</v>
      </c>
      <c r="CU724">
        <v>0</v>
      </c>
      <c r="CV724">
        <v>2</v>
      </c>
      <c r="CW724">
        <v>0</v>
      </c>
      <c r="CX724">
        <v>7</v>
      </c>
      <c r="CY724">
        <v>7</v>
      </c>
      <c r="CZ724" t="s">
        <v>133</v>
      </c>
      <c r="DA724">
        <v>125</v>
      </c>
      <c r="DB724">
        <v>1</v>
      </c>
      <c r="DC724" t="s">
        <v>134</v>
      </c>
      <c r="DD724" t="s">
        <v>135</v>
      </c>
      <c r="DG724">
        <v>2904596</v>
      </c>
      <c r="DI724">
        <v>0</v>
      </c>
      <c r="DJ724">
        <v>0</v>
      </c>
      <c r="DK724">
        <v>1</v>
      </c>
      <c r="DL724">
        <v>0</v>
      </c>
      <c r="DM724">
        <v>0</v>
      </c>
      <c r="DN724">
        <v>0</v>
      </c>
      <c r="DO724">
        <v>0</v>
      </c>
      <c r="DP724">
        <v>0</v>
      </c>
      <c r="DQ724">
        <v>0</v>
      </c>
      <c r="DR724">
        <v>0</v>
      </c>
      <c r="DS724">
        <v>0</v>
      </c>
    </row>
    <row r="725" spans="1:123" x14ac:dyDescent="0.25">
      <c r="A725" t="str">
        <f>"04/17/2026 15:45:03.294"</f>
        <v>04/17/2026 15:45:03.294</v>
      </c>
      <c r="C725" t="str">
        <f t="shared" si="65"/>
        <v>FFDFD3C0</v>
      </c>
      <c r="D725" t="s">
        <v>136</v>
      </c>
      <c r="E725" t="str">
        <f>"0E"</f>
        <v>0E</v>
      </c>
      <c r="F725">
        <v>1014</v>
      </c>
      <c r="G725" t="s">
        <v>125</v>
      </c>
      <c r="J725" t="s">
        <v>137</v>
      </c>
      <c r="K725">
        <v>0</v>
      </c>
      <c r="L725">
        <v>3</v>
      </c>
      <c r="M725">
        <v>0</v>
      </c>
      <c r="N725">
        <v>2</v>
      </c>
      <c r="O725">
        <v>1</v>
      </c>
      <c r="P725">
        <v>0</v>
      </c>
      <c r="Q725">
        <v>0</v>
      </c>
      <c r="R725" t="s">
        <v>127</v>
      </c>
      <c r="S725" t="str">
        <f>"15:45:02.992"</f>
        <v>15:45:02.992</v>
      </c>
      <c r="T725" t="str">
        <f>"15:45:02.792"</f>
        <v>15:45:02.792</v>
      </c>
      <c r="U725" t="str">
        <f t="shared" si="64"/>
        <v>A55E09</v>
      </c>
      <c r="V725">
        <v>0</v>
      </c>
      <c r="W725">
        <v>0</v>
      </c>
      <c r="X725">
        <v>2</v>
      </c>
      <c r="Y725">
        <v>0</v>
      </c>
      <c r="AA725">
        <v>0</v>
      </c>
      <c r="AB725">
        <v>9</v>
      </c>
      <c r="AC725">
        <v>3</v>
      </c>
      <c r="AD725">
        <v>0</v>
      </c>
      <c r="AE725">
        <v>9</v>
      </c>
      <c r="AF725" t="s">
        <v>128</v>
      </c>
      <c r="AG725">
        <v>0</v>
      </c>
      <c r="AH725">
        <v>0</v>
      </c>
      <c r="AI725">
        <v>1</v>
      </c>
      <c r="AJ725">
        <v>0</v>
      </c>
      <c r="AK725" t="s">
        <v>469</v>
      </c>
      <c r="AL725">
        <v>33.766157999999997</v>
      </c>
      <c r="AM725" t="s">
        <v>470</v>
      </c>
      <c r="AN725">
        <v>-101.226354</v>
      </c>
      <c r="AO725">
        <v>100</v>
      </c>
      <c r="AP725">
        <v>3200</v>
      </c>
      <c r="AQ725" t="s">
        <v>131</v>
      </c>
      <c r="AR725">
        <v>-20</v>
      </c>
      <c r="AS725">
        <v>19</v>
      </c>
      <c r="AT725">
        <v>320</v>
      </c>
      <c r="BB725" t="str">
        <f t="shared" si="66"/>
        <v>1200</v>
      </c>
      <c r="BC725">
        <v>1</v>
      </c>
      <c r="BD725" t="str">
        <f t="shared" si="67"/>
        <v xml:space="preserve">N445JS  </v>
      </c>
      <c r="BE725">
        <v>7</v>
      </c>
      <c r="BG725">
        <v>0</v>
      </c>
      <c r="BH725">
        <v>0</v>
      </c>
      <c r="BI725">
        <v>0</v>
      </c>
      <c r="BJ725">
        <v>3000</v>
      </c>
      <c r="BK725">
        <v>-200</v>
      </c>
      <c r="BL725" t="s">
        <v>132</v>
      </c>
      <c r="BM725">
        <v>1</v>
      </c>
      <c r="BN725">
        <v>1</v>
      </c>
      <c r="BO725">
        <v>1</v>
      </c>
      <c r="BP725">
        <v>0</v>
      </c>
      <c r="BT725">
        <v>0</v>
      </c>
      <c r="BU725">
        <v>0</v>
      </c>
      <c r="CE725" t="str">
        <f>"15:45:02.999"</f>
        <v>15:45:02.999</v>
      </c>
      <c r="CF725">
        <v>998910146</v>
      </c>
      <c r="CS725">
        <v>0</v>
      </c>
      <c r="CT725">
        <v>2</v>
      </c>
      <c r="CU725">
        <v>0</v>
      </c>
      <c r="CV725">
        <v>2</v>
      </c>
      <c r="CW725">
        <v>0</v>
      </c>
      <c r="CX725">
        <v>7</v>
      </c>
      <c r="CY725">
        <v>7</v>
      </c>
      <c r="CZ725" t="s">
        <v>133</v>
      </c>
      <c r="DA725">
        <v>125</v>
      </c>
      <c r="DB725">
        <v>1</v>
      </c>
      <c r="DC725" t="s">
        <v>134</v>
      </c>
      <c r="DD725" t="s">
        <v>135</v>
      </c>
      <c r="DG725">
        <v>2904596</v>
      </c>
      <c r="DI725">
        <v>0</v>
      </c>
      <c r="DJ725">
        <v>0</v>
      </c>
      <c r="DK725">
        <v>1</v>
      </c>
      <c r="DL725">
        <v>0</v>
      </c>
      <c r="DM725">
        <v>0</v>
      </c>
      <c r="DN725">
        <v>0</v>
      </c>
      <c r="DO725">
        <v>0</v>
      </c>
      <c r="DP725">
        <v>0</v>
      </c>
      <c r="DQ725">
        <v>0</v>
      </c>
      <c r="DR725">
        <v>0</v>
      </c>
      <c r="DS725">
        <v>0</v>
      </c>
    </row>
    <row r="726" spans="1:123" x14ac:dyDescent="0.25">
      <c r="A726" t="str">
        <f>"04/17/2026 15:45:03.309"</f>
        <v>04/17/2026 15:45:03.309</v>
      </c>
      <c r="C726" t="str">
        <f t="shared" si="65"/>
        <v>FFDFD3C0</v>
      </c>
      <c r="D726" t="s">
        <v>136</v>
      </c>
      <c r="E726" t="str">
        <f>"0F"</f>
        <v>0F</v>
      </c>
      <c r="F726">
        <v>1015</v>
      </c>
      <c r="G726" t="s">
        <v>138</v>
      </c>
      <c r="J726" t="s">
        <v>137</v>
      </c>
      <c r="K726">
        <v>0</v>
      </c>
      <c r="L726">
        <v>3</v>
      </c>
      <c r="M726">
        <v>0</v>
      </c>
      <c r="N726">
        <v>2</v>
      </c>
      <c r="O726">
        <v>1</v>
      </c>
      <c r="P726">
        <v>0</v>
      </c>
      <c r="Q726">
        <v>0</v>
      </c>
      <c r="R726" t="s">
        <v>127</v>
      </c>
      <c r="S726" t="str">
        <f>"15:45:02.992"</f>
        <v>15:45:02.992</v>
      </c>
      <c r="T726" t="str">
        <f>"15:45:02.792"</f>
        <v>15:45:02.792</v>
      </c>
      <c r="U726" t="str">
        <f t="shared" si="64"/>
        <v>A55E09</v>
      </c>
      <c r="V726">
        <v>0</v>
      </c>
      <c r="W726">
        <v>0</v>
      </c>
      <c r="X726">
        <v>2</v>
      </c>
      <c r="Y726">
        <v>0</v>
      </c>
      <c r="AA726">
        <v>0</v>
      </c>
      <c r="AB726">
        <v>9</v>
      </c>
      <c r="AC726">
        <v>3</v>
      </c>
      <c r="AD726">
        <v>0</v>
      </c>
      <c r="AE726">
        <v>9</v>
      </c>
      <c r="AF726" t="s">
        <v>128</v>
      </c>
      <c r="AG726">
        <v>0</v>
      </c>
      <c r="AH726">
        <v>0</v>
      </c>
      <c r="AI726">
        <v>1</v>
      </c>
      <c r="AJ726">
        <v>0</v>
      </c>
      <c r="AK726" t="s">
        <v>469</v>
      </c>
      <c r="AL726">
        <v>33.766157999999997</v>
      </c>
      <c r="AM726" t="s">
        <v>470</v>
      </c>
      <c r="AN726">
        <v>-101.226354</v>
      </c>
      <c r="AO726">
        <v>100</v>
      </c>
      <c r="AP726">
        <v>3200</v>
      </c>
      <c r="AQ726" t="s">
        <v>131</v>
      </c>
      <c r="AR726">
        <v>-20</v>
      </c>
      <c r="AS726">
        <v>19</v>
      </c>
      <c r="AT726">
        <v>320</v>
      </c>
      <c r="BB726" t="str">
        <f t="shared" si="66"/>
        <v>1200</v>
      </c>
      <c r="BC726">
        <v>1</v>
      </c>
      <c r="BD726" t="str">
        <f t="shared" si="67"/>
        <v xml:space="preserve">N445JS  </v>
      </c>
      <c r="BE726">
        <v>7</v>
      </c>
      <c r="BG726">
        <v>0</v>
      </c>
      <c r="BH726">
        <v>0</v>
      </c>
      <c r="BI726">
        <v>0</v>
      </c>
      <c r="BJ726">
        <v>3000</v>
      </c>
      <c r="BK726">
        <v>-200</v>
      </c>
      <c r="BL726" t="s">
        <v>132</v>
      </c>
      <c r="BM726">
        <v>1</v>
      </c>
      <c r="BN726">
        <v>1</v>
      </c>
      <c r="BO726">
        <v>1</v>
      </c>
      <c r="BP726">
        <v>0</v>
      </c>
      <c r="BT726">
        <v>0</v>
      </c>
      <c r="BU726">
        <v>0</v>
      </c>
      <c r="CE726" t="str">
        <f>"15:45:02.999"</f>
        <v>15:45:02.999</v>
      </c>
      <c r="CF726">
        <v>998910146</v>
      </c>
      <c r="CS726">
        <v>0</v>
      </c>
      <c r="CT726">
        <v>2</v>
      </c>
      <c r="CU726">
        <v>0</v>
      </c>
      <c r="CV726">
        <v>2</v>
      </c>
      <c r="CW726">
        <v>0</v>
      </c>
      <c r="CX726">
        <v>7</v>
      </c>
      <c r="CY726">
        <v>7</v>
      </c>
      <c r="CZ726" t="s">
        <v>133</v>
      </c>
      <c r="DA726">
        <v>125</v>
      </c>
      <c r="DB726">
        <v>1</v>
      </c>
      <c r="DC726" t="s">
        <v>134</v>
      </c>
      <c r="DD726" t="s">
        <v>135</v>
      </c>
      <c r="DG726">
        <v>2904596</v>
      </c>
      <c r="DI726">
        <v>0</v>
      </c>
      <c r="DJ726">
        <v>0</v>
      </c>
      <c r="DK726">
        <v>1</v>
      </c>
      <c r="DL726">
        <v>0</v>
      </c>
      <c r="DM726">
        <v>0</v>
      </c>
      <c r="DN726">
        <v>0</v>
      </c>
      <c r="DO726">
        <v>0</v>
      </c>
      <c r="DP726">
        <v>0</v>
      </c>
      <c r="DQ726">
        <v>0</v>
      </c>
      <c r="DR726">
        <v>0</v>
      </c>
      <c r="DS726">
        <v>0</v>
      </c>
    </row>
    <row r="727" spans="1:123" x14ac:dyDescent="0.25">
      <c r="A727" t="str">
        <f>"04/17/2026 15:45:04.146"</f>
        <v>04/17/2026 15:45:04.146</v>
      </c>
      <c r="C727" t="str">
        <f t="shared" si="65"/>
        <v>FFDFD3C0</v>
      </c>
      <c r="D727" t="s">
        <v>136</v>
      </c>
      <c r="E727" t="str">
        <f>"0E"</f>
        <v>0E</v>
      </c>
      <c r="F727">
        <v>1014</v>
      </c>
      <c r="G727" t="s">
        <v>125</v>
      </c>
      <c r="J727" t="s">
        <v>137</v>
      </c>
      <c r="K727">
        <v>0</v>
      </c>
      <c r="L727">
        <v>3</v>
      </c>
      <c r="M727">
        <v>0</v>
      </c>
      <c r="N727">
        <v>2</v>
      </c>
      <c r="O727">
        <v>1</v>
      </c>
      <c r="P727">
        <v>0</v>
      </c>
      <c r="Q727">
        <v>0</v>
      </c>
      <c r="R727" t="s">
        <v>127</v>
      </c>
      <c r="S727" t="str">
        <f>"15:45:03.898"</f>
        <v>15:45:03.898</v>
      </c>
      <c r="T727" t="str">
        <f>"15:45:03.698"</f>
        <v>15:45:03.698</v>
      </c>
      <c r="U727" t="str">
        <f t="shared" si="64"/>
        <v>A55E09</v>
      </c>
      <c r="V727">
        <v>0</v>
      </c>
      <c r="W727">
        <v>0</v>
      </c>
      <c r="X727">
        <v>2</v>
      </c>
      <c r="Y727">
        <v>0</v>
      </c>
      <c r="AA727">
        <v>0</v>
      </c>
      <c r="AB727">
        <v>9</v>
      </c>
      <c r="AC727">
        <v>3</v>
      </c>
      <c r="AD727">
        <v>0</v>
      </c>
      <c r="AE727">
        <v>9</v>
      </c>
      <c r="AF727" t="s">
        <v>128</v>
      </c>
      <c r="AG727">
        <v>0</v>
      </c>
      <c r="AH727">
        <v>0</v>
      </c>
      <c r="AI727">
        <v>1</v>
      </c>
      <c r="AJ727">
        <v>0</v>
      </c>
      <c r="AK727" t="s">
        <v>471</v>
      </c>
      <c r="AL727">
        <v>33.766243000000003</v>
      </c>
      <c r="AM727" t="s">
        <v>472</v>
      </c>
      <c r="AN727">
        <v>-101.22639700000001</v>
      </c>
      <c r="AO727">
        <v>100</v>
      </c>
      <c r="AP727">
        <v>3200</v>
      </c>
      <c r="AQ727" t="s">
        <v>131</v>
      </c>
      <c r="AR727">
        <v>-15</v>
      </c>
      <c r="AS727">
        <v>25</v>
      </c>
      <c r="AT727">
        <v>192</v>
      </c>
      <c r="BB727" t="str">
        <f t="shared" si="66"/>
        <v>1200</v>
      </c>
      <c r="BC727">
        <v>1</v>
      </c>
      <c r="BD727" t="str">
        <f t="shared" si="67"/>
        <v xml:space="preserve">N445JS  </v>
      </c>
      <c r="BE727">
        <v>7</v>
      </c>
      <c r="BG727">
        <v>0</v>
      </c>
      <c r="BH727">
        <v>0</v>
      </c>
      <c r="BI727">
        <v>0</v>
      </c>
      <c r="BJ727">
        <v>3000</v>
      </c>
      <c r="BK727">
        <v>-200</v>
      </c>
      <c r="BL727" t="s">
        <v>132</v>
      </c>
      <c r="BM727">
        <v>1</v>
      </c>
      <c r="BN727">
        <v>1</v>
      </c>
      <c r="BO727">
        <v>1</v>
      </c>
      <c r="BP727">
        <v>0</v>
      </c>
      <c r="BT727">
        <v>0</v>
      </c>
      <c r="BU727">
        <v>0</v>
      </c>
      <c r="CE727" t="str">
        <f>"15:45:03.899"</f>
        <v>15:45:03.899</v>
      </c>
      <c r="CF727">
        <v>898821962</v>
      </c>
      <c r="CS727">
        <v>0</v>
      </c>
      <c r="CT727">
        <v>2</v>
      </c>
      <c r="CU727">
        <v>0</v>
      </c>
      <c r="CV727">
        <v>2</v>
      </c>
      <c r="CW727">
        <v>0</v>
      </c>
      <c r="CX727">
        <v>7</v>
      </c>
      <c r="CY727">
        <v>7</v>
      </c>
      <c r="CZ727" t="s">
        <v>133</v>
      </c>
      <c r="DA727">
        <v>125</v>
      </c>
      <c r="DB727">
        <v>1</v>
      </c>
      <c r="DC727" t="s">
        <v>134</v>
      </c>
      <c r="DD727" t="s">
        <v>135</v>
      </c>
      <c r="DG727">
        <v>2905496</v>
      </c>
      <c r="DI727">
        <v>0</v>
      </c>
      <c r="DJ727">
        <v>0</v>
      </c>
      <c r="DK727">
        <v>0</v>
      </c>
      <c r="DL727">
        <v>0</v>
      </c>
      <c r="DM727">
        <v>0</v>
      </c>
      <c r="DN727">
        <v>0</v>
      </c>
      <c r="DO727">
        <v>0</v>
      </c>
      <c r="DP727">
        <v>0</v>
      </c>
      <c r="DQ727">
        <v>0</v>
      </c>
      <c r="DR727">
        <v>0</v>
      </c>
      <c r="DS727">
        <v>0</v>
      </c>
    </row>
    <row r="728" spans="1:123" x14ac:dyDescent="0.25">
      <c r="A728" t="str">
        <f>"04/17/2026 15:45:04.160"</f>
        <v>04/17/2026 15:45:04.160</v>
      </c>
      <c r="C728" t="str">
        <f t="shared" si="65"/>
        <v>FFDFD3C0</v>
      </c>
      <c r="D728" t="s">
        <v>136</v>
      </c>
      <c r="E728" t="str">
        <f>"0F"</f>
        <v>0F</v>
      </c>
      <c r="F728">
        <v>1015</v>
      </c>
      <c r="G728" t="s">
        <v>138</v>
      </c>
      <c r="J728" t="s">
        <v>137</v>
      </c>
      <c r="K728">
        <v>0</v>
      </c>
      <c r="L728">
        <v>3</v>
      </c>
      <c r="M728">
        <v>0</v>
      </c>
      <c r="N728">
        <v>2</v>
      </c>
      <c r="O728">
        <v>1</v>
      </c>
      <c r="P728">
        <v>0</v>
      </c>
      <c r="Q728">
        <v>0</v>
      </c>
      <c r="R728" t="s">
        <v>127</v>
      </c>
      <c r="S728" t="str">
        <f>"15:45:03.898"</f>
        <v>15:45:03.898</v>
      </c>
      <c r="T728" t="str">
        <f>"15:45:03.698"</f>
        <v>15:45:03.698</v>
      </c>
      <c r="U728" t="str">
        <f t="shared" si="64"/>
        <v>A55E09</v>
      </c>
      <c r="V728">
        <v>0</v>
      </c>
      <c r="W728">
        <v>0</v>
      </c>
      <c r="X728">
        <v>2</v>
      </c>
      <c r="Y728">
        <v>0</v>
      </c>
      <c r="AA728">
        <v>0</v>
      </c>
      <c r="AB728">
        <v>9</v>
      </c>
      <c r="AC728">
        <v>3</v>
      </c>
      <c r="AD728">
        <v>0</v>
      </c>
      <c r="AE728">
        <v>9</v>
      </c>
      <c r="AF728" t="s">
        <v>128</v>
      </c>
      <c r="AG728">
        <v>0</v>
      </c>
      <c r="AH728">
        <v>0</v>
      </c>
      <c r="AI728">
        <v>1</v>
      </c>
      <c r="AJ728">
        <v>0</v>
      </c>
      <c r="AK728" t="s">
        <v>471</v>
      </c>
      <c r="AL728">
        <v>33.766243000000003</v>
      </c>
      <c r="AM728" t="s">
        <v>472</v>
      </c>
      <c r="AN728">
        <v>-101.22639700000001</v>
      </c>
      <c r="AO728">
        <v>100</v>
      </c>
      <c r="AP728">
        <v>3200</v>
      </c>
      <c r="AQ728" t="s">
        <v>131</v>
      </c>
      <c r="AR728">
        <v>-15</v>
      </c>
      <c r="AS728">
        <v>25</v>
      </c>
      <c r="AT728">
        <v>192</v>
      </c>
      <c r="BB728" t="str">
        <f t="shared" si="66"/>
        <v>1200</v>
      </c>
      <c r="BC728">
        <v>1</v>
      </c>
      <c r="BD728" t="str">
        <f t="shared" si="67"/>
        <v xml:space="preserve">N445JS  </v>
      </c>
      <c r="BE728">
        <v>7</v>
      </c>
      <c r="BG728">
        <v>0</v>
      </c>
      <c r="BH728">
        <v>0</v>
      </c>
      <c r="BI728">
        <v>0</v>
      </c>
      <c r="BJ728">
        <v>3000</v>
      </c>
      <c r="BK728">
        <v>-200</v>
      </c>
      <c r="BL728" t="s">
        <v>132</v>
      </c>
      <c r="BM728">
        <v>1</v>
      </c>
      <c r="BN728">
        <v>1</v>
      </c>
      <c r="BO728">
        <v>1</v>
      </c>
      <c r="BP728">
        <v>0</v>
      </c>
      <c r="BT728">
        <v>0</v>
      </c>
      <c r="BU728">
        <v>0</v>
      </c>
      <c r="CE728" t="str">
        <f>"15:45:03.899"</f>
        <v>15:45:03.899</v>
      </c>
      <c r="CF728">
        <v>898821962</v>
      </c>
      <c r="CS728">
        <v>0</v>
      </c>
      <c r="CT728">
        <v>2</v>
      </c>
      <c r="CU728">
        <v>0</v>
      </c>
      <c r="CV728">
        <v>2</v>
      </c>
      <c r="CW728">
        <v>0</v>
      </c>
      <c r="CX728">
        <v>7</v>
      </c>
      <c r="CY728">
        <v>7</v>
      </c>
      <c r="CZ728" t="s">
        <v>133</v>
      </c>
      <c r="DA728">
        <v>125</v>
      </c>
      <c r="DB728">
        <v>1</v>
      </c>
      <c r="DC728" t="s">
        <v>134</v>
      </c>
      <c r="DD728" t="s">
        <v>135</v>
      </c>
      <c r="DG728">
        <v>2905496</v>
      </c>
      <c r="DI728">
        <v>0</v>
      </c>
      <c r="DJ728">
        <v>0</v>
      </c>
      <c r="DK728">
        <v>1</v>
      </c>
      <c r="DL728">
        <v>0</v>
      </c>
      <c r="DM728">
        <v>0</v>
      </c>
      <c r="DN728">
        <v>0</v>
      </c>
      <c r="DO728">
        <v>0</v>
      </c>
      <c r="DP728">
        <v>0</v>
      </c>
      <c r="DQ728">
        <v>0</v>
      </c>
      <c r="DR728">
        <v>0</v>
      </c>
      <c r="DS728">
        <v>0</v>
      </c>
    </row>
    <row r="729" spans="1:123" x14ac:dyDescent="0.25">
      <c r="A729" t="str">
        <f>"04/17/2026 15:45:04.166"</f>
        <v>04/17/2026 15:45:04.166</v>
      </c>
      <c r="C729" t="str">
        <f t="shared" si="65"/>
        <v>FFDFD3C0</v>
      </c>
      <c r="D729" t="s">
        <v>139</v>
      </c>
      <c r="E729" t="str">
        <f>"28"</f>
        <v>28</v>
      </c>
      <c r="H729">
        <v>140</v>
      </c>
      <c r="I729" t="s">
        <v>140</v>
      </c>
      <c r="J729" t="s">
        <v>141</v>
      </c>
      <c r="K729">
        <v>0</v>
      </c>
      <c r="L729">
        <v>3</v>
      </c>
      <c r="M729">
        <v>0</v>
      </c>
      <c r="N729">
        <v>2</v>
      </c>
      <c r="O729">
        <v>1</v>
      </c>
      <c r="P729">
        <v>0</v>
      </c>
      <c r="Q729">
        <v>0</v>
      </c>
      <c r="R729" t="s">
        <v>127</v>
      </c>
      <c r="S729" t="str">
        <f>"15:45:03.898"</f>
        <v>15:45:03.898</v>
      </c>
      <c r="T729" t="str">
        <f>"15:45:03.698"</f>
        <v>15:45:03.698</v>
      </c>
      <c r="U729" t="str">
        <f t="shared" si="64"/>
        <v>A55E09</v>
      </c>
      <c r="V729">
        <v>0</v>
      </c>
      <c r="W729">
        <v>0</v>
      </c>
      <c r="X729">
        <v>2</v>
      </c>
      <c r="Y729">
        <v>0</v>
      </c>
      <c r="AA729">
        <v>0</v>
      </c>
      <c r="AB729">
        <v>9</v>
      </c>
      <c r="AC729">
        <v>3</v>
      </c>
      <c r="AD729">
        <v>0</v>
      </c>
      <c r="AE729">
        <v>9</v>
      </c>
      <c r="AF729" t="s">
        <v>128</v>
      </c>
      <c r="AG729">
        <v>0</v>
      </c>
      <c r="AH729">
        <v>0</v>
      </c>
      <c r="AI729">
        <v>1</v>
      </c>
      <c r="AJ729">
        <v>0</v>
      </c>
      <c r="AK729" t="s">
        <v>471</v>
      </c>
      <c r="AL729">
        <v>33.766243000000003</v>
      </c>
      <c r="AM729" t="s">
        <v>472</v>
      </c>
      <c r="AN729">
        <v>-101.22639700000001</v>
      </c>
      <c r="AO729">
        <v>100</v>
      </c>
      <c r="AP729">
        <v>3200</v>
      </c>
      <c r="AQ729" t="s">
        <v>131</v>
      </c>
      <c r="AR729">
        <v>-15</v>
      </c>
      <c r="AS729">
        <v>25</v>
      </c>
      <c r="AT729">
        <v>192</v>
      </c>
      <c r="BB729" t="str">
        <f t="shared" si="66"/>
        <v>1200</v>
      </c>
      <c r="BC729">
        <v>1</v>
      </c>
      <c r="BD729" t="str">
        <f t="shared" si="67"/>
        <v xml:space="preserve">N445JS  </v>
      </c>
      <c r="BE729">
        <v>7</v>
      </c>
      <c r="BG729">
        <v>0</v>
      </c>
      <c r="BH729">
        <v>0</v>
      </c>
      <c r="BI729">
        <v>0</v>
      </c>
      <c r="BJ729">
        <v>3000</v>
      </c>
      <c r="BK729">
        <v>-200</v>
      </c>
      <c r="BL729" t="s">
        <v>132</v>
      </c>
      <c r="BM729">
        <v>1</v>
      </c>
      <c r="BN729">
        <v>1</v>
      </c>
      <c r="BO729">
        <v>1</v>
      </c>
      <c r="BP729">
        <v>0</v>
      </c>
      <c r="BT729">
        <v>0</v>
      </c>
      <c r="BU729">
        <v>0</v>
      </c>
      <c r="CE729" t="str">
        <f>"15:45:03.899"</f>
        <v>15:45:03.899</v>
      </c>
      <c r="CF729">
        <v>898821962</v>
      </c>
      <c r="CS729">
        <v>0</v>
      </c>
      <c r="CT729">
        <v>2</v>
      </c>
      <c r="CU729">
        <v>0</v>
      </c>
      <c r="CV729">
        <v>2</v>
      </c>
      <c r="CW729">
        <v>0</v>
      </c>
      <c r="CX729">
        <v>7</v>
      </c>
      <c r="CY729">
        <v>7</v>
      </c>
      <c r="CZ729" t="s">
        <v>133</v>
      </c>
      <c r="DA729">
        <v>125</v>
      </c>
      <c r="DB729">
        <v>1</v>
      </c>
      <c r="DC729" t="s">
        <v>134</v>
      </c>
      <c r="DD729" t="s">
        <v>135</v>
      </c>
      <c r="DG729">
        <v>2905496</v>
      </c>
      <c r="DI729">
        <v>0</v>
      </c>
      <c r="DJ729">
        <v>0</v>
      </c>
      <c r="DK729">
        <v>1</v>
      </c>
      <c r="DL729">
        <v>0</v>
      </c>
      <c r="DM729">
        <v>0</v>
      </c>
      <c r="DN729">
        <v>0</v>
      </c>
      <c r="DO729">
        <v>0</v>
      </c>
      <c r="DP729">
        <v>0</v>
      </c>
      <c r="DQ729">
        <v>0</v>
      </c>
      <c r="DR729">
        <v>0</v>
      </c>
      <c r="DS729">
        <v>0</v>
      </c>
    </row>
    <row r="730" spans="1:123" x14ac:dyDescent="0.25">
      <c r="A730" t="str">
        <f>"04/17/2026 15:45:04.173"</f>
        <v>04/17/2026 15:45:04.173</v>
      </c>
      <c r="C730" t="str">
        <f t="shared" si="65"/>
        <v>FFDFD3C0</v>
      </c>
      <c r="D730" t="s">
        <v>124</v>
      </c>
      <c r="E730" t="str">
        <f>"03"</f>
        <v>03</v>
      </c>
      <c r="H730">
        <v>160</v>
      </c>
      <c r="I730" t="s">
        <v>125</v>
      </c>
      <c r="J730" t="s">
        <v>126</v>
      </c>
      <c r="K730">
        <v>0</v>
      </c>
      <c r="L730">
        <v>3</v>
      </c>
      <c r="M730">
        <v>0</v>
      </c>
      <c r="N730">
        <v>2</v>
      </c>
      <c r="O730">
        <v>1</v>
      </c>
      <c r="P730">
        <v>0</v>
      </c>
      <c r="Q730">
        <v>0</v>
      </c>
      <c r="R730" t="s">
        <v>127</v>
      </c>
      <c r="S730" t="str">
        <f>"15:45:03.898"</f>
        <v>15:45:03.898</v>
      </c>
      <c r="T730" t="str">
        <f>"15:45:03.698"</f>
        <v>15:45:03.698</v>
      </c>
      <c r="U730" t="str">
        <f t="shared" si="64"/>
        <v>A55E09</v>
      </c>
      <c r="V730">
        <v>0</v>
      </c>
      <c r="W730">
        <v>0</v>
      </c>
      <c r="X730">
        <v>2</v>
      </c>
      <c r="Y730">
        <v>0</v>
      </c>
      <c r="AA730">
        <v>0</v>
      </c>
      <c r="AB730">
        <v>9</v>
      </c>
      <c r="AC730">
        <v>3</v>
      </c>
      <c r="AD730">
        <v>0</v>
      </c>
      <c r="AE730">
        <v>9</v>
      </c>
      <c r="AF730" t="s">
        <v>128</v>
      </c>
      <c r="AG730">
        <v>0</v>
      </c>
      <c r="AH730">
        <v>0</v>
      </c>
      <c r="AI730">
        <v>1</v>
      </c>
      <c r="AJ730">
        <v>0</v>
      </c>
      <c r="AK730" t="s">
        <v>471</v>
      </c>
      <c r="AL730">
        <v>33.766243000000003</v>
      </c>
      <c r="AM730" t="s">
        <v>472</v>
      </c>
      <c r="AN730">
        <v>-101.22639700000001</v>
      </c>
      <c r="AO730">
        <v>100</v>
      </c>
      <c r="AP730">
        <v>3200</v>
      </c>
      <c r="AQ730" t="s">
        <v>131</v>
      </c>
      <c r="AR730">
        <v>-15</v>
      </c>
      <c r="AS730">
        <v>25</v>
      </c>
      <c r="AT730">
        <v>192</v>
      </c>
      <c r="BB730" t="str">
        <f t="shared" si="66"/>
        <v>1200</v>
      </c>
      <c r="BC730">
        <v>1</v>
      </c>
      <c r="BD730" t="str">
        <f t="shared" si="67"/>
        <v xml:space="preserve">N445JS  </v>
      </c>
      <c r="BE730">
        <v>7</v>
      </c>
      <c r="BG730">
        <v>0</v>
      </c>
      <c r="BH730">
        <v>0</v>
      </c>
      <c r="BI730">
        <v>0</v>
      </c>
      <c r="BJ730">
        <v>3000</v>
      </c>
      <c r="BK730">
        <v>-200</v>
      </c>
      <c r="BL730" t="s">
        <v>132</v>
      </c>
      <c r="BM730">
        <v>1</v>
      </c>
      <c r="BN730">
        <v>1</v>
      </c>
      <c r="BO730">
        <v>1</v>
      </c>
      <c r="BP730">
        <v>0</v>
      </c>
      <c r="BT730">
        <v>0</v>
      </c>
      <c r="BU730">
        <v>0</v>
      </c>
      <c r="CE730" t="str">
        <f>"15:45:03.899"</f>
        <v>15:45:03.899</v>
      </c>
      <c r="CF730">
        <v>898821962</v>
      </c>
      <c r="CS730">
        <v>0</v>
      </c>
      <c r="CT730">
        <v>2</v>
      </c>
      <c r="CU730">
        <v>0</v>
      </c>
      <c r="CV730">
        <v>2</v>
      </c>
      <c r="CW730">
        <v>0</v>
      </c>
      <c r="CX730">
        <v>7</v>
      </c>
      <c r="CY730">
        <v>7</v>
      </c>
      <c r="CZ730" t="s">
        <v>133</v>
      </c>
      <c r="DA730">
        <v>125</v>
      </c>
      <c r="DB730">
        <v>1</v>
      </c>
      <c r="DC730" t="s">
        <v>134</v>
      </c>
      <c r="DD730" t="s">
        <v>135</v>
      </c>
      <c r="DG730">
        <v>2905496</v>
      </c>
      <c r="DI730">
        <v>0</v>
      </c>
      <c r="DJ730">
        <v>0</v>
      </c>
      <c r="DK730">
        <v>1</v>
      </c>
      <c r="DL730">
        <v>0</v>
      </c>
      <c r="DM730">
        <v>0</v>
      </c>
      <c r="DN730">
        <v>0</v>
      </c>
      <c r="DO730">
        <v>0</v>
      </c>
      <c r="DP730">
        <v>0</v>
      </c>
      <c r="DQ730">
        <v>0</v>
      </c>
      <c r="DR730">
        <v>0</v>
      </c>
      <c r="DS730">
        <v>0</v>
      </c>
    </row>
    <row r="731" spans="1:123" x14ac:dyDescent="0.25">
      <c r="A731" t="str">
        <f>"04/17/2026 15:45:05.798"</f>
        <v>04/17/2026 15:45:05.798</v>
      </c>
      <c r="C731" t="str">
        <f t="shared" si="65"/>
        <v>FFDFD3C0</v>
      </c>
      <c r="D731" t="s">
        <v>136</v>
      </c>
      <c r="E731" t="str">
        <f>"0E"</f>
        <v>0E</v>
      </c>
      <c r="F731">
        <v>1014</v>
      </c>
      <c r="G731" t="s">
        <v>125</v>
      </c>
      <c r="J731" t="s">
        <v>137</v>
      </c>
      <c r="K731">
        <v>0</v>
      </c>
      <c r="L731">
        <v>3</v>
      </c>
      <c r="M731">
        <v>0</v>
      </c>
      <c r="N731">
        <v>2</v>
      </c>
      <c r="O731">
        <v>1</v>
      </c>
      <c r="P731">
        <v>0</v>
      </c>
      <c r="Q731">
        <v>0</v>
      </c>
      <c r="R731" t="s">
        <v>127</v>
      </c>
      <c r="S731" t="str">
        <f>"15:45:05.531"</f>
        <v>15:45:05.531</v>
      </c>
      <c r="T731" t="str">
        <f>"15:45:05.131"</f>
        <v>15:45:05.131</v>
      </c>
      <c r="U731" t="str">
        <f t="shared" si="64"/>
        <v>A55E09</v>
      </c>
      <c r="V731">
        <v>0</v>
      </c>
      <c r="W731">
        <v>0</v>
      </c>
      <c r="X731">
        <v>2</v>
      </c>
      <c r="Y731">
        <v>0</v>
      </c>
      <c r="AA731">
        <v>0</v>
      </c>
      <c r="AB731">
        <v>9</v>
      </c>
      <c r="AC731">
        <v>3</v>
      </c>
      <c r="AD731">
        <v>0</v>
      </c>
      <c r="AE731">
        <v>9</v>
      </c>
      <c r="AF731" t="s">
        <v>128</v>
      </c>
      <c r="AG731">
        <v>0</v>
      </c>
      <c r="AH731">
        <v>0</v>
      </c>
      <c r="AI731">
        <v>1</v>
      </c>
      <c r="AJ731">
        <v>0</v>
      </c>
      <c r="AK731" t="s">
        <v>473</v>
      </c>
      <c r="AL731">
        <v>33.766522000000002</v>
      </c>
      <c r="AM731" t="s">
        <v>474</v>
      </c>
      <c r="AN731">
        <v>-101.22650400000001</v>
      </c>
      <c r="AO731">
        <v>100</v>
      </c>
      <c r="AP731">
        <v>3200</v>
      </c>
      <c r="AQ731" t="s">
        <v>131</v>
      </c>
      <c r="AR731">
        <v>-9</v>
      </c>
      <c r="AS731">
        <v>32</v>
      </c>
      <c r="AT731">
        <v>64</v>
      </c>
      <c r="BB731" t="str">
        <f t="shared" si="66"/>
        <v>1200</v>
      </c>
      <c r="BC731">
        <v>1</v>
      </c>
      <c r="BD731" t="str">
        <f t="shared" si="67"/>
        <v xml:space="preserve">N445JS  </v>
      </c>
      <c r="BE731">
        <v>7</v>
      </c>
      <c r="BG731">
        <v>0</v>
      </c>
      <c r="BH731">
        <v>0</v>
      </c>
      <c r="BI731">
        <v>0</v>
      </c>
      <c r="BJ731">
        <v>3025</v>
      </c>
      <c r="BK731">
        <v>-175</v>
      </c>
      <c r="BL731" t="s">
        <v>132</v>
      </c>
      <c r="BM731">
        <v>1</v>
      </c>
      <c r="BN731">
        <v>1</v>
      </c>
      <c r="BO731">
        <v>1</v>
      </c>
      <c r="BP731">
        <v>0</v>
      </c>
      <c r="BT731">
        <v>0</v>
      </c>
      <c r="BU731">
        <v>0</v>
      </c>
      <c r="CE731" t="str">
        <f>"15:45:05.534"</f>
        <v>15:45:05.534</v>
      </c>
      <c r="CF731">
        <v>533661801</v>
      </c>
      <c r="CS731">
        <v>0</v>
      </c>
      <c r="CT731">
        <v>2</v>
      </c>
      <c r="CU731">
        <v>0</v>
      </c>
      <c r="CV731">
        <v>2</v>
      </c>
      <c r="CW731">
        <v>0</v>
      </c>
      <c r="CX731">
        <v>7</v>
      </c>
      <c r="CY731">
        <v>7</v>
      </c>
      <c r="CZ731" t="s">
        <v>133</v>
      </c>
      <c r="DA731">
        <v>125</v>
      </c>
      <c r="DB731">
        <v>1</v>
      </c>
      <c r="DC731" t="s">
        <v>134</v>
      </c>
      <c r="DD731" t="s">
        <v>135</v>
      </c>
      <c r="DG731">
        <v>2907148</v>
      </c>
      <c r="DI731">
        <v>0</v>
      </c>
      <c r="DJ731">
        <v>0</v>
      </c>
      <c r="DK731">
        <v>0</v>
      </c>
      <c r="DL731">
        <v>0</v>
      </c>
      <c r="DM731">
        <v>0</v>
      </c>
      <c r="DN731">
        <v>0</v>
      </c>
      <c r="DO731">
        <v>0</v>
      </c>
      <c r="DP731">
        <v>0</v>
      </c>
      <c r="DQ731">
        <v>0</v>
      </c>
      <c r="DR731">
        <v>0</v>
      </c>
      <c r="DS731">
        <v>0</v>
      </c>
    </row>
    <row r="732" spans="1:123" x14ac:dyDescent="0.25">
      <c r="A732" t="str">
        <f>"04/17/2026 15:45:05.813"</f>
        <v>04/17/2026 15:45:05.813</v>
      </c>
      <c r="C732" t="str">
        <f t="shared" si="65"/>
        <v>FFDFD3C0</v>
      </c>
      <c r="D732" t="s">
        <v>136</v>
      </c>
      <c r="E732" t="str">
        <f>"0F"</f>
        <v>0F</v>
      </c>
      <c r="F732">
        <v>1015</v>
      </c>
      <c r="G732" t="s">
        <v>138</v>
      </c>
      <c r="J732" t="s">
        <v>137</v>
      </c>
      <c r="K732">
        <v>0</v>
      </c>
      <c r="L732">
        <v>3</v>
      </c>
      <c r="M732">
        <v>0</v>
      </c>
      <c r="N732">
        <v>2</v>
      </c>
      <c r="O732">
        <v>1</v>
      </c>
      <c r="P732">
        <v>0</v>
      </c>
      <c r="Q732">
        <v>0</v>
      </c>
      <c r="R732" t="s">
        <v>127</v>
      </c>
      <c r="S732" t="str">
        <f>"15:45:05.531"</f>
        <v>15:45:05.531</v>
      </c>
      <c r="T732" t="str">
        <f>"15:45:05.131"</f>
        <v>15:45:05.131</v>
      </c>
      <c r="U732" t="str">
        <f t="shared" si="64"/>
        <v>A55E09</v>
      </c>
      <c r="V732">
        <v>0</v>
      </c>
      <c r="W732">
        <v>0</v>
      </c>
      <c r="X732">
        <v>2</v>
      </c>
      <c r="Y732">
        <v>0</v>
      </c>
      <c r="AA732">
        <v>0</v>
      </c>
      <c r="AB732">
        <v>9</v>
      </c>
      <c r="AC732">
        <v>3</v>
      </c>
      <c r="AD732">
        <v>0</v>
      </c>
      <c r="AE732">
        <v>9</v>
      </c>
      <c r="AF732" t="s">
        <v>128</v>
      </c>
      <c r="AG732">
        <v>0</v>
      </c>
      <c r="AH732">
        <v>0</v>
      </c>
      <c r="AI732">
        <v>1</v>
      </c>
      <c r="AJ732">
        <v>0</v>
      </c>
      <c r="AK732" t="s">
        <v>473</v>
      </c>
      <c r="AL732">
        <v>33.766522000000002</v>
      </c>
      <c r="AM732" t="s">
        <v>474</v>
      </c>
      <c r="AN732">
        <v>-101.22650400000001</v>
      </c>
      <c r="AO732">
        <v>100</v>
      </c>
      <c r="AP732">
        <v>3200</v>
      </c>
      <c r="AQ732" t="s">
        <v>131</v>
      </c>
      <c r="AR732">
        <v>-9</v>
      </c>
      <c r="AS732">
        <v>32</v>
      </c>
      <c r="AT732">
        <v>64</v>
      </c>
      <c r="BB732" t="str">
        <f t="shared" si="66"/>
        <v>1200</v>
      </c>
      <c r="BC732">
        <v>1</v>
      </c>
      <c r="BD732" t="str">
        <f t="shared" si="67"/>
        <v xml:space="preserve">N445JS  </v>
      </c>
      <c r="BE732">
        <v>7</v>
      </c>
      <c r="BG732">
        <v>0</v>
      </c>
      <c r="BH732">
        <v>0</v>
      </c>
      <c r="BI732">
        <v>0</v>
      </c>
      <c r="BJ732">
        <v>3025</v>
      </c>
      <c r="BK732">
        <v>-175</v>
      </c>
      <c r="BL732" t="s">
        <v>132</v>
      </c>
      <c r="BM732">
        <v>1</v>
      </c>
      <c r="BN732">
        <v>1</v>
      </c>
      <c r="BO732">
        <v>1</v>
      </c>
      <c r="BP732">
        <v>0</v>
      </c>
      <c r="BT732">
        <v>0</v>
      </c>
      <c r="BU732">
        <v>0</v>
      </c>
      <c r="CE732" t="str">
        <f>"15:45:05.534"</f>
        <v>15:45:05.534</v>
      </c>
      <c r="CF732">
        <v>533661801</v>
      </c>
      <c r="CS732">
        <v>0</v>
      </c>
      <c r="CT732">
        <v>2</v>
      </c>
      <c r="CU732">
        <v>0</v>
      </c>
      <c r="CV732">
        <v>2</v>
      </c>
      <c r="CW732">
        <v>0</v>
      </c>
      <c r="CX732">
        <v>7</v>
      </c>
      <c r="CY732">
        <v>7</v>
      </c>
      <c r="CZ732" t="s">
        <v>133</v>
      </c>
      <c r="DA732">
        <v>125</v>
      </c>
      <c r="DB732">
        <v>1</v>
      </c>
      <c r="DC732" t="s">
        <v>134</v>
      </c>
      <c r="DD732" t="s">
        <v>135</v>
      </c>
      <c r="DG732">
        <v>2907148</v>
      </c>
      <c r="DI732">
        <v>0</v>
      </c>
      <c r="DJ732">
        <v>0</v>
      </c>
      <c r="DK732">
        <v>1</v>
      </c>
      <c r="DL732">
        <v>0</v>
      </c>
      <c r="DM732">
        <v>0</v>
      </c>
      <c r="DN732">
        <v>0</v>
      </c>
      <c r="DO732">
        <v>0</v>
      </c>
      <c r="DP732">
        <v>0</v>
      </c>
      <c r="DQ732">
        <v>0</v>
      </c>
      <c r="DR732">
        <v>0</v>
      </c>
      <c r="DS732">
        <v>0</v>
      </c>
    </row>
    <row r="733" spans="1:123" x14ac:dyDescent="0.25">
      <c r="A733" t="str">
        <f>"04/17/2026 15:45:05.818"</f>
        <v>04/17/2026 15:45:05.818</v>
      </c>
      <c r="C733" t="str">
        <f t="shared" si="65"/>
        <v>FFDFD3C0</v>
      </c>
      <c r="D733" t="s">
        <v>139</v>
      </c>
      <c r="E733" t="str">
        <f>"28"</f>
        <v>28</v>
      </c>
      <c r="H733">
        <v>140</v>
      </c>
      <c r="I733" t="s">
        <v>140</v>
      </c>
      <c r="J733" t="s">
        <v>141</v>
      </c>
      <c r="K733">
        <v>0</v>
      </c>
      <c r="L733">
        <v>3</v>
      </c>
      <c r="M733">
        <v>0</v>
      </c>
      <c r="N733">
        <v>2</v>
      </c>
      <c r="O733">
        <v>1</v>
      </c>
      <c r="P733">
        <v>0</v>
      </c>
      <c r="Q733">
        <v>0</v>
      </c>
      <c r="R733" t="s">
        <v>127</v>
      </c>
      <c r="S733" t="str">
        <f>"15:45:05.531"</f>
        <v>15:45:05.531</v>
      </c>
      <c r="T733" t="str">
        <f>"15:45:05.131"</f>
        <v>15:45:05.131</v>
      </c>
      <c r="U733" t="str">
        <f t="shared" si="64"/>
        <v>A55E09</v>
      </c>
      <c r="V733">
        <v>0</v>
      </c>
      <c r="W733">
        <v>0</v>
      </c>
      <c r="X733">
        <v>2</v>
      </c>
      <c r="Y733">
        <v>0</v>
      </c>
      <c r="AA733">
        <v>0</v>
      </c>
      <c r="AB733">
        <v>9</v>
      </c>
      <c r="AC733">
        <v>3</v>
      </c>
      <c r="AD733">
        <v>0</v>
      </c>
      <c r="AE733">
        <v>9</v>
      </c>
      <c r="AF733" t="s">
        <v>128</v>
      </c>
      <c r="AG733">
        <v>0</v>
      </c>
      <c r="AH733">
        <v>0</v>
      </c>
      <c r="AI733">
        <v>1</v>
      </c>
      <c r="AJ733">
        <v>0</v>
      </c>
      <c r="AK733" t="s">
        <v>473</v>
      </c>
      <c r="AL733">
        <v>33.766522000000002</v>
      </c>
      <c r="AM733" t="s">
        <v>474</v>
      </c>
      <c r="AN733">
        <v>-101.22650400000001</v>
      </c>
      <c r="AO733">
        <v>100</v>
      </c>
      <c r="AP733">
        <v>3200</v>
      </c>
      <c r="AQ733" t="s">
        <v>131</v>
      </c>
      <c r="AR733">
        <v>-9</v>
      </c>
      <c r="AS733">
        <v>32</v>
      </c>
      <c r="AT733">
        <v>64</v>
      </c>
      <c r="BB733" t="str">
        <f t="shared" si="66"/>
        <v>1200</v>
      </c>
      <c r="BC733">
        <v>1</v>
      </c>
      <c r="BD733" t="str">
        <f t="shared" si="67"/>
        <v xml:space="preserve">N445JS  </v>
      </c>
      <c r="BE733">
        <v>7</v>
      </c>
      <c r="BG733">
        <v>0</v>
      </c>
      <c r="BH733">
        <v>0</v>
      </c>
      <c r="BI733">
        <v>0</v>
      </c>
      <c r="BJ733">
        <v>3025</v>
      </c>
      <c r="BK733">
        <v>-175</v>
      </c>
      <c r="BL733" t="s">
        <v>132</v>
      </c>
      <c r="BM733">
        <v>1</v>
      </c>
      <c r="BN733">
        <v>1</v>
      </c>
      <c r="BO733">
        <v>1</v>
      </c>
      <c r="BP733">
        <v>0</v>
      </c>
      <c r="BT733">
        <v>0</v>
      </c>
      <c r="BU733">
        <v>0</v>
      </c>
      <c r="CE733" t="str">
        <f>"15:45:05.534"</f>
        <v>15:45:05.534</v>
      </c>
      <c r="CF733">
        <v>533661801</v>
      </c>
      <c r="CS733">
        <v>0</v>
      </c>
      <c r="CT733">
        <v>2</v>
      </c>
      <c r="CU733">
        <v>0</v>
      </c>
      <c r="CV733">
        <v>2</v>
      </c>
      <c r="CW733">
        <v>0</v>
      </c>
      <c r="CX733">
        <v>7</v>
      </c>
      <c r="CY733">
        <v>7</v>
      </c>
      <c r="CZ733" t="s">
        <v>133</v>
      </c>
      <c r="DA733">
        <v>125</v>
      </c>
      <c r="DB733">
        <v>1</v>
      </c>
      <c r="DC733" t="s">
        <v>134</v>
      </c>
      <c r="DD733" t="s">
        <v>135</v>
      </c>
      <c r="DG733">
        <v>2907148</v>
      </c>
      <c r="DI733">
        <v>0</v>
      </c>
      <c r="DJ733">
        <v>0</v>
      </c>
      <c r="DK733">
        <v>1</v>
      </c>
      <c r="DL733">
        <v>0</v>
      </c>
      <c r="DM733">
        <v>0</v>
      </c>
      <c r="DN733">
        <v>0</v>
      </c>
      <c r="DO733">
        <v>0</v>
      </c>
      <c r="DP733">
        <v>0</v>
      </c>
      <c r="DQ733">
        <v>0</v>
      </c>
      <c r="DR733">
        <v>0</v>
      </c>
      <c r="DS733">
        <v>0</v>
      </c>
    </row>
    <row r="734" spans="1:123" x14ac:dyDescent="0.25">
      <c r="A734" t="str">
        <f>"04/17/2026 15:45:05.826"</f>
        <v>04/17/2026 15:45:05.826</v>
      </c>
      <c r="C734" t="str">
        <f t="shared" si="65"/>
        <v>FFDFD3C0</v>
      </c>
      <c r="D734" t="s">
        <v>124</v>
      </c>
      <c r="E734" t="str">
        <f>"03"</f>
        <v>03</v>
      </c>
      <c r="H734">
        <v>160</v>
      </c>
      <c r="I734" t="s">
        <v>125</v>
      </c>
      <c r="J734" t="s">
        <v>126</v>
      </c>
      <c r="K734">
        <v>0</v>
      </c>
      <c r="L734">
        <v>3</v>
      </c>
      <c r="M734">
        <v>0</v>
      </c>
      <c r="N734">
        <v>2</v>
      </c>
      <c r="O734">
        <v>1</v>
      </c>
      <c r="P734">
        <v>0</v>
      </c>
      <c r="Q734">
        <v>0</v>
      </c>
      <c r="R734" t="s">
        <v>127</v>
      </c>
      <c r="S734" t="str">
        <f>"15:45:05.531"</f>
        <v>15:45:05.531</v>
      </c>
      <c r="T734" t="str">
        <f>"15:45:05.131"</f>
        <v>15:45:05.131</v>
      </c>
      <c r="U734" t="str">
        <f t="shared" si="64"/>
        <v>A55E09</v>
      </c>
      <c r="V734">
        <v>0</v>
      </c>
      <c r="W734">
        <v>0</v>
      </c>
      <c r="X734">
        <v>2</v>
      </c>
      <c r="Y734">
        <v>0</v>
      </c>
      <c r="AA734">
        <v>0</v>
      </c>
      <c r="AB734">
        <v>9</v>
      </c>
      <c r="AC734">
        <v>3</v>
      </c>
      <c r="AD734">
        <v>0</v>
      </c>
      <c r="AE734">
        <v>9</v>
      </c>
      <c r="AF734" t="s">
        <v>128</v>
      </c>
      <c r="AG734">
        <v>0</v>
      </c>
      <c r="AH734">
        <v>0</v>
      </c>
      <c r="AI734">
        <v>1</v>
      </c>
      <c r="AJ734">
        <v>0</v>
      </c>
      <c r="AK734" t="s">
        <v>473</v>
      </c>
      <c r="AL734">
        <v>33.766522000000002</v>
      </c>
      <c r="AM734" t="s">
        <v>474</v>
      </c>
      <c r="AN734">
        <v>-101.22650400000001</v>
      </c>
      <c r="AO734">
        <v>100</v>
      </c>
      <c r="AP734">
        <v>3200</v>
      </c>
      <c r="AQ734" t="s">
        <v>131</v>
      </c>
      <c r="AR734">
        <v>-9</v>
      </c>
      <c r="AS734">
        <v>32</v>
      </c>
      <c r="AT734">
        <v>64</v>
      </c>
      <c r="BB734" t="str">
        <f t="shared" si="66"/>
        <v>1200</v>
      </c>
      <c r="BC734">
        <v>1</v>
      </c>
      <c r="BD734" t="str">
        <f t="shared" si="67"/>
        <v xml:space="preserve">N445JS  </v>
      </c>
      <c r="BE734">
        <v>7</v>
      </c>
      <c r="BG734">
        <v>0</v>
      </c>
      <c r="BH734">
        <v>0</v>
      </c>
      <c r="BI734">
        <v>0</v>
      </c>
      <c r="BJ734">
        <v>3025</v>
      </c>
      <c r="BK734">
        <v>-175</v>
      </c>
      <c r="BL734" t="s">
        <v>132</v>
      </c>
      <c r="BM734">
        <v>1</v>
      </c>
      <c r="BN734">
        <v>1</v>
      </c>
      <c r="BO734">
        <v>1</v>
      </c>
      <c r="BP734">
        <v>0</v>
      </c>
      <c r="BT734">
        <v>0</v>
      </c>
      <c r="BU734">
        <v>0</v>
      </c>
      <c r="CE734" t="str">
        <f>"15:45:05.534"</f>
        <v>15:45:05.534</v>
      </c>
      <c r="CF734">
        <v>533661801</v>
      </c>
      <c r="CS734">
        <v>0</v>
      </c>
      <c r="CT734">
        <v>2</v>
      </c>
      <c r="CU734">
        <v>0</v>
      </c>
      <c r="CV734">
        <v>2</v>
      </c>
      <c r="CW734">
        <v>0</v>
      </c>
      <c r="CX734">
        <v>7</v>
      </c>
      <c r="CY734">
        <v>7</v>
      </c>
      <c r="CZ734" t="s">
        <v>133</v>
      </c>
      <c r="DA734">
        <v>125</v>
      </c>
      <c r="DB734">
        <v>1</v>
      </c>
      <c r="DC734" t="s">
        <v>134</v>
      </c>
      <c r="DD734" t="s">
        <v>135</v>
      </c>
      <c r="DG734">
        <v>2907148</v>
      </c>
      <c r="DI734">
        <v>0</v>
      </c>
      <c r="DJ734">
        <v>0</v>
      </c>
      <c r="DK734">
        <v>1</v>
      </c>
      <c r="DL734">
        <v>0</v>
      </c>
      <c r="DM734">
        <v>0</v>
      </c>
      <c r="DN734">
        <v>0</v>
      </c>
      <c r="DO734">
        <v>0</v>
      </c>
      <c r="DP734">
        <v>0</v>
      </c>
      <c r="DQ734">
        <v>0</v>
      </c>
      <c r="DR734">
        <v>0</v>
      </c>
      <c r="DS734">
        <v>0</v>
      </c>
    </row>
    <row r="735" spans="1:123" x14ac:dyDescent="0.25">
      <c r="A735" t="str">
        <f>"04/17/2026 15:45:06.950"</f>
        <v>04/17/2026 15:45:06.950</v>
      </c>
      <c r="C735" t="str">
        <f t="shared" si="65"/>
        <v>FFDFD3C0</v>
      </c>
      <c r="D735" t="s">
        <v>136</v>
      </c>
      <c r="E735" t="str">
        <f>"0E"</f>
        <v>0E</v>
      </c>
      <c r="F735">
        <v>1014</v>
      </c>
      <c r="G735" t="s">
        <v>125</v>
      </c>
      <c r="J735" t="s">
        <v>137</v>
      </c>
      <c r="K735">
        <v>0</v>
      </c>
      <c r="L735">
        <v>3</v>
      </c>
      <c r="M735">
        <v>0</v>
      </c>
      <c r="N735">
        <v>2</v>
      </c>
      <c r="O735">
        <v>1</v>
      </c>
      <c r="P735">
        <v>0</v>
      </c>
      <c r="Q735">
        <v>0</v>
      </c>
      <c r="R735" t="s">
        <v>127</v>
      </c>
      <c r="S735" t="str">
        <f t="shared" ref="S735:T738" si="68">"15:45:06.711"</f>
        <v>15:45:06.711</v>
      </c>
      <c r="T735" t="str">
        <f t="shared" si="68"/>
        <v>15:45:06.711</v>
      </c>
      <c r="U735" t="str">
        <f t="shared" si="64"/>
        <v>A55E09</v>
      </c>
      <c r="V735">
        <v>0</v>
      </c>
      <c r="W735">
        <v>0</v>
      </c>
      <c r="X735">
        <v>2</v>
      </c>
      <c r="Y735">
        <v>0</v>
      </c>
      <c r="AA735">
        <v>0</v>
      </c>
      <c r="AB735">
        <v>9</v>
      </c>
      <c r="AC735">
        <v>3</v>
      </c>
      <c r="AD735">
        <v>0</v>
      </c>
      <c r="AE735">
        <v>9</v>
      </c>
      <c r="AF735" t="s">
        <v>128</v>
      </c>
      <c r="AG735">
        <v>0</v>
      </c>
      <c r="AH735">
        <v>0</v>
      </c>
      <c r="AI735">
        <v>1</v>
      </c>
      <c r="AJ735">
        <v>0</v>
      </c>
      <c r="AK735" t="s">
        <v>475</v>
      </c>
      <c r="AL735">
        <v>33.766758000000003</v>
      </c>
      <c r="AM735" t="s">
        <v>476</v>
      </c>
      <c r="AN735">
        <v>-101.226568</v>
      </c>
      <c r="AO735">
        <v>100</v>
      </c>
      <c r="AP735">
        <v>3200</v>
      </c>
      <c r="AQ735" t="s">
        <v>131</v>
      </c>
      <c r="AR735">
        <v>-5</v>
      </c>
      <c r="AS735">
        <v>38</v>
      </c>
      <c r="AT735">
        <v>-192</v>
      </c>
      <c r="BB735" t="str">
        <f t="shared" si="66"/>
        <v>1200</v>
      </c>
      <c r="BC735">
        <v>1</v>
      </c>
      <c r="BD735" t="str">
        <f t="shared" si="67"/>
        <v xml:space="preserve">N445JS  </v>
      </c>
      <c r="BE735">
        <v>7</v>
      </c>
      <c r="BG735">
        <v>0</v>
      </c>
      <c r="BH735">
        <v>0</v>
      </c>
      <c r="BI735">
        <v>0</v>
      </c>
      <c r="BJ735">
        <v>3000</v>
      </c>
      <c r="BK735">
        <v>-200</v>
      </c>
      <c r="BL735" t="s">
        <v>132</v>
      </c>
      <c r="BM735">
        <v>1</v>
      </c>
      <c r="BN735">
        <v>1</v>
      </c>
      <c r="BO735">
        <v>1</v>
      </c>
      <c r="BP735">
        <v>0</v>
      </c>
      <c r="BT735">
        <v>0</v>
      </c>
      <c r="BU735">
        <v>0</v>
      </c>
      <c r="CE735" t="str">
        <f>"15:45:06.719"</f>
        <v>15:45:06.719</v>
      </c>
      <c r="CF735">
        <v>718545731</v>
      </c>
      <c r="CS735">
        <v>0</v>
      </c>
      <c r="CT735">
        <v>2</v>
      </c>
      <c r="CU735">
        <v>0</v>
      </c>
      <c r="CV735">
        <v>2</v>
      </c>
      <c r="CW735">
        <v>0</v>
      </c>
      <c r="CX735">
        <v>7</v>
      </c>
      <c r="CY735">
        <v>7</v>
      </c>
      <c r="CZ735" t="s">
        <v>133</v>
      </c>
      <c r="DA735">
        <v>125</v>
      </c>
      <c r="DB735">
        <v>1</v>
      </c>
      <c r="DC735" t="s">
        <v>134</v>
      </c>
      <c r="DD735" t="s">
        <v>135</v>
      </c>
      <c r="DG735">
        <v>2908440</v>
      </c>
      <c r="DI735">
        <v>0</v>
      </c>
      <c r="DJ735">
        <v>0</v>
      </c>
      <c r="DK735">
        <v>0</v>
      </c>
      <c r="DL735">
        <v>0</v>
      </c>
      <c r="DM735">
        <v>0</v>
      </c>
      <c r="DN735">
        <v>0</v>
      </c>
      <c r="DO735">
        <v>0</v>
      </c>
      <c r="DP735">
        <v>0</v>
      </c>
      <c r="DQ735">
        <v>0</v>
      </c>
      <c r="DR735">
        <v>0</v>
      </c>
      <c r="DS735">
        <v>0</v>
      </c>
    </row>
    <row r="736" spans="1:123" x14ac:dyDescent="0.25">
      <c r="A736" t="str">
        <f>"04/17/2026 15:45:06.965"</f>
        <v>04/17/2026 15:45:06.965</v>
      </c>
      <c r="C736" t="str">
        <f t="shared" si="65"/>
        <v>FFDFD3C0</v>
      </c>
      <c r="D736" t="s">
        <v>136</v>
      </c>
      <c r="E736" t="str">
        <f>"0F"</f>
        <v>0F</v>
      </c>
      <c r="F736">
        <v>1015</v>
      </c>
      <c r="G736" t="s">
        <v>138</v>
      </c>
      <c r="J736" t="s">
        <v>137</v>
      </c>
      <c r="K736">
        <v>0</v>
      </c>
      <c r="L736">
        <v>3</v>
      </c>
      <c r="M736">
        <v>0</v>
      </c>
      <c r="N736">
        <v>2</v>
      </c>
      <c r="O736">
        <v>1</v>
      </c>
      <c r="P736">
        <v>0</v>
      </c>
      <c r="Q736">
        <v>0</v>
      </c>
      <c r="R736" t="s">
        <v>127</v>
      </c>
      <c r="S736" t="str">
        <f t="shared" si="68"/>
        <v>15:45:06.711</v>
      </c>
      <c r="T736" t="str">
        <f t="shared" si="68"/>
        <v>15:45:06.711</v>
      </c>
      <c r="U736" t="str">
        <f t="shared" si="64"/>
        <v>A55E09</v>
      </c>
      <c r="V736">
        <v>0</v>
      </c>
      <c r="W736">
        <v>0</v>
      </c>
      <c r="X736">
        <v>2</v>
      </c>
      <c r="Y736">
        <v>0</v>
      </c>
      <c r="AA736">
        <v>0</v>
      </c>
      <c r="AB736">
        <v>9</v>
      </c>
      <c r="AC736">
        <v>3</v>
      </c>
      <c r="AD736">
        <v>0</v>
      </c>
      <c r="AE736">
        <v>9</v>
      </c>
      <c r="AF736" t="s">
        <v>128</v>
      </c>
      <c r="AG736">
        <v>0</v>
      </c>
      <c r="AH736">
        <v>0</v>
      </c>
      <c r="AI736">
        <v>1</v>
      </c>
      <c r="AJ736">
        <v>0</v>
      </c>
      <c r="AK736" t="s">
        <v>475</v>
      </c>
      <c r="AL736">
        <v>33.766758000000003</v>
      </c>
      <c r="AM736" t="s">
        <v>476</v>
      </c>
      <c r="AN736">
        <v>-101.226568</v>
      </c>
      <c r="AO736">
        <v>100</v>
      </c>
      <c r="AP736">
        <v>3200</v>
      </c>
      <c r="AQ736" t="s">
        <v>131</v>
      </c>
      <c r="AR736">
        <v>-5</v>
      </c>
      <c r="AS736">
        <v>38</v>
      </c>
      <c r="AT736">
        <v>-192</v>
      </c>
      <c r="BB736" t="str">
        <f t="shared" si="66"/>
        <v>1200</v>
      </c>
      <c r="BC736">
        <v>1</v>
      </c>
      <c r="BD736" t="str">
        <f t="shared" si="67"/>
        <v xml:space="preserve">N445JS  </v>
      </c>
      <c r="BE736">
        <v>7</v>
      </c>
      <c r="BG736">
        <v>0</v>
      </c>
      <c r="BH736">
        <v>0</v>
      </c>
      <c r="BI736">
        <v>0</v>
      </c>
      <c r="BJ736">
        <v>3000</v>
      </c>
      <c r="BK736">
        <v>-200</v>
      </c>
      <c r="BL736" t="s">
        <v>132</v>
      </c>
      <c r="BM736">
        <v>1</v>
      </c>
      <c r="BN736">
        <v>1</v>
      </c>
      <c r="BO736">
        <v>1</v>
      </c>
      <c r="BP736">
        <v>0</v>
      </c>
      <c r="BT736">
        <v>0</v>
      </c>
      <c r="BU736">
        <v>0</v>
      </c>
      <c r="CE736" t="str">
        <f>"15:45:06.719"</f>
        <v>15:45:06.719</v>
      </c>
      <c r="CF736">
        <v>718545731</v>
      </c>
      <c r="CS736">
        <v>0</v>
      </c>
      <c r="CT736">
        <v>2</v>
      </c>
      <c r="CU736">
        <v>0</v>
      </c>
      <c r="CV736">
        <v>2</v>
      </c>
      <c r="CW736">
        <v>0</v>
      </c>
      <c r="CX736">
        <v>7</v>
      </c>
      <c r="CY736">
        <v>7</v>
      </c>
      <c r="CZ736" t="s">
        <v>133</v>
      </c>
      <c r="DA736">
        <v>125</v>
      </c>
      <c r="DB736">
        <v>1</v>
      </c>
      <c r="DC736" t="s">
        <v>134</v>
      </c>
      <c r="DD736" t="s">
        <v>135</v>
      </c>
      <c r="DG736">
        <v>2908440</v>
      </c>
      <c r="DI736">
        <v>0</v>
      </c>
      <c r="DJ736">
        <v>0</v>
      </c>
      <c r="DK736">
        <v>1</v>
      </c>
      <c r="DL736">
        <v>0</v>
      </c>
      <c r="DM736">
        <v>0</v>
      </c>
      <c r="DN736">
        <v>0</v>
      </c>
      <c r="DO736">
        <v>0</v>
      </c>
      <c r="DP736">
        <v>0</v>
      </c>
      <c r="DQ736">
        <v>0</v>
      </c>
      <c r="DR736">
        <v>0</v>
      </c>
      <c r="DS736">
        <v>0</v>
      </c>
    </row>
    <row r="737" spans="1:123" x14ac:dyDescent="0.25">
      <c r="A737" t="str">
        <f>"04/17/2026 15:45:06.970"</f>
        <v>04/17/2026 15:45:06.970</v>
      </c>
      <c r="C737" t="str">
        <f t="shared" si="65"/>
        <v>FFDFD3C0</v>
      </c>
      <c r="D737" t="s">
        <v>139</v>
      </c>
      <c r="E737" t="str">
        <f>"28"</f>
        <v>28</v>
      </c>
      <c r="H737">
        <v>140</v>
      </c>
      <c r="I737" t="s">
        <v>140</v>
      </c>
      <c r="J737" t="s">
        <v>141</v>
      </c>
      <c r="K737">
        <v>0</v>
      </c>
      <c r="L737">
        <v>3</v>
      </c>
      <c r="M737">
        <v>0</v>
      </c>
      <c r="N737">
        <v>2</v>
      </c>
      <c r="O737">
        <v>1</v>
      </c>
      <c r="P737">
        <v>0</v>
      </c>
      <c r="Q737">
        <v>0</v>
      </c>
      <c r="R737" t="s">
        <v>127</v>
      </c>
      <c r="S737" t="str">
        <f t="shared" si="68"/>
        <v>15:45:06.711</v>
      </c>
      <c r="T737" t="str">
        <f t="shared" si="68"/>
        <v>15:45:06.711</v>
      </c>
      <c r="U737" t="str">
        <f t="shared" si="64"/>
        <v>A55E09</v>
      </c>
      <c r="V737">
        <v>0</v>
      </c>
      <c r="W737">
        <v>0</v>
      </c>
      <c r="X737">
        <v>2</v>
      </c>
      <c r="Y737">
        <v>0</v>
      </c>
      <c r="AA737">
        <v>0</v>
      </c>
      <c r="AB737">
        <v>9</v>
      </c>
      <c r="AC737">
        <v>3</v>
      </c>
      <c r="AD737">
        <v>0</v>
      </c>
      <c r="AE737">
        <v>9</v>
      </c>
      <c r="AF737" t="s">
        <v>128</v>
      </c>
      <c r="AG737">
        <v>0</v>
      </c>
      <c r="AH737">
        <v>0</v>
      </c>
      <c r="AI737">
        <v>1</v>
      </c>
      <c r="AJ737">
        <v>0</v>
      </c>
      <c r="AK737" t="s">
        <v>475</v>
      </c>
      <c r="AL737">
        <v>33.766758000000003</v>
      </c>
      <c r="AM737" t="s">
        <v>476</v>
      </c>
      <c r="AN737">
        <v>-101.226568</v>
      </c>
      <c r="AO737">
        <v>100</v>
      </c>
      <c r="AP737">
        <v>3200</v>
      </c>
      <c r="AQ737" t="s">
        <v>131</v>
      </c>
      <c r="AR737">
        <v>-5</v>
      </c>
      <c r="AS737">
        <v>38</v>
      </c>
      <c r="AT737">
        <v>-192</v>
      </c>
      <c r="BB737" t="str">
        <f t="shared" si="66"/>
        <v>1200</v>
      </c>
      <c r="BC737">
        <v>1</v>
      </c>
      <c r="BD737" t="str">
        <f t="shared" si="67"/>
        <v xml:space="preserve">N445JS  </v>
      </c>
      <c r="BE737">
        <v>7</v>
      </c>
      <c r="BG737">
        <v>0</v>
      </c>
      <c r="BH737">
        <v>0</v>
      </c>
      <c r="BI737">
        <v>0</v>
      </c>
      <c r="BJ737">
        <v>3000</v>
      </c>
      <c r="BK737">
        <v>-200</v>
      </c>
      <c r="BL737" t="s">
        <v>132</v>
      </c>
      <c r="BM737">
        <v>1</v>
      </c>
      <c r="BN737">
        <v>1</v>
      </c>
      <c r="BO737">
        <v>1</v>
      </c>
      <c r="BP737">
        <v>0</v>
      </c>
      <c r="BT737">
        <v>0</v>
      </c>
      <c r="BU737">
        <v>0</v>
      </c>
      <c r="CE737" t="str">
        <f>"15:45:06.719"</f>
        <v>15:45:06.719</v>
      </c>
      <c r="CF737">
        <v>718545731</v>
      </c>
      <c r="CS737">
        <v>0</v>
      </c>
      <c r="CT737">
        <v>2</v>
      </c>
      <c r="CU737">
        <v>0</v>
      </c>
      <c r="CV737">
        <v>2</v>
      </c>
      <c r="CW737">
        <v>0</v>
      </c>
      <c r="CX737">
        <v>7</v>
      </c>
      <c r="CY737">
        <v>7</v>
      </c>
      <c r="CZ737" t="s">
        <v>133</v>
      </c>
      <c r="DA737">
        <v>125</v>
      </c>
      <c r="DB737">
        <v>1</v>
      </c>
      <c r="DC737" t="s">
        <v>134</v>
      </c>
      <c r="DD737" t="s">
        <v>135</v>
      </c>
      <c r="DG737">
        <v>2908440</v>
      </c>
      <c r="DI737">
        <v>0</v>
      </c>
      <c r="DJ737">
        <v>0</v>
      </c>
      <c r="DK737">
        <v>1</v>
      </c>
      <c r="DL737">
        <v>0</v>
      </c>
      <c r="DM737">
        <v>0</v>
      </c>
      <c r="DN737">
        <v>0</v>
      </c>
      <c r="DO737">
        <v>0</v>
      </c>
      <c r="DP737">
        <v>0</v>
      </c>
      <c r="DQ737">
        <v>0</v>
      </c>
      <c r="DR737">
        <v>0</v>
      </c>
      <c r="DS737">
        <v>0</v>
      </c>
    </row>
    <row r="738" spans="1:123" x14ac:dyDescent="0.25">
      <c r="A738" t="str">
        <f>"04/17/2026 15:45:06.978"</f>
        <v>04/17/2026 15:45:06.978</v>
      </c>
      <c r="C738" t="str">
        <f t="shared" si="65"/>
        <v>FFDFD3C0</v>
      </c>
      <c r="D738" t="s">
        <v>124</v>
      </c>
      <c r="E738" t="str">
        <f>"03"</f>
        <v>03</v>
      </c>
      <c r="H738">
        <v>160</v>
      </c>
      <c r="I738" t="s">
        <v>125</v>
      </c>
      <c r="J738" t="s">
        <v>126</v>
      </c>
      <c r="K738">
        <v>0</v>
      </c>
      <c r="L738">
        <v>3</v>
      </c>
      <c r="M738">
        <v>0</v>
      </c>
      <c r="N738">
        <v>2</v>
      </c>
      <c r="O738">
        <v>1</v>
      </c>
      <c r="P738">
        <v>0</v>
      </c>
      <c r="Q738">
        <v>0</v>
      </c>
      <c r="R738" t="s">
        <v>127</v>
      </c>
      <c r="S738" t="str">
        <f t="shared" si="68"/>
        <v>15:45:06.711</v>
      </c>
      <c r="T738" t="str">
        <f t="shared" si="68"/>
        <v>15:45:06.711</v>
      </c>
      <c r="U738" t="str">
        <f t="shared" si="64"/>
        <v>A55E09</v>
      </c>
      <c r="V738">
        <v>0</v>
      </c>
      <c r="W738">
        <v>0</v>
      </c>
      <c r="X738">
        <v>2</v>
      </c>
      <c r="Y738">
        <v>0</v>
      </c>
      <c r="AA738">
        <v>0</v>
      </c>
      <c r="AB738">
        <v>9</v>
      </c>
      <c r="AC738">
        <v>3</v>
      </c>
      <c r="AD738">
        <v>0</v>
      </c>
      <c r="AE738">
        <v>9</v>
      </c>
      <c r="AF738" t="s">
        <v>128</v>
      </c>
      <c r="AG738">
        <v>0</v>
      </c>
      <c r="AH738">
        <v>0</v>
      </c>
      <c r="AI738">
        <v>1</v>
      </c>
      <c r="AJ738">
        <v>0</v>
      </c>
      <c r="AK738" t="s">
        <v>475</v>
      </c>
      <c r="AL738">
        <v>33.766758000000003</v>
      </c>
      <c r="AM738" t="s">
        <v>476</v>
      </c>
      <c r="AN738">
        <v>-101.226568</v>
      </c>
      <c r="AO738">
        <v>100</v>
      </c>
      <c r="AP738">
        <v>3200</v>
      </c>
      <c r="AQ738" t="s">
        <v>131</v>
      </c>
      <c r="AR738">
        <v>-5</v>
      </c>
      <c r="AS738">
        <v>38</v>
      </c>
      <c r="AT738">
        <v>-192</v>
      </c>
      <c r="BB738" t="str">
        <f t="shared" si="66"/>
        <v>1200</v>
      </c>
      <c r="BC738">
        <v>1</v>
      </c>
      <c r="BD738" t="str">
        <f t="shared" si="67"/>
        <v xml:space="preserve">N445JS  </v>
      </c>
      <c r="BE738">
        <v>7</v>
      </c>
      <c r="BG738">
        <v>0</v>
      </c>
      <c r="BH738">
        <v>0</v>
      </c>
      <c r="BI738">
        <v>0</v>
      </c>
      <c r="BJ738">
        <v>3000</v>
      </c>
      <c r="BK738">
        <v>-200</v>
      </c>
      <c r="BL738" t="s">
        <v>132</v>
      </c>
      <c r="BM738">
        <v>1</v>
      </c>
      <c r="BN738">
        <v>1</v>
      </c>
      <c r="BO738">
        <v>1</v>
      </c>
      <c r="BP738">
        <v>0</v>
      </c>
      <c r="BT738">
        <v>0</v>
      </c>
      <c r="BU738">
        <v>0</v>
      </c>
      <c r="CE738" t="str">
        <f>"15:45:06.719"</f>
        <v>15:45:06.719</v>
      </c>
      <c r="CF738">
        <v>718545731</v>
      </c>
      <c r="CS738">
        <v>0</v>
      </c>
      <c r="CT738">
        <v>2</v>
      </c>
      <c r="CU738">
        <v>0</v>
      </c>
      <c r="CV738">
        <v>2</v>
      </c>
      <c r="CW738">
        <v>0</v>
      </c>
      <c r="CX738">
        <v>7</v>
      </c>
      <c r="CY738">
        <v>7</v>
      </c>
      <c r="CZ738" t="s">
        <v>133</v>
      </c>
      <c r="DA738">
        <v>125</v>
      </c>
      <c r="DB738">
        <v>1</v>
      </c>
      <c r="DC738" t="s">
        <v>134</v>
      </c>
      <c r="DD738" t="s">
        <v>135</v>
      </c>
      <c r="DG738">
        <v>2908440</v>
      </c>
      <c r="DI738">
        <v>0</v>
      </c>
      <c r="DJ738">
        <v>0</v>
      </c>
      <c r="DK738">
        <v>1</v>
      </c>
      <c r="DL738">
        <v>0</v>
      </c>
      <c r="DM738">
        <v>0</v>
      </c>
      <c r="DN738">
        <v>0</v>
      </c>
      <c r="DO738">
        <v>0</v>
      </c>
      <c r="DP738">
        <v>0</v>
      </c>
      <c r="DQ738">
        <v>0</v>
      </c>
      <c r="DR738">
        <v>0</v>
      </c>
      <c r="DS738">
        <v>0</v>
      </c>
    </row>
    <row r="739" spans="1:123" x14ac:dyDescent="0.25">
      <c r="A739" t="str">
        <f>"04/17/2026 15:45:07.952"</f>
        <v>04/17/2026 15:45:07.952</v>
      </c>
      <c r="C739" t="str">
        <f t="shared" si="65"/>
        <v>FFDFD3C0</v>
      </c>
      <c r="D739" t="s">
        <v>136</v>
      </c>
      <c r="E739" t="str">
        <f>"0E"</f>
        <v>0E</v>
      </c>
      <c r="F739">
        <v>1014</v>
      </c>
      <c r="G739" t="s">
        <v>125</v>
      </c>
      <c r="J739" t="s">
        <v>137</v>
      </c>
      <c r="K739">
        <v>0</v>
      </c>
      <c r="L739">
        <v>3</v>
      </c>
      <c r="M739">
        <v>0</v>
      </c>
      <c r="N739">
        <v>2</v>
      </c>
      <c r="O739">
        <v>1</v>
      </c>
      <c r="P739">
        <v>0</v>
      </c>
      <c r="Q739">
        <v>0</v>
      </c>
      <c r="R739" t="s">
        <v>127</v>
      </c>
      <c r="S739" t="str">
        <f t="shared" ref="S739:T742" si="69">"15:45:07.688"</f>
        <v>15:45:07.688</v>
      </c>
      <c r="T739" t="str">
        <f t="shared" si="69"/>
        <v>15:45:07.688</v>
      </c>
      <c r="U739" t="str">
        <f t="shared" si="64"/>
        <v>A55E09</v>
      </c>
      <c r="V739">
        <v>0</v>
      </c>
      <c r="W739">
        <v>0</v>
      </c>
      <c r="X739">
        <v>2</v>
      </c>
      <c r="Y739">
        <v>0</v>
      </c>
      <c r="AA739">
        <v>0</v>
      </c>
      <c r="AB739">
        <v>9</v>
      </c>
      <c r="AC739">
        <v>3</v>
      </c>
      <c r="AD739">
        <v>0</v>
      </c>
      <c r="AE739">
        <v>9</v>
      </c>
      <c r="AF739" t="s">
        <v>128</v>
      </c>
      <c r="AG739">
        <v>0</v>
      </c>
      <c r="AH739">
        <v>0</v>
      </c>
      <c r="AI739">
        <v>1</v>
      </c>
      <c r="AJ739">
        <v>0</v>
      </c>
      <c r="AK739" t="s">
        <v>477</v>
      </c>
      <c r="AL739">
        <v>33.766908999999998</v>
      </c>
      <c r="AM739" t="s">
        <v>478</v>
      </c>
      <c r="AN739">
        <v>-101.226547</v>
      </c>
      <c r="AO739">
        <v>100</v>
      </c>
      <c r="AP739">
        <v>3200</v>
      </c>
      <c r="AQ739" t="s">
        <v>131</v>
      </c>
      <c r="AR739">
        <v>-4</v>
      </c>
      <c r="AS739">
        <v>40</v>
      </c>
      <c r="AT739">
        <v>-128</v>
      </c>
      <c r="BB739" t="str">
        <f t="shared" si="66"/>
        <v>1200</v>
      </c>
      <c r="BC739">
        <v>1</v>
      </c>
      <c r="BD739" t="str">
        <f t="shared" si="67"/>
        <v xml:space="preserve">N445JS  </v>
      </c>
      <c r="BE739">
        <v>7</v>
      </c>
      <c r="BG739">
        <v>0</v>
      </c>
      <c r="BH739">
        <v>0</v>
      </c>
      <c r="BI739">
        <v>0</v>
      </c>
      <c r="BJ739">
        <v>3000</v>
      </c>
      <c r="BK739">
        <v>-200</v>
      </c>
      <c r="BL739" t="s">
        <v>132</v>
      </c>
      <c r="BM739">
        <v>1</v>
      </c>
      <c r="BN739">
        <v>1</v>
      </c>
      <c r="BO739">
        <v>1</v>
      </c>
      <c r="BP739">
        <v>0</v>
      </c>
      <c r="BT739">
        <v>0</v>
      </c>
      <c r="BU739">
        <v>0</v>
      </c>
      <c r="CE739" t="str">
        <f>"15:45:07.693"</f>
        <v>15:45:07.693</v>
      </c>
      <c r="CF739">
        <v>693450249</v>
      </c>
      <c r="CS739">
        <v>0</v>
      </c>
      <c r="CT739">
        <v>2</v>
      </c>
      <c r="CU739">
        <v>0</v>
      </c>
      <c r="CV739">
        <v>2</v>
      </c>
      <c r="CW739">
        <v>0</v>
      </c>
      <c r="CX739">
        <v>7</v>
      </c>
      <c r="CY739">
        <v>7</v>
      </c>
      <c r="CZ739" t="s">
        <v>133</v>
      </c>
      <c r="DA739">
        <v>125</v>
      </c>
      <c r="DB739">
        <v>0</v>
      </c>
      <c r="DC739" t="s">
        <v>134</v>
      </c>
      <c r="DD739" t="s">
        <v>135</v>
      </c>
      <c r="DG739">
        <v>3887301</v>
      </c>
      <c r="DI739">
        <v>0</v>
      </c>
      <c r="DJ739">
        <v>0</v>
      </c>
      <c r="DK739">
        <v>0</v>
      </c>
      <c r="DL739">
        <v>0</v>
      </c>
      <c r="DM739">
        <v>0</v>
      </c>
      <c r="DN739">
        <v>0</v>
      </c>
      <c r="DO739">
        <v>0</v>
      </c>
      <c r="DP739">
        <v>0</v>
      </c>
      <c r="DQ739">
        <v>0</v>
      </c>
      <c r="DR739">
        <v>0</v>
      </c>
      <c r="DS739">
        <v>0</v>
      </c>
    </row>
    <row r="740" spans="1:123" x14ac:dyDescent="0.25">
      <c r="A740" t="str">
        <f>"04/17/2026 15:45:07.972"</f>
        <v>04/17/2026 15:45:07.972</v>
      </c>
      <c r="C740" t="str">
        <f t="shared" si="65"/>
        <v>FFDFD3C0</v>
      </c>
      <c r="D740" t="s">
        <v>139</v>
      </c>
      <c r="E740" t="str">
        <f>"28"</f>
        <v>28</v>
      </c>
      <c r="H740">
        <v>140</v>
      </c>
      <c r="I740" t="s">
        <v>140</v>
      </c>
      <c r="J740" t="s">
        <v>141</v>
      </c>
      <c r="K740">
        <v>0</v>
      </c>
      <c r="L740">
        <v>3</v>
      </c>
      <c r="M740">
        <v>0</v>
      </c>
      <c r="N740">
        <v>2</v>
      </c>
      <c r="O740">
        <v>1</v>
      </c>
      <c r="P740">
        <v>0</v>
      </c>
      <c r="Q740">
        <v>0</v>
      </c>
      <c r="R740" t="s">
        <v>127</v>
      </c>
      <c r="S740" t="str">
        <f t="shared" si="69"/>
        <v>15:45:07.688</v>
      </c>
      <c r="T740" t="str">
        <f t="shared" si="69"/>
        <v>15:45:07.688</v>
      </c>
      <c r="U740" t="str">
        <f t="shared" si="64"/>
        <v>A55E09</v>
      </c>
      <c r="V740">
        <v>0</v>
      </c>
      <c r="W740">
        <v>0</v>
      </c>
      <c r="X740">
        <v>2</v>
      </c>
      <c r="Y740">
        <v>0</v>
      </c>
      <c r="AA740">
        <v>0</v>
      </c>
      <c r="AB740">
        <v>9</v>
      </c>
      <c r="AC740">
        <v>3</v>
      </c>
      <c r="AD740">
        <v>0</v>
      </c>
      <c r="AE740">
        <v>9</v>
      </c>
      <c r="AF740" t="s">
        <v>128</v>
      </c>
      <c r="AG740">
        <v>0</v>
      </c>
      <c r="AH740">
        <v>0</v>
      </c>
      <c r="AI740">
        <v>1</v>
      </c>
      <c r="AJ740">
        <v>0</v>
      </c>
      <c r="AK740" t="s">
        <v>477</v>
      </c>
      <c r="AL740">
        <v>33.766908999999998</v>
      </c>
      <c r="AM740" t="s">
        <v>478</v>
      </c>
      <c r="AN740">
        <v>-101.226547</v>
      </c>
      <c r="AO740">
        <v>100</v>
      </c>
      <c r="AP740">
        <v>3200</v>
      </c>
      <c r="AQ740" t="s">
        <v>131</v>
      </c>
      <c r="AR740">
        <v>-4</v>
      </c>
      <c r="AS740">
        <v>40</v>
      </c>
      <c r="AT740">
        <v>-128</v>
      </c>
      <c r="BB740" t="str">
        <f t="shared" si="66"/>
        <v>1200</v>
      </c>
      <c r="BC740">
        <v>1</v>
      </c>
      <c r="BD740" t="str">
        <f t="shared" si="67"/>
        <v xml:space="preserve">N445JS  </v>
      </c>
      <c r="BE740">
        <v>7</v>
      </c>
      <c r="BG740">
        <v>0</v>
      </c>
      <c r="BH740">
        <v>0</v>
      </c>
      <c r="BI740">
        <v>0</v>
      </c>
      <c r="BJ740">
        <v>3000</v>
      </c>
      <c r="BK740">
        <v>-200</v>
      </c>
      <c r="BL740" t="s">
        <v>132</v>
      </c>
      <c r="BM740">
        <v>1</v>
      </c>
      <c r="BN740">
        <v>1</v>
      </c>
      <c r="BO740">
        <v>1</v>
      </c>
      <c r="BP740">
        <v>0</v>
      </c>
      <c r="BT740">
        <v>0</v>
      </c>
      <c r="BU740">
        <v>0</v>
      </c>
      <c r="CE740" t="str">
        <f>"15:45:07.693"</f>
        <v>15:45:07.693</v>
      </c>
      <c r="CF740">
        <v>693450249</v>
      </c>
      <c r="CS740">
        <v>0</v>
      </c>
      <c r="CT740">
        <v>2</v>
      </c>
      <c r="CU740">
        <v>0</v>
      </c>
      <c r="CV740">
        <v>2</v>
      </c>
      <c r="CW740">
        <v>0</v>
      </c>
      <c r="CX740">
        <v>7</v>
      </c>
      <c r="CY740">
        <v>7</v>
      </c>
      <c r="CZ740" t="s">
        <v>133</v>
      </c>
      <c r="DA740">
        <v>125</v>
      </c>
      <c r="DB740">
        <v>0</v>
      </c>
      <c r="DC740" t="s">
        <v>134</v>
      </c>
      <c r="DD740" t="s">
        <v>135</v>
      </c>
      <c r="DG740">
        <v>3887301</v>
      </c>
      <c r="DI740">
        <v>0</v>
      </c>
      <c r="DJ740">
        <v>0</v>
      </c>
      <c r="DK740">
        <v>1</v>
      </c>
      <c r="DL740">
        <v>0</v>
      </c>
      <c r="DM740">
        <v>0</v>
      </c>
      <c r="DN740">
        <v>0</v>
      </c>
      <c r="DO740">
        <v>0</v>
      </c>
      <c r="DP740">
        <v>0</v>
      </c>
      <c r="DQ740">
        <v>0</v>
      </c>
      <c r="DR740">
        <v>0</v>
      </c>
      <c r="DS740">
        <v>0</v>
      </c>
    </row>
    <row r="741" spans="1:123" x14ac:dyDescent="0.25">
      <c r="A741" t="str">
        <f>"04/17/2026 15:45:07.967"</f>
        <v>04/17/2026 15:45:07.967</v>
      </c>
      <c r="C741" t="str">
        <f t="shared" si="65"/>
        <v>FFDFD3C0</v>
      </c>
      <c r="D741" t="s">
        <v>136</v>
      </c>
      <c r="E741" t="str">
        <f>"0F"</f>
        <v>0F</v>
      </c>
      <c r="F741">
        <v>1015</v>
      </c>
      <c r="G741" t="s">
        <v>138</v>
      </c>
      <c r="J741" t="s">
        <v>137</v>
      </c>
      <c r="K741">
        <v>0</v>
      </c>
      <c r="L741">
        <v>3</v>
      </c>
      <c r="M741">
        <v>0</v>
      </c>
      <c r="N741">
        <v>2</v>
      </c>
      <c r="O741">
        <v>1</v>
      </c>
      <c r="P741">
        <v>0</v>
      </c>
      <c r="Q741">
        <v>0</v>
      </c>
      <c r="R741" t="s">
        <v>127</v>
      </c>
      <c r="S741" t="str">
        <f t="shared" si="69"/>
        <v>15:45:07.688</v>
      </c>
      <c r="T741" t="str">
        <f t="shared" si="69"/>
        <v>15:45:07.688</v>
      </c>
      <c r="U741" t="str">
        <f t="shared" si="64"/>
        <v>A55E09</v>
      </c>
      <c r="V741">
        <v>0</v>
      </c>
      <c r="W741">
        <v>0</v>
      </c>
      <c r="X741">
        <v>2</v>
      </c>
      <c r="Y741">
        <v>0</v>
      </c>
      <c r="AA741">
        <v>0</v>
      </c>
      <c r="AB741">
        <v>9</v>
      </c>
      <c r="AC741">
        <v>3</v>
      </c>
      <c r="AD741">
        <v>0</v>
      </c>
      <c r="AE741">
        <v>9</v>
      </c>
      <c r="AF741" t="s">
        <v>128</v>
      </c>
      <c r="AG741">
        <v>0</v>
      </c>
      <c r="AH741">
        <v>0</v>
      </c>
      <c r="AI741">
        <v>1</v>
      </c>
      <c r="AJ741">
        <v>0</v>
      </c>
      <c r="AK741" t="s">
        <v>477</v>
      </c>
      <c r="AL741">
        <v>33.766908999999998</v>
      </c>
      <c r="AM741" t="s">
        <v>478</v>
      </c>
      <c r="AN741">
        <v>-101.226547</v>
      </c>
      <c r="AO741">
        <v>100</v>
      </c>
      <c r="AP741">
        <v>3200</v>
      </c>
      <c r="AQ741" t="s">
        <v>131</v>
      </c>
      <c r="AR741">
        <v>-4</v>
      </c>
      <c r="AS741">
        <v>40</v>
      </c>
      <c r="AT741">
        <v>-128</v>
      </c>
      <c r="BB741" t="str">
        <f t="shared" si="66"/>
        <v>1200</v>
      </c>
      <c r="BC741">
        <v>1</v>
      </c>
      <c r="BD741" t="str">
        <f t="shared" si="67"/>
        <v xml:space="preserve">N445JS  </v>
      </c>
      <c r="BE741">
        <v>7</v>
      </c>
      <c r="BG741">
        <v>0</v>
      </c>
      <c r="BH741">
        <v>0</v>
      </c>
      <c r="BI741">
        <v>0</v>
      </c>
      <c r="BJ741">
        <v>3000</v>
      </c>
      <c r="BK741">
        <v>-200</v>
      </c>
      <c r="BL741" t="s">
        <v>132</v>
      </c>
      <c r="BM741">
        <v>1</v>
      </c>
      <c r="BN741">
        <v>1</v>
      </c>
      <c r="BO741">
        <v>1</v>
      </c>
      <c r="BP741">
        <v>0</v>
      </c>
      <c r="BT741">
        <v>0</v>
      </c>
      <c r="BU741">
        <v>0</v>
      </c>
      <c r="CE741" t="str">
        <f>"15:45:07.693"</f>
        <v>15:45:07.693</v>
      </c>
      <c r="CF741">
        <v>693450249</v>
      </c>
      <c r="CS741">
        <v>0</v>
      </c>
      <c r="CT741">
        <v>2</v>
      </c>
      <c r="CU741">
        <v>0</v>
      </c>
      <c r="CV741">
        <v>2</v>
      </c>
      <c r="CW741">
        <v>0</v>
      </c>
      <c r="CX741">
        <v>7</v>
      </c>
      <c r="CY741">
        <v>7</v>
      </c>
      <c r="CZ741" t="s">
        <v>133</v>
      </c>
      <c r="DA741">
        <v>125</v>
      </c>
      <c r="DB741">
        <v>0</v>
      </c>
      <c r="DC741" t="s">
        <v>134</v>
      </c>
      <c r="DD741" t="s">
        <v>135</v>
      </c>
      <c r="DG741">
        <v>3887301</v>
      </c>
      <c r="DI741">
        <v>0</v>
      </c>
      <c r="DJ741">
        <v>0</v>
      </c>
      <c r="DK741">
        <v>1</v>
      </c>
      <c r="DL741">
        <v>0</v>
      </c>
      <c r="DM741">
        <v>0</v>
      </c>
      <c r="DN741">
        <v>0</v>
      </c>
      <c r="DO741">
        <v>0</v>
      </c>
      <c r="DP741">
        <v>0</v>
      </c>
      <c r="DQ741">
        <v>0</v>
      </c>
      <c r="DR741">
        <v>0</v>
      </c>
      <c r="DS741">
        <v>0</v>
      </c>
    </row>
    <row r="742" spans="1:123" x14ac:dyDescent="0.25">
      <c r="A742" t="str">
        <f>"04/17/2026 15:45:07.980"</f>
        <v>04/17/2026 15:45:07.980</v>
      </c>
      <c r="C742" t="str">
        <f t="shared" si="65"/>
        <v>FFDFD3C0</v>
      </c>
      <c r="D742" t="s">
        <v>124</v>
      </c>
      <c r="E742" t="str">
        <f>"03"</f>
        <v>03</v>
      </c>
      <c r="H742">
        <v>160</v>
      </c>
      <c r="I742" t="s">
        <v>125</v>
      </c>
      <c r="J742" t="s">
        <v>126</v>
      </c>
      <c r="K742">
        <v>0</v>
      </c>
      <c r="L742">
        <v>3</v>
      </c>
      <c r="M742">
        <v>0</v>
      </c>
      <c r="N742">
        <v>2</v>
      </c>
      <c r="O742">
        <v>1</v>
      </c>
      <c r="P742">
        <v>0</v>
      </c>
      <c r="Q742">
        <v>0</v>
      </c>
      <c r="R742" t="s">
        <v>127</v>
      </c>
      <c r="S742" t="str">
        <f t="shared" si="69"/>
        <v>15:45:07.688</v>
      </c>
      <c r="T742" t="str">
        <f t="shared" si="69"/>
        <v>15:45:07.688</v>
      </c>
      <c r="U742" t="str">
        <f t="shared" si="64"/>
        <v>A55E09</v>
      </c>
      <c r="V742">
        <v>0</v>
      </c>
      <c r="W742">
        <v>0</v>
      </c>
      <c r="X742">
        <v>2</v>
      </c>
      <c r="Y742">
        <v>0</v>
      </c>
      <c r="AA742">
        <v>0</v>
      </c>
      <c r="AB742">
        <v>9</v>
      </c>
      <c r="AC742">
        <v>3</v>
      </c>
      <c r="AD742">
        <v>0</v>
      </c>
      <c r="AE742">
        <v>9</v>
      </c>
      <c r="AF742" t="s">
        <v>128</v>
      </c>
      <c r="AG742">
        <v>0</v>
      </c>
      <c r="AH742">
        <v>0</v>
      </c>
      <c r="AI742">
        <v>1</v>
      </c>
      <c r="AJ742">
        <v>0</v>
      </c>
      <c r="AK742" t="s">
        <v>477</v>
      </c>
      <c r="AL742">
        <v>33.766908999999998</v>
      </c>
      <c r="AM742" t="s">
        <v>478</v>
      </c>
      <c r="AN742">
        <v>-101.226547</v>
      </c>
      <c r="AO742">
        <v>100</v>
      </c>
      <c r="AP742">
        <v>3200</v>
      </c>
      <c r="AQ742" t="s">
        <v>131</v>
      </c>
      <c r="AR742">
        <v>-4</v>
      </c>
      <c r="AS742">
        <v>40</v>
      </c>
      <c r="AT742">
        <v>-128</v>
      </c>
      <c r="BB742" t="str">
        <f t="shared" si="66"/>
        <v>1200</v>
      </c>
      <c r="BC742">
        <v>1</v>
      </c>
      <c r="BD742" t="str">
        <f t="shared" si="67"/>
        <v xml:space="preserve">N445JS  </v>
      </c>
      <c r="BE742">
        <v>7</v>
      </c>
      <c r="BG742">
        <v>0</v>
      </c>
      <c r="BH742">
        <v>0</v>
      </c>
      <c r="BI742">
        <v>0</v>
      </c>
      <c r="BJ742">
        <v>3000</v>
      </c>
      <c r="BK742">
        <v>-200</v>
      </c>
      <c r="BL742" t="s">
        <v>132</v>
      </c>
      <c r="BM742">
        <v>1</v>
      </c>
      <c r="BN742">
        <v>1</v>
      </c>
      <c r="BO742">
        <v>1</v>
      </c>
      <c r="BP742">
        <v>0</v>
      </c>
      <c r="BT742">
        <v>0</v>
      </c>
      <c r="BU742">
        <v>0</v>
      </c>
      <c r="CE742" t="str">
        <f>"15:45:07.693"</f>
        <v>15:45:07.693</v>
      </c>
      <c r="CF742">
        <v>693450249</v>
      </c>
      <c r="CS742">
        <v>0</v>
      </c>
      <c r="CT742">
        <v>2</v>
      </c>
      <c r="CU742">
        <v>0</v>
      </c>
      <c r="CV742">
        <v>2</v>
      </c>
      <c r="CW742">
        <v>0</v>
      </c>
      <c r="CX742">
        <v>7</v>
      </c>
      <c r="CY742">
        <v>7</v>
      </c>
      <c r="CZ742" t="s">
        <v>133</v>
      </c>
      <c r="DA742">
        <v>125</v>
      </c>
      <c r="DB742">
        <v>0</v>
      </c>
      <c r="DC742" t="s">
        <v>134</v>
      </c>
      <c r="DD742" t="s">
        <v>135</v>
      </c>
      <c r="DG742">
        <v>3887301</v>
      </c>
      <c r="DI742">
        <v>0</v>
      </c>
      <c r="DJ742">
        <v>0</v>
      </c>
      <c r="DK742">
        <v>1</v>
      </c>
      <c r="DL742">
        <v>0</v>
      </c>
      <c r="DM742">
        <v>0</v>
      </c>
      <c r="DN742">
        <v>0</v>
      </c>
      <c r="DO742">
        <v>0</v>
      </c>
      <c r="DP742">
        <v>0</v>
      </c>
      <c r="DQ742">
        <v>0</v>
      </c>
      <c r="DR742">
        <v>0</v>
      </c>
      <c r="DS742">
        <v>0</v>
      </c>
    </row>
    <row r="743" spans="1:123" x14ac:dyDescent="0.25">
      <c r="A743" t="str">
        <f>"04/17/2026 15:45:08.853"</f>
        <v>04/17/2026 15:45:08.853</v>
      </c>
      <c r="C743" t="str">
        <f t="shared" si="65"/>
        <v>FFDFD3C0</v>
      </c>
      <c r="D743" t="s">
        <v>136</v>
      </c>
      <c r="E743" t="str">
        <f>"0E"</f>
        <v>0E</v>
      </c>
      <c r="F743">
        <v>1014</v>
      </c>
      <c r="G743" t="s">
        <v>125</v>
      </c>
      <c r="J743" t="s">
        <v>137</v>
      </c>
      <c r="K743">
        <v>0</v>
      </c>
      <c r="L743">
        <v>3</v>
      </c>
      <c r="M743">
        <v>0</v>
      </c>
      <c r="N743">
        <v>2</v>
      </c>
      <c r="O743">
        <v>1</v>
      </c>
      <c r="P743">
        <v>0</v>
      </c>
      <c r="Q743">
        <v>0</v>
      </c>
      <c r="R743" t="s">
        <v>127</v>
      </c>
      <c r="S743" t="str">
        <f>"15:45:08.602"</f>
        <v>15:45:08.602</v>
      </c>
      <c r="T743" t="str">
        <f>"15:45:08.202"</f>
        <v>15:45:08.202</v>
      </c>
      <c r="U743" t="str">
        <f t="shared" si="64"/>
        <v>A55E09</v>
      </c>
      <c r="V743">
        <v>0</v>
      </c>
      <c r="W743">
        <v>0</v>
      </c>
      <c r="X743">
        <v>2</v>
      </c>
      <c r="Y743">
        <v>0</v>
      </c>
      <c r="AA743">
        <v>0</v>
      </c>
      <c r="AB743">
        <v>9</v>
      </c>
      <c r="AC743">
        <v>3</v>
      </c>
      <c r="AD743">
        <v>0</v>
      </c>
      <c r="AE743">
        <v>9</v>
      </c>
      <c r="AF743" t="s">
        <v>128</v>
      </c>
      <c r="AG743">
        <v>0</v>
      </c>
      <c r="AH743">
        <v>0</v>
      </c>
      <c r="AI743">
        <v>1</v>
      </c>
      <c r="AJ743">
        <v>0</v>
      </c>
      <c r="AK743" t="s">
        <v>479</v>
      </c>
      <c r="AL743">
        <v>33.76708</v>
      </c>
      <c r="AM743" t="s">
        <v>476</v>
      </c>
      <c r="AN743">
        <v>-101.226568</v>
      </c>
      <c r="AO743">
        <v>100</v>
      </c>
      <c r="AP743">
        <v>3200</v>
      </c>
      <c r="AQ743" t="s">
        <v>131</v>
      </c>
      <c r="AR743">
        <v>-4</v>
      </c>
      <c r="AS743">
        <v>40</v>
      </c>
      <c r="AT743">
        <v>64</v>
      </c>
      <c r="BB743" t="str">
        <f t="shared" si="66"/>
        <v>1200</v>
      </c>
      <c r="BC743">
        <v>1</v>
      </c>
      <c r="BD743" t="str">
        <f t="shared" si="67"/>
        <v xml:space="preserve">N445JS  </v>
      </c>
      <c r="BE743">
        <v>7</v>
      </c>
      <c r="BG743">
        <v>0</v>
      </c>
      <c r="BH743">
        <v>0</v>
      </c>
      <c r="BI743">
        <v>0</v>
      </c>
      <c r="BJ743">
        <v>3000</v>
      </c>
      <c r="BK743">
        <v>-200</v>
      </c>
      <c r="BL743" t="s">
        <v>132</v>
      </c>
      <c r="BM743">
        <v>1</v>
      </c>
      <c r="BN743">
        <v>1</v>
      </c>
      <c r="BO743">
        <v>1</v>
      </c>
      <c r="BP743">
        <v>0</v>
      </c>
      <c r="BT743">
        <v>0</v>
      </c>
      <c r="BU743">
        <v>0</v>
      </c>
      <c r="CE743" t="str">
        <f>"15:45:08.608"</f>
        <v>15:45:08.608</v>
      </c>
      <c r="CF743">
        <v>608360631</v>
      </c>
      <c r="CS743">
        <v>0</v>
      </c>
      <c r="CT743">
        <v>2</v>
      </c>
      <c r="CU743">
        <v>0</v>
      </c>
      <c r="CV743">
        <v>2</v>
      </c>
      <c r="CW743">
        <v>0</v>
      </c>
      <c r="CX743">
        <v>7</v>
      </c>
      <c r="CY743">
        <v>7</v>
      </c>
      <c r="CZ743" t="s">
        <v>133</v>
      </c>
      <c r="DA743">
        <v>125</v>
      </c>
      <c r="DB743">
        <v>0</v>
      </c>
      <c r="DC743" t="s">
        <v>134</v>
      </c>
      <c r="DD743" t="s">
        <v>135</v>
      </c>
      <c r="DG743">
        <v>3888318</v>
      </c>
      <c r="DI743">
        <v>0</v>
      </c>
      <c r="DJ743">
        <v>0</v>
      </c>
      <c r="DK743">
        <v>0</v>
      </c>
      <c r="DL743">
        <v>0</v>
      </c>
      <c r="DM743">
        <v>0</v>
      </c>
      <c r="DN743">
        <v>0</v>
      </c>
      <c r="DO743">
        <v>0</v>
      </c>
      <c r="DP743">
        <v>0</v>
      </c>
      <c r="DQ743">
        <v>0</v>
      </c>
      <c r="DR743">
        <v>0</v>
      </c>
      <c r="DS743">
        <v>0</v>
      </c>
    </row>
    <row r="744" spans="1:123" x14ac:dyDescent="0.25">
      <c r="A744" t="str">
        <f>"04/17/2026 15:45:08.869"</f>
        <v>04/17/2026 15:45:08.869</v>
      </c>
      <c r="C744" t="str">
        <f t="shared" si="65"/>
        <v>FFDFD3C0</v>
      </c>
      <c r="D744" t="s">
        <v>136</v>
      </c>
      <c r="E744" t="str">
        <f>"0F"</f>
        <v>0F</v>
      </c>
      <c r="F744">
        <v>1015</v>
      </c>
      <c r="G744" t="s">
        <v>138</v>
      </c>
      <c r="J744" t="s">
        <v>137</v>
      </c>
      <c r="K744">
        <v>0</v>
      </c>
      <c r="L744">
        <v>3</v>
      </c>
      <c r="M744">
        <v>0</v>
      </c>
      <c r="N744">
        <v>2</v>
      </c>
      <c r="O744">
        <v>1</v>
      </c>
      <c r="P744">
        <v>0</v>
      </c>
      <c r="Q744">
        <v>0</v>
      </c>
      <c r="R744" t="s">
        <v>127</v>
      </c>
      <c r="S744" t="str">
        <f>"15:45:08.602"</f>
        <v>15:45:08.602</v>
      </c>
      <c r="T744" t="str">
        <f>"15:45:08.202"</f>
        <v>15:45:08.202</v>
      </c>
      <c r="U744" t="str">
        <f t="shared" si="64"/>
        <v>A55E09</v>
      </c>
      <c r="V744">
        <v>0</v>
      </c>
      <c r="W744">
        <v>0</v>
      </c>
      <c r="X744">
        <v>2</v>
      </c>
      <c r="Y744">
        <v>0</v>
      </c>
      <c r="AA744">
        <v>0</v>
      </c>
      <c r="AB744">
        <v>9</v>
      </c>
      <c r="AC744">
        <v>3</v>
      </c>
      <c r="AD744">
        <v>0</v>
      </c>
      <c r="AE744">
        <v>9</v>
      </c>
      <c r="AF744" t="s">
        <v>128</v>
      </c>
      <c r="AG744">
        <v>0</v>
      </c>
      <c r="AH744">
        <v>0</v>
      </c>
      <c r="AI744">
        <v>1</v>
      </c>
      <c r="AJ744">
        <v>0</v>
      </c>
      <c r="AK744" t="s">
        <v>479</v>
      </c>
      <c r="AL744">
        <v>33.76708</v>
      </c>
      <c r="AM744" t="s">
        <v>476</v>
      </c>
      <c r="AN744">
        <v>-101.226568</v>
      </c>
      <c r="AO744">
        <v>100</v>
      </c>
      <c r="AP744">
        <v>3200</v>
      </c>
      <c r="AQ744" t="s">
        <v>131</v>
      </c>
      <c r="AR744">
        <v>-4</v>
      </c>
      <c r="AS744">
        <v>40</v>
      </c>
      <c r="AT744">
        <v>64</v>
      </c>
      <c r="BB744" t="str">
        <f t="shared" si="66"/>
        <v>1200</v>
      </c>
      <c r="BC744">
        <v>1</v>
      </c>
      <c r="BD744" t="str">
        <f t="shared" si="67"/>
        <v xml:space="preserve">N445JS  </v>
      </c>
      <c r="BE744">
        <v>7</v>
      </c>
      <c r="BG744">
        <v>0</v>
      </c>
      <c r="BH744">
        <v>0</v>
      </c>
      <c r="BI744">
        <v>0</v>
      </c>
      <c r="BJ744">
        <v>3000</v>
      </c>
      <c r="BK744">
        <v>-200</v>
      </c>
      <c r="BL744" t="s">
        <v>132</v>
      </c>
      <c r="BM744">
        <v>1</v>
      </c>
      <c r="BN744">
        <v>1</v>
      </c>
      <c r="BO744">
        <v>1</v>
      </c>
      <c r="BP744">
        <v>0</v>
      </c>
      <c r="BT744">
        <v>0</v>
      </c>
      <c r="BU744">
        <v>0</v>
      </c>
      <c r="CE744" t="str">
        <f>"15:45:08.608"</f>
        <v>15:45:08.608</v>
      </c>
      <c r="CF744">
        <v>608360631</v>
      </c>
      <c r="CS744">
        <v>0</v>
      </c>
      <c r="CT744">
        <v>2</v>
      </c>
      <c r="CU744">
        <v>0</v>
      </c>
      <c r="CV744">
        <v>2</v>
      </c>
      <c r="CW744">
        <v>0</v>
      </c>
      <c r="CX744">
        <v>7</v>
      </c>
      <c r="CY744">
        <v>7</v>
      </c>
      <c r="CZ744" t="s">
        <v>133</v>
      </c>
      <c r="DA744">
        <v>125</v>
      </c>
      <c r="DB744">
        <v>0</v>
      </c>
      <c r="DC744" t="s">
        <v>134</v>
      </c>
      <c r="DD744" t="s">
        <v>135</v>
      </c>
      <c r="DG744">
        <v>3888318</v>
      </c>
      <c r="DI744">
        <v>0</v>
      </c>
      <c r="DJ744">
        <v>0</v>
      </c>
      <c r="DK744">
        <v>1</v>
      </c>
      <c r="DL744">
        <v>0</v>
      </c>
      <c r="DM744">
        <v>0</v>
      </c>
      <c r="DN744">
        <v>0</v>
      </c>
      <c r="DO744">
        <v>0</v>
      </c>
      <c r="DP744">
        <v>0</v>
      </c>
      <c r="DQ744">
        <v>0</v>
      </c>
      <c r="DR744">
        <v>0</v>
      </c>
      <c r="DS744">
        <v>0</v>
      </c>
    </row>
    <row r="745" spans="1:123" x14ac:dyDescent="0.25">
      <c r="A745" t="str">
        <f>"04/17/2026 15:45:08.874"</f>
        <v>04/17/2026 15:45:08.874</v>
      </c>
      <c r="C745" t="str">
        <f t="shared" si="65"/>
        <v>FFDFD3C0</v>
      </c>
      <c r="D745" t="s">
        <v>139</v>
      </c>
      <c r="E745" t="str">
        <f>"28"</f>
        <v>28</v>
      </c>
      <c r="H745">
        <v>140</v>
      </c>
      <c r="I745" t="s">
        <v>140</v>
      </c>
      <c r="J745" t="s">
        <v>141</v>
      </c>
      <c r="K745">
        <v>0</v>
      </c>
      <c r="L745">
        <v>3</v>
      </c>
      <c r="M745">
        <v>0</v>
      </c>
      <c r="N745">
        <v>2</v>
      </c>
      <c r="O745">
        <v>1</v>
      </c>
      <c r="P745">
        <v>0</v>
      </c>
      <c r="Q745">
        <v>0</v>
      </c>
      <c r="R745" t="s">
        <v>127</v>
      </c>
      <c r="S745" t="str">
        <f>"15:45:08.602"</f>
        <v>15:45:08.602</v>
      </c>
      <c r="T745" t="str">
        <f>"15:45:08.202"</f>
        <v>15:45:08.202</v>
      </c>
      <c r="U745" t="str">
        <f t="shared" si="64"/>
        <v>A55E09</v>
      </c>
      <c r="V745">
        <v>0</v>
      </c>
      <c r="W745">
        <v>0</v>
      </c>
      <c r="X745">
        <v>2</v>
      </c>
      <c r="Y745">
        <v>0</v>
      </c>
      <c r="AA745">
        <v>0</v>
      </c>
      <c r="AB745">
        <v>9</v>
      </c>
      <c r="AC745">
        <v>3</v>
      </c>
      <c r="AD745">
        <v>0</v>
      </c>
      <c r="AE745">
        <v>9</v>
      </c>
      <c r="AF745" t="s">
        <v>128</v>
      </c>
      <c r="AG745">
        <v>0</v>
      </c>
      <c r="AH745">
        <v>0</v>
      </c>
      <c r="AI745">
        <v>1</v>
      </c>
      <c r="AJ745">
        <v>0</v>
      </c>
      <c r="AK745" t="s">
        <v>479</v>
      </c>
      <c r="AL745">
        <v>33.76708</v>
      </c>
      <c r="AM745" t="s">
        <v>476</v>
      </c>
      <c r="AN745">
        <v>-101.226568</v>
      </c>
      <c r="AO745">
        <v>100</v>
      </c>
      <c r="AP745">
        <v>3200</v>
      </c>
      <c r="AQ745" t="s">
        <v>131</v>
      </c>
      <c r="AR745">
        <v>-4</v>
      </c>
      <c r="AS745">
        <v>40</v>
      </c>
      <c r="AT745">
        <v>64</v>
      </c>
      <c r="BB745" t="str">
        <f t="shared" si="66"/>
        <v>1200</v>
      </c>
      <c r="BC745">
        <v>1</v>
      </c>
      <c r="BD745" t="str">
        <f t="shared" si="67"/>
        <v xml:space="preserve">N445JS  </v>
      </c>
      <c r="BE745">
        <v>7</v>
      </c>
      <c r="BG745">
        <v>0</v>
      </c>
      <c r="BH745">
        <v>0</v>
      </c>
      <c r="BI745">
        <v>0</v>
      </c>
      <c r="BJ745">
        <v>3000</v>
      </c>
      <c r="BK745">
        <v>-200</v>
      </c>
      <c r="BL745" t="s">
        <v>132</v>
      </c>
      <c r="BM745">
        <v>1</v>
      </c>
      <c r="BN745">
        <v>1</v>
      </c>
      <c r="BO745">
        <v>1</v>
      </c>
      <c r="BP745">
        <v>0</v>
      </c>
      <c r="BT745">
        <v>0</v>
      </c>
      <c r="BU745">
        <v>0</v>
      </c>
      <c r="CE745" t="str">
        <f>"15:45:08.608"</f>
        <v>15:45:08.608</v>
      </c>
      <c r="CF745">
        <v>608360631</v>
      </c>
      <c r="CS745">
        <v>0</v>
      </c>
      <c r="CT745">
        <v>2</v>
      </c>
      <c r="CU745">
        <v>0</v>
      </c>
      <c r="CV745">
        <v>2</v>
      </c>
      <c r="CW745">
        <v>0</v>
      </c>
      <c r="CX745">
        <v>7</v>
      </c>
      <c r="CY745">
        <v>7</v>
      </c>
      <c r="CZ745" t="s">
        <v>133</v>
      </c>
      <c r="DA745">
        <v>125</v>
      </c>
      <c r="DB745">
        <v>0</v>
      </c>
      <c r="DC745" t="s">
        <v>134</v>
      </c>
      <c r="DD745" t="s">
        <v>135</v>
      </c>
      <c r="DG745">
        <v>3888318</v>
      </c>
      <c r="DI745">
        <v>0</v>
      </c>
      <c r="DJ745">
        <v>0</v>
      </c>
      <c r="DK745">
        <v>1</v>
      </c>
      <c r="DL745">
        <v>0</v>
      </c>
      <c r="DM745">
        <v>0</v>
      </c>
      <c r="DN745">
        <v>0</v>
      </c>
      <c r="DO745">
        <v>0</v>
      </c>
      <c r="DP745">
        <v>0</v>
      </c>
      <c r="DQ745">
        <v>0</v>
      </c>
      <c r="DR745">
        <v>0</v>
      </c>
      <c r="DS745">
        <v>0</v>
      </c>
    </row>
    <row r="746" spans="1:123" x14ac:dyDescent="0.25">
      <c r="A746" t="str">
        <f>"04/17/2026 15:45:08.881"</f>
        <v>04/17/2026 15:45:08.881</v>
      </c>
      <c r="C746" t="str">
        <f t="shared" si="65"/>
        <v>FFDFD3C0</v>
      </c>
      <c r="D746" t="s">
        <v>124</v>
      </c>
      <c r="E746" t="str">
        <f>"03"</f>
        <v>03</v>
      </c>
      <c r="H746">
        <v>160</v>
      </c>
      <c r="I746" t="s">
        <v>125</v>
      </c>
      <c r="J746" t="s">
        <v>126</v>
      </c>
      <c r="K746">
        <v>0</v>
      </c>
      <c r="L746">
        <v>3</v>
      </c>
      <c r="M746">
        <v>0</v>
      </c>
      <c r="N746">
        <v>2</v>
      </c>
      <c r="O746">
        <v>1</v>
      </c>
      <c r="P746">
        <v>0</v>
      </c>
      <c r="Q746">
        <v>0</v>
      </c>
      <c r="R746" t="s">
        <v>127</v>
      </c>
      <c r="S746" t="str">
        <f>"15:45:08.602"</f>
        <v>15:45:08.602</v>
      </c>
      <c r="T746" t="str">
        <f>"15:45:08.202"</f>
        <v>15:45:08.202</v>
      </c>
      <c r="U746" t="str">
        <f t="shared" si="64"/>
        <v>A55E09</v>
      </c>
      <c r="V746">
        <v>0</v>
      </c>
      <c r="W746">
        <v>0</v>
      </c>
      <c r="X746">
        <v>2</v>
      </c>
      <c r="Y746">
        <v>0</v>
      </c>
      <c r="AA746">
        <v>0</v>
      </c>
      <c r="AB746">
        <v>9</v>
      </c>
      <c r="AC746">
        <v>3</v>
      </c>
      <c r="AD746">
        <v>0</v>
      </c>
      <c r="AE746">
        <v>9</v>
      </c>
      <c r="AF746" t="s">
        <v>128</v>
      </c>
      <c r="AG746">
        <v>0</v>
      </c>
      <c r="AH746">
        <v>0</v>
      </c>
      <c r="AI746">
        <v>1</v>
      </c>
      <c r="AJ746">
        <v>0</v>
      </c>
      <c r="AK746" t="s">
        <v>479</v>
      </c>
      <c r="AL746">
        <v>33.76708</v>
      </c>
      <c r="AM746" t="s">
        <v>476</v>
      </c>
      <c r="AN746">
        <v>-101.226568</v>
      </c>
      <c r="AO746">
        <v>100</v>
      </c>
      <c r="AP746">
        <v>3200</v>
      </c>
      <c r="AQ746" t="s">
        <v>131</v>
      </c>
      <c r="AR746">
        <v>-4</v>
      </c>
      <c r="AS746">
        <v>40</v>
      </c>
      <c r="AT746">
        <v>64</v>
      </c>
      <c r="BB746" t="str">
        <f t="shared" si="66"/>
        <v>1200</v>
      </c>
      <c r="BC746">
        <v>1</v>
      </c>
      <c r="BD746" t="str">
        <f t="shared" si="67"/>
        <v xml:space="preserve">N445JS  </v>
      </c>
      <c r="BE746">
        <v>7</v>
      </c>
      <c r="BG746">
        <v>0</v>
      </c>
      <c r="BH746">
        <v>0</v>
      </c>
      <c r="BI746">
        <v>0</v>
      </c>
      <c r="BJ746">
        <v>3000</v>
      </c>
      <c r="BK746">
        <v>-200</v>
      </c>
      <c r="BL746" t="s">
        <v>132</v>
      </c>
      <c r="BM746">
        <v>1</v>
      </c>
      <c r="BN746">
        <v>1</v>
      </c>
      <c r="BO746">
        <v>1</v>
      </c>
      <c r="BP746">
        <v>0</v>
      </c>
      <c r="BT746">
        <v>0</v>
      </c>
      <c r="BU746">
        <v>0</v>
      </c>
      <c r="CE746" t="str">
        <f>"15:45:08.608"</f>
        <v>15:45:08.608</v>
      </c>
      <c r="CF746">
        <v>608360631</v>
      </c>
      <c r="CS746">
        <v>0</v>
      </c>
      <c r="CT746">
        <v>2</v>
      </c>
      <c r="CU746">
        <v>0</v>
      </c>
      <c r="CV746">
        <v>2</v>
      </c>
      <c r="CW746">
        <v>0</v>
      </c>
      <c r="CX746">
        <v>7</v>
      </c>
      <c r="CY746">
        <v>7</v>
      </c>
      <c r="CZ746" t="s">
        <v>133</v>
      </c>
      <c r="DA746">
        <v>125</v>
      </c>
      <c r="DB746">
        <v>0</v>
      </c>
      <c r="DC746" t="s">
        <v>134</v>
      </c>
      <c r="DD746" t="s">
        <v>135</v>
      </c>
      <c r="DG746">
        <v>3888318</v>
      </c>
      <c r="DI746">
        <v>0</v>
      </c>
      <c r="DJ746">
        <v>0</v>
      </c>
      <c r="DK746">
        <v>1</v>
      </c>
      <c r="DL746">
        <v>0</v>
      </c>
      <c r="DM746">
        <v>0</v>
      </c>
      <c r="DN746">
        <v>0</v>
      </c>
      <c r="DO746">
        <v>0</v>
      </c>
      <c r="DP746">
        <v>0</v>
      </c>
      <c r="DQ746">
        <v>0</v>
      </c>
      <c r="DR746">
        <v>0</v>
      </c>
      <c r="DS746">
        <v>0</v>
      </c>
    </row>
    <row r="747" spans="1:123" x14ac:dyDescent="0.25">
      <c r="A747" t="str">
        <f>"04/17/2026 15:45:10.005"</f>
        <v>04/17/2026 15:45:10.005</v>
      </c>
      <c r="C747" t="str">
        <f t="shared" si="65"/>
        <v>FFDFD3C0</v>
      </c>
      <c r="D747" t="s">
        <v>136</v>
      </c>
      <c r="E747" t="str">
        <f>"0E"</f>
        <v>0E</v>
      </c>
      <c r="F747">
        <v>1014</v>
      </c>
      <c r="G747" t="s">
        <v>125</v>
      </c>
      <c r="J747" t="s">
        <v>137</v>
      </c>
      <c r="K747">
        <v>0</v>
      </c>
      <c r="L747">
        <v>3</v>
      </c>
      <c r="M747">
        <v>0</v>
      </c>
      <c r="N747">
        <v>2</v>
      </c>
      <c r="O747">
        <v>1</v>
      </c>
      <c r="P747">
        <v>0</v>
      </c>
      <c r="Q747">
        <v>0</v>
      </c>
      <c r="R747" t="s">
        <v>127</v>
      </c>
      <c r="S747" t="str">
        <f>"15:45:09.711"</f>
        <v>15:45:09.711</v>
      </c>
      <c r="T747" t="str">
        <f>"15:45:09.311"</f>
        <v>15:45:09.311</v>
      </c>
      <c r="U747" t="str">
        <f t="shared" si="64"/>
        <v>A55E09</v>
      </c>
      <c r="V747">
        <v>0</v>
      </c>
      <c r="W747">
        <v>0</v>
      </c>
      <c r="X747">
        <v>2</v>
      </c>
      <c r="Y747">
        <v>0</v>
      </c>
      <c r="AA747">
        <v>0</v>
      </c>
      <c r="AB747">
        <v>9</v>
      </c>
      <c r="AC747">
        <v>3</v>
      </c>
      <c r="AD747">
        <v>0</v>
      </c>
      <c r="AE747">
        <v>9</v>
      </c>
      <c r="AF747" t="s">
        <v>128</v>
      </c>
      <c r="AG747">
        <v>0</v>
      </c>
      <c r="AH747">
        <v>0</v>
      </c>
      <c r="AI747">
        <v>1</v>
      </c>
      <c r="AJ747">
        <v>0</v>
      </c>
      <c r="AK747" t="s">
        <v>480</v>
      </c>
      <c r="AL747">
        <v>33.767316000000001</v>
      </c>
      <c r="AM747" t="s">
        <v>481</v>
      </c>
      <c r="AN747">
        <v>-101.22659</v>
      </c>
      <c r="AO747">
        <v>100</v>
      </c>
      <c r="AP747">
        <v>3200</v>
      </c>
      <c r="AQ747" t="s">
        <v>131</v>
      </c>
      <c r="AR747">
        <v>-4</v>
      </c>
      <c r="AS747">
        <v>39</v>
      </c>
      <c r="AT747">
        <v>0</v>
      </c>
      <c r="BB747" t="str">
        <f t="shared" si="66"/>
        <v>1200</v>
      </c>
      <c r="BC747">
        <v>1</v>
      </c>
      <c r="BD747" t="str">
        <f t="shared" si="67"/>
        <v xml:space="preserve">N445JS  </v>
      </c>
      <c r="BE747">
        <v>7</v>
      </c>
      <c r="BG747">
        <v>0</v>
      </c>
      <c r="BH747">
        <v>0</v>
      </c>
      <c r="BI747">
        <v>0</v>
      </c>
      <c r="BJ747">
        <v>3000</v>
      </c>
      <c r="BK747">
        <v>-200</v>
      </c>
      <c r="BL747" t="s">
        <v>132</v>
      </c>
      <c r="BM747">
        <v>1</v>
      </c>
      <c r="BN747">
        <v>1</v>
      </c>
      <c r="BO747">
        <v>1</v>
      </c>
      <c r="BP747">
        <v>0</v>
      </c>
      <c r="BT747">
        <v>0</v>
      </c>
      <c r="BU747">
        <v>0</v>
      </c>
      <c r="CE747" t="str">
        <f>"15:45:09.718"</f>
        <v>15:45:09.718</v>
      </c>
      <c r="CF747">
        <v>718251902</v>
      </c>
      <c r="CS747">
        <v>0</v>
      </c>
      <c r="CT747">
        <v>2</v>
      </c>
      <c r="CU747">
        <v>0</v>
      </c>
      <c r="CV747">
        <v>2</v>
      </c>
      <c r="CW747">
        <v>0</v>
      </c>
      <c r="CX747">
        <v>7</v>
      </c>
      <c r="CY747">
        <v>7</v>
      </c>
      <c r="CZ747" t="s">
        <v>133</v>
      </c>
      <c r="DA747">
        <v>125</v>
      </c>
      <c r="DB747">
        <v>1</v>
      </c>
      <c r="DC747" t="s">
        <v>134</v>
      </c>
      <c r="DD747" t="s">
        <v>135</v>
      </c>
      <c r="DG747">
        <v>2911620</v>
      </c>
      <c r="DI747">
        <v>0</v>
      </c>
      <c r="DJ747">
        <v>0</v>
      </c>
      <c r="DK747">
        <v>0</v>
      </c>
      <c r="DL747">
        <v>0</v>
      </c>
      <c r="DM747">
        <v>0</v>
      </c>
      <c r="DN747">
        <v>0</v>
      </c>
      <c r="DO747">
        <v>0</v>
      </c>
      <c r="DP747">
        <v>0</v>
      </c>
      <c r="DQ747">
        <v>0</v>
      </c>
      <c r="DR747">
        <v>0</v>
      </c>
      <c r="DS747">
        <v>0</v>
      </c>
    </row>
    <row r="748" spans="1:123" x14ac:dyDescent="0.25">
      <c r="A748" t="str">
        <f>"04/17/2026 15:45:10.021"</f>
        <v>04/17/2026 15:45:10.021</v>
      </c>
      <c r="C748" t="str">
        <f t="shared" si="65"/>
        <v>FFDFD3C0</v>
      </c>
      <c r="D748" t="s">
        <v>136</v>
      </c>
      <c r="E748" t="str">
        <f>"0F"</f>
        <v>0F</v>
      </c>
      <c r="F748">
        <v>1015</v>
      </c>
      <c r="G748" t="s">
        <v>138</v>
      </c>
      <c r="J748" t="s">
        <v>137</v>
      </c>
      <c r="K748">
        <v>0</v>
      </c>
      <c r="L748">
        <v>3</v>
      </c>
      <c r="M748">
        <v>0</v>
      </c>
      <c r="N748">
        <v>2</v>
      </c>
      <c r="O748">
        <v>1</v>
      </c>
      <c r="P748">
        <v>0</v>
      </c>
      <c r="Q748">
        <v>0</v>
      </c>
      <c r="R748" t="s">
        <v>127</v>
      </c>
      <c r="S748" t="str">
        <f>"15:45:09.711"</f>
        <v>15:45:09.711</v>
      </c>
      <c r="T748" t="str">
        <f>"15:45:09.311"</f>
        <v>15:45:09.311</v>
      </c>
      <c r="U748" t="str">
        <f t="shared" si="64"/>
        <v>A55E09</v>
      </c>
      <c r="V748">
        <v>0</v>
      </c>
      <c r="W748">
        <v>0</v>
      </c>
      <c r="X748">
        <v>2</v>
      </c>
      <c r="Y748">
        <v>0</v>
      </c>
      <c r="AA748">
        <v>0</v>
      </c>
      <c r="AB748">
        <v>9</v>
      </c>
      <c r="AC748">
        <v>3</v>
      </c>
      <c r="AD748">
        <v>0</v>
      </c>
      <c r="AE748">
        <v>9</v>
      </c>
      <c r="AF748" t="s">
        <v>128</v>
      </c>
      <c r="AG748">
        <v>0</v>
      </c>
      <c r="AH748">
        <v>0</v>
      </c>
      <c r="AI748">
        <v>1</v>
      </c>
      <c r="AJ748">
        <v>0</v>
      </c>
      <c r="AK748" t="s">
        <v>480</v>
      </c>
      <c r="AL748">
        <v>33.767316000000001</v>
      </c>
      <c r="AM748" t="s">
        <v>481</v>
      </c>
      <c r="AN748">
        <v>-101.22659</v>
      </c>
      <c r="AO748">
        <v>100</v>
      </c>
      <c r="AP748">
        <v>3200</v>
      </c>
      <c r="AQ748" t="s">
        <v>131</v>
      </c>
      <c r="AR748">
        <v>-4</v>
      </c>
      <c r="AS748">
        <v>39</v>
      </c>
      <c r="AT748">
        <v>0</v>
      </c>
      <c r="BB748" t="str">
        <f t="shared" si="66"/>
        <v>1200</v>
      </c>
      <c r="BC748">
        <v>1</v>
      </c>
      <c r="BD748" t="str">
        <f t="shared" si="67"/>
        <v xml:space="preserve">N445JS  </v>
      </c>
      <c r="BE748">
        <v>7</v>
      </c>
      <c r="BG748">
        <v>0</v>
      </c>
      <c r="BH748">
        <v>0</v>
      </c>
      <c r="BI748">
        <v>0</v>
      </c>
      <c r="BJ748">
        <v>3000</v>
      </c>
      <c r="BK748">
        <v>-200</v>
      </c>
      <c r="BL748" t="s">
        <v>132</v>
      </c>
      <c r="BM748">
        <v>1</v>
      </c>
      <c r="BN748">
        <v>1</v>
      </c>
      <c r="BO748">
        <v>1</v>
      </c>
      <c r="BP748">
        <v>0</v>
      </c>
      <c r="BT748">
        <v>0</v>
      </c>
      <c r="BU748">
        <v>0</v>
      </c>
      <c r="CE748" t="str">
        <f>"15:45:09.718"</f>
        <v>15:45:09.718</v>
      </c>
      <c r="CF748">
        <v>718251902</v>
      </c>
      <c r="CS748">
        <v>0</v>
      </c>
      <c r="CT748">
        <v>2</v>
      </c>
      <c r="CU748">
        <v>0</v>
      </c>
      <c r="CV748">
        <v>2</v>
      </c>
      <c r="CW748">
        <v>0</v>
      </c>
      <c r="CX748">
        <v>7</v>
      </c>
      <c r="CY748">
        <v>7</v>
      </c>
      <c r="CZ748" t="s">
        <v>133</v>
      </c>
      <c r="DA748">
        <v>125</v>
      </c>
      <c r="DB748">
        <v>1</v>
      </c>
      <c r="DC748" t="s">
        <v>134</v>
      </c>
      <c r="DD748" t="s">
        <v>135</v>
      </c>
      <c r="DG748">
        <v>2911620</v>
      </c>
      <c r="DI748">
        <v>0</v>
      </c>
      <c r="DJ748">
        <v>0</v>
      </c>
      <c r="DK748">
        <v>1</v>
      </c>
      <c r="DL748">
        <v>0</v>
      </c>
      <c r="DM748">
        <v>0</v>
      </c>
      <c r="DN748">
        <v>0</v>
      </c>
      <c r="DO748">
        <v>0</v>
      </c>
      <c r="DP748">
        <v>0</v>
      </c>
      <c r="DQ748">
        <v>0</v>
      </c>
      <c r="DR748">
        <v>0</v>
      </c>
      <c r="DS748">
        <v>0</v>
      </c>
    </row>
    <row r="749" spans="1:123" x14ac:dyDescent="0.25">
      <c r="A749" t="str">
        <f>"04/17/2026 15:45:10.026"</f>
        <v>04/17/2026 15:45:10.026</v>
      </c>
      <c r="C749" t="str">
        <f t="shared" si="65"/>
        <v>FFDFD3C0</v>
      </c>
      <c r="D749" t="s">
        <v>139</v>
      </c>
      <c r="E749" t="str">
        <f>"28"</f>
        <v>28</v>
      </c>
      <c r="H749">
        <v>140</v>
      </c>
      <c r="I749" t="s">
        <v>140</v>
      </c>
      <c r="J749" t="s">
        <v>141</v>
      </c>
      <c r="K749">
        <v>0</v>
      </c>
      <c r="L749">
        <v>3</v>
      </c>
      <c r="M749">
        <v>0</v>
      </c>
      <c r="N749">
        <v>2</v>
      </c>
      <c r="O749">
        <v>1</v>
      </c>
      <c r="P749">
        <v>0</v>
      </c>
      <c r="Q749">
        <v>0</v>
      </c>
      <c r="R749" t="s">
        <v>127</v>
      </c>
      <c r="S749" t="str">
        <f>"15:45:09.711"</f>
        <v>15:45:09.711</v>
      </c>
      <c r="T749" t="str">
        <f>"15:45:09.311"</f>
        <v>15:45:09.311</v>
      </c>
      <c r="U749" t="str">
        <f t="shared" si="64"/>
        <v>A55E09</v>
      </c>
      <c r="V749">
        <v>0</v>
      </c>
      <c r="W749">
        <v>0</v>
      </c>
      <c r="X749">
        <v>2</v>
      </c>
      <c r="Y749">
        <v>0</v>
      </c>
      <c r="AA749">
        <v>0</v>
      </c>
      <c r="AB749">
        <v>9</v>
      </c>
      <c r="AC749">
        <v>3</v>
      </c>
      <c r="AD749">
        <v>0</v>
      </c>
      <c r="AE749">
        <v>9</v>
      </c>
      <c r="AF749" t="s">
        <v>128</v>
      </c>
      <c r="AG749">
        <v>0</v>
      </c>
      <c r="AH749">
        <v>0</v>
      </c>
      <c r="AI749">
        <v>1</v>
      </c>
      <c r="AJ749">
        <v>0</v>
      </c>
      <c r="AK749" t="s">
        <v>480</v>
      </c>
      <c r="AL749">
        <v>33.767316000000001</v>
      </c>
      <c r="AM749" t="s">
        <v>481</v>
      </c>
      <c r="AN749">
        <v>-101.22659</v>
      </c>
      <c r="AO749">
        <v>100</v>
      </c>
      <c r="AP749">
        <v>3200</v>
      </c>
      <c r="AQ749" t="s">
        <v>131</v>
      </c>
      <c r="AR749">
        <v>-4</v>
      </c>
      <c r="AS749">
        <v>39</v>
      </c>
      <c r="AT749">
        <v>0</v>
      </c>
      <c r="BB749" t="str">
        <f t="shared" si="66"/>
        <v>1200</v>
      </c>
      <c r="BC749">
        <v>1</v>
      </c>
      <c r="BD749" t="str">
        <f t="shared" si="67"/>
        <v xml:space="preserve">N445JS  </v>
      </c>
      <c r="BE749">
        <v>7</v>
      </c>
      <c r="BG749">
        <v>0</v>
      </c>
      <c r="BH749">
        <v>0</v>
      </c>
      <c r="BI749">
        <v>0</v>
      </c>
      <c r="BJ749">
        <v>3000</v>
      </c>
      <c r="BK749">
        <v>-200</v>
      </c>
      <c r="BL749" t="s">
        <v>132</v>
      </c>
      <c r="BM749">
        <v>1</v>
      </c>
      <c r="BN749">
        <v>1</v>
      </c>
      <c r="BO749">
        <v>1</v>
      </c>
      <c r="BP749">
        <v>0</v>
      </c>
      <c r="BT749">
        <v>0</v>
      </c>
      <c r="BU749">
        <v>0</v>
      </c>
      <c r="CE749" t="str">
        <f>"15:45:09.718"</f>
        <v>15:45:09.718</v>
      </c>
      <c r="CF749">
        <v>718251902</v>
      </c>
      <c r="CS749">
        <v>0</v>
      </c>
      <c r="CT749">
        <v>2</v>
      </c>
      <c r="CU749">
        <v>0</v>
      </c>
      <c r="CV749">
        <v>2</v>
      </c>
      <c r="CW749">
        <v>0</v>
      </c>
      <c r="CX749">
        <v>7</v>
      </c>
      <c r="CY749">
        <v>7</v>
      </c>
      <c r="CZ749" t="s">
        <v>133</v>
      </c>
      <c r="DA749">
        <v>125</v>
      </c>
      <c r="DB749">
        <v>1</v>
      </c>
      <c r="DC749" t="s">
        <v>134</v>
      </c>
      <c r="DD749" t="s">
        <v>135</v>
      </c>
      <c r="DG749">
        <v>2911620</v>
      </c>
      <c r="DI749">
        <v>0</v>
      </c>
      <c r="DJ749">
        <v>0</v>
      </c>
      <c r="DK749">
        <v>1</v>
      </c>
      <c r="DL749">
        <v>0</v>
      </c>
      <c r="DM749">
        <v>0</v>
      </c>
      <c r="DN749">
        <v>0</v>
      </c>
      <c r="DO749">
        <v>0</v>
      </c>
      <c r="DP749">
        <v>0</v>
      </c>
      <c r="DQ749">
        <v>0</v>
      </c>
      <c r="DR749">
        <v>0</v>
      </c>
      <c r="DS749">
        <v>0</v>
      </c>
    </row>
    <row r="750" spans="1:123" x14ac:dyDescent="0.25">
      <c r="A750" t="str">
        <f>"04/17/2026 15:45:10.034"</f>
        <v>04/17/2026 15:45:10.034</v>
      </c>
      <c r="C750" t="str">
        <f t="shared" si="65"/>
        <v>FFDFD3C0</v>
      </c>
      <c r="D750" t="s">
        <v>124</v>
      </c>
      <c r="E750" t="str">
        <f>"03"</f>
        <v>03</v>
      </c>
      <c r="H750">
        <v>160</v>
      </c>
      <c r="I750" t="s">
        <v>125</v>
      </c>
      <c r="J750" t="s">
        <v>126</v>
      </c>
      <c r="K750">
        <v>0</v>
      </c>
      <c r="L750">
        <v>3</v>
      </c>
      <c r="M750">
        <v>0</v>
      </c>
      <c r="N750">
        <v>2</v>
      </c>
      <c r="O750">
        <v>1</v>
      </c>
      <c r="P750">
        <v>0</v>
      </c>
      <c r="Q750">
        <v>0</v>
      </c>
      <c r="R750" t="s">
        <v>127</v>
      </c>
      <c r="S750" t="str">
        <f>"15:45:09.711"</f>
        <v>15:45:09.711</v>
      </c>
      <c r="T750" t="str">
        <f>"15:45:09.311"</f>
        <v>15:45:09.311</v>
      </c>
      <c r="U750" t="str">
        <f t="shared" si="64"/>
        <v>A55E09</v>
      </c>
      <c r="V750">
        <v>0</v>
      </c>
      <c r="W750">
        <v>0</v>
      </c>
      <c r="X750">
        <v>2</v>
      </c>
      <c r="Y750">
        <v>0</v>
      </c>
      <c r="AA750">
        <v>0</v>
      </c>
      <c r="AB750">
        <v>9</v>
      </c>
      <c r="AC750">
        <v>3</v>
      </c>
      <c r="AD750">
        <v>0</v>
      </c>
      <c r="AE750">
        <v>9</v>
      </c>
      <c r="AF750" t="s">
        <v>128</v>
      </c>
      <c r="AG750">
        <v>0</v>
      </c>
      <c r="AH750">
        <v>0</v>
      </c>
      <c r="AI750">
        <v>1</v>
      </c>
      <c r="AJ750">
        <v>0</v>
      </c>
      <c r="AK750" t="s">
        <v>480</v>
      </c>
      <c r="AL750">
        <v>33.767316000000001</v>
      </c>
      <c r="AM750" t="s">
        <v>481</v>
      </c>
      <c r="AN750">
        <v>-101.22659</v>
      </c>
      <c r="AO750">
        <v>100</v>
      </c>
      <c r="AP750">
        <v>3200</v>
      </c>
      <c r="AQ750" t="s">
        <v>131</v>
      </c>
      <c r="AR750">
        <v>-4</v>
      </c>
      <c r="AS750">
        <v>39</v>
      </c>
      <c r="AT750">
        <v>0</v>
      </c>
      <c r="BB750" t="str">
        <f t="shared" si="66"/>
        <v>1200</v>
      </c>
      <c r="BC750">
        <v>1</v>
      </c>
      <c r="BD750" t="str">
        <f t="shared" si="67"/>
        <v xml:space="preserve">N445JS  </v>
      </c>
      <c r="BE750">
        <v>7</v>
      </c>
      <c r="BG750">
        <v>0</v>
      </c>
      <c r="BH750">
        <v>0</v>
      </c>
      <c r="BI750">
        <v>0</v>
      </c>
      <c r="BJ750">
        <v>3000</v>
      </c>
      <c r="BK750">
        <v>-200</v>
      </c>
      <c r="BL750" t="s">
        <v>132</v>
      </c>
      <c r="BM750">
        <v>1</v>
      </c>
      <c r="BN750">
        <v>1</v>
      </c>
      <c r="BO750">
        <v>1</v>
      </c>
      <c r="BP750">
        <v>0</v>
      </c>
      <c r="BT750">
        <v>0</v>
      </c>
      <c r="BU750">
        <v>0</v>
      </c>
      <c r="CE750" t="str">
        <f>"15:45:09.718"</f>
        <v>15:45:09.718</v>
      </c>
      <c r="CF750">
        <v>718251902</v>
      </c>
      <c r="CS750">
        <v>0</v>
      </c>
      <c r="CT750">
        <v>2</v>
      </c>
      <c r="CU750">
        <v>0</v>
      </c>
      <c r="CV750">
        <v>2</v>
      </c>
      <c r="CW750">
        <v>0</v>
      </c>
      <c r="CX750">
        <v>7</v>
      </c>
      <c r="CY750">
        <v>7</v>
      </c>
      <c r="CZ750" t="s">
        <v>133</v>
      </c>
      <c r="DA750">
        <v>125</v>
      </c>
      <c r="DB750">
        <v>1</v>
      </c>
      <c r="DC750" t="s">
        <v>134</v>
      </c>
      <c r="DD750" t="s">
        <v>135</v>
      </c>
      <c r="DG750">
        <v>2911620</v>
      </c>
      <c r="DI750">
        <v>0</v>
      </c>
      <c r="DJ750">
        <v>0</v>
      </c>
      <c r="DK750">
        <v>1</v>
      </c>
      <c r="DL750">
        <v>0</v>
      </c>
      <c r="DM750">
        <v>0</v>
      </c>
      <c r="DN750">
        <v>0</v>
      </c>
      <c r="DO750">
        <v>0</v>
      </c>
      <c r="DP750">
        <v>0</v>
      </c>
      <c r="DQ750">
        <v>0</v>
      </c>
      <c r="DR750">
        <v>0</v>
      </c>
      <c r="DS750">
        <v>0</v>
      </c>
    </row>
    <row r="751" spans="1:123" x14ac:dyDescent="0.25">
      <c r="A751" t="str">
        <f>"04/17/2026 15:45:11.086"</f>
        <v>04/17/2026 15:45:11.086</v>
      </c>
      <c r="C751" t="str">
        <f t="shared" si="65"/>
        <v>FFDFD3C0</v>
      </c>
      <c r="D751" t="s">
        <v>124</v>
      </c>
      <c r="E751" t="str">
        <f>"03"</f>
        <v>03</v>
      </c>
      <c r="H751">
        <v>160</v>
      </c>
      <c r="I751" t="s">
        <v>125</v>
      </c>
      <c r="J751" t="s">
        <v>126</v>
      </c>
      <c r="K751">
        <v>0</v>
      </c>
      <c r="L751">
        <v>3</v>
      </c>
      <c r="M751">
        <v>0</v>
      </c>
      <c r="N751">
        <v>2</v>
      </c>
      <c r="O751">
        <v>1</v>
      </c>
      <c r="P751">
        <v>0</v>
      </c>
      <c r="Q751">
        <v>0</v>
      </c>
      <c r="R751" t="s">
        <v>127</v>
      </c>
      <c r="S751" t="str">
        <f>"15:45:10.813"</f>
        <v>15:45:10.813</v>
      </c>
      <c r="T751" t="str">
        <f>"15:45:10.713"</f>
        <v>15:45:10.713</v>
      </c>
      <c r="U751" t="str">
        <f t="shared" si="64"/>
        <v>A55E09</v>
      </c>
      <c r="V751">
        <v>0</v>
      </c>
      <c r="W751">
        <v>0</v>
      </c>
      <c r="X751">
        <v>2</v>
      </c>
      <c r="Y751">
        <v>0</v>
      </c>
      <c r="AA751">
        <v>0</v>
      </c>
      <c r="AB751">
        <v>9</v>
      </c>
      <c r="AC751">
        <v>3</v>
      </c>
      <c r="AD751">
        <v>0</v>
      </c>
      <c r="AE751">
        <v>9</v>
      </c>
      <c r="AF751" t="s">
        <v>128</v>
      </c>
      <c r="AG751">
        <v>0</v>
      </c>
      <c r="AH751">
        <v>0</v>
      </c>
      <c r="AI751">
        <v>1</v>
      </c>
      <c r="AJ751">
        <v>0</v>
      </c>
      <c r="AK751" t="s">
        <v>482</v>
      </c>
      <c r="AL751">
        <v>33.767508999999997</v>
      </c>
      <c r="AM751" t="s">
        <v>481</v>
      </c>
      <c r="AN751">
        <v>-101.22659</v>
      </c>
      <c r="AO751">
        <v>100</v>
      </c>
      <c r="AP751">
        <v>3200</v>
      </c>
      <c r="AQ751" t="s">
        <v>131</v>
      </c>
      <c r="AR751">
        <v>-6</v>
      </c>
      <c r="AS751">
        <v>38</v>
      </c>
      <c r="AT751">
        <v>-64</v>
      </c>
      <c r="BB751" t="str">
        <f t="shared" si="66"/>
        <v>1200</v>
      </c>
      <c r="BC751">
        <v>1</v>
      </c>
      <c r="BD751" t="str">
        <f t="shared" si="67"/>
        <v xml:space="preserve">N445JS  </v>
      </c>
      <c r="BE751">
        <v>7</v>
      </c>
      <c r="BG751">
        <v>0</v>
      </c>
      <c r="BH751">
        <v>0</v>
      </c>
      <c r="BI751">
        <v>0</v>
      </c>
      <c r="BJ751">
        <v>3000</v>
      </c>
      <c r="BK751">
        <v>-200</v>
      </c>
      <c r="BL751" t="s">
        <v>132</v>
      </c>
      <c r="BM751">
        <v>1</v>
      </c>
      <c r="BN751">
        <v>1</v>
      </c>
      <c r="BO751">
        <v>1</v>
      </c>
      <c r="BP751">
        <v>0</v>
      </c>
      <c r="BT751">
        <v>0</v>
      </c>
      <c r="BU751">
        <v>0</v>
      </c>
      <c r="CE751" t="str">
        <f>"15:45:10.813"</f>
        <v>15:45:10.813</v>
      </c>
      <c r="CF751">
        <v>813144661</v>
      </c>
      <c r="CS751">
        <v>0</v>
      </c>
      <c r="CT751">
        <v>2</v>
      </c>
      <c r="CU751">
        <v>0</v>
      </c>
      <c r="CV751">
        <v>2</v>
      </c>
      <c r="CW751">
        <v>0</v>
      </c>
      <c r="CX751">
        <v>7</v>
      </c>
      <c r="CY751">
        <v>7</v>
      </c>
      <c r="CZ751" t="s">
        <v>133</v>
      </c>
      <c r="DA751">
        <v>125</v>
      </c>
      <c r="DB751">
        <v>0</v>
      </c>
      <c r="DC751" t="s">
        <v>134</v>
      </c>
      <c r="DD751" t="s">
        <v>135</v>
      </c>
      <c r="DG751">
        <v>3890743</v>
      </c>
      <c r="DI751">
        <v>0</v>
      </c>
      <c r="DJ751">
        <v>0</v>
      </c>
      <c r="DK751">
        <v>0</v>
      </c>
      <c r="DL751">
        <v>0</v>
      </c>
      <c r="DM751">
        <v>0</v>
      </c>
      <c r="DN751">
        <v>0</v>
      </c>
      <c r="DO751">
        <v>0</v>
      </c>
      <c r="DP751">
        <v>0</v>
      </c>
      <c r="DQ751">
        <v>0</v>
      </c>
      <c r="DR751">
        <v>0</v>
      </c>
      <c r="DS751">
        <v>0</v>
      </c>
    </row>
    <row r="752" spans="1:123" x14ac:dyDescent="0.25">
      <c r="A752" t="str">
        <f>"04/17/2026 15:45:11.107"</f>
        <v>04/17/2026 15:45:11.107</v>
      </c>
      <c r="C752" t="str">
        <f t="shared" si="65"/>
        <v>FFDFD3C0</v>
      </c>
      <c r="D752" t="s">
        <v>136</v>
      </c>
      <c r="E752" t="str">
        <f>"0E"</f>
        <v>0E</v>
      </c>
      <c r="F752">
        <v>1014</v>
      </c>
      <c r="G752" t="s">
        <v>125</v>
      </c>
      <c r="J752" t="s">
        <v>137</v>
      </c>
      <c r="K752">
        <v>0</v>
      </c>
      <c r="L752">
        <v>3</v>
      </c>
      <c r="M752">
        <v>0</v>
      </c>
      <c r="N752">
        <v>2</v>
      </c>
      <c r="O752">
        <v>1</v>
      </c>
      <c r="P752">
        <v>0</v>
      </c>
      <c r="Q752">
        <v>0</v>
      </c>
      <c r="R752" t="s">
        <v>127</v>
      </c>
      <c r="S752" t="str">
        <f>"15:45:10.813"</f>
        <v>15:45:10.813</v>
      </c>
      <c r="T752" t="str">
        <f>"15:45:10.713"</f>
        <v>15:45:10.713</v>
      </c>
      <c r="U752" t="str">
        <f t="shared" si="64"/>
        <v>A55E09</v>
      </c>
      <c r="V752">
        <v>0</v>
      </c>
      <c r="W752">
        <v>0</v>
      </c>
      <c r="X752">
        <v>2</v>
      </c>
      <c r="Y752">
        <v>0</v>
      </c>
      <c r="AA752">
        <v>0</v>
      </c>
      <c r="AB752">
        <v>9</v>
      </c>
      <c r="AC752">
        <v>3</v>
      </c>
      <c r="AD752">
        <v>0</v>
      </c>
      <c r="AE752">
        <v>9</v>
      </c>
      <c r="AF752" t="s">
        <v>128</v>
      </c>
      <c r="AG752">
        <v>0</v>
      </c>
      <c r="AH752">
        <v>0</v>
      </c>
      <c r="AI752">
        <v>1</v>
      </c>
      <c r="AJ752">
        <v>0</v>
      </c>
      <c r="AK752" t="s">
        <v>482</v>
      </c>
      <c r="AL752">
        <v>33.767508999999997</v>
      </c>
      <c r="AM752" t="s">
        <v>481</v>
      </c>
      <c r="AN752">
        <v>-101.22659</v>
      </c>
      <c r="AO752">
        <v>100</v>
      </c>
      <c r="AP752">
        <v>3200</v>
      </c>
      <c r="AQ752" t="s">
        <v>131</v>
      </c>
      <c r="AR752">
        <v>-6</v>
      </c>
      <c r="AS752">
        <v>38</v>
      </c>
      <c r="AT752">
        <v>-64</v>
      </c>
      <c r="BB752" t="str">
        <f t="shared" si="66"/>
        <v>1200</v>
      </c>
      <c r="BC752">
        <v>1</v>
      </c>
      <c r="BD752" t="str">
        <f t="shared" si="67"/>
        <v xml:space="preserve">N445JS  </v>
      </c>
      <c r="BE752">
        <v>7</v>
      </c>
      <c r="BG752">
        <v>0</v>
      </c>
      <c r="BH752">
        <v>0</v>
      </c>
      <c r="BI752">
        <v>0</v>
      </c>
      <c r="BJ752">
        <v>3000</v>
      </c>
      <c r="BK752">
        <v>-200</v>
      </c>
      <c r="BL752" t="s">
        <v>132</v>
      </c>
      <c r="BM752">
        <v>1</v>
      </c>
      <c r="BN752">
        <v>1</v>
      </c>
      <c r="BO752">
        <v>1</v>
      </c>
      <c r="BP752">
        <v>0</v>
      </c>
      <c r="BT752">
        <v>0</v>
      </c>
      <c r="BU752">
        <v>0</v>
      </c>
      <c r="CE752" t="str">
        <f>"15:45:10.813"</f>
        <v>15:45:10.813</v>
      </c>
      <c r="CF752">
        <v>813144661</v>
      </c>
      <c r="CS752">
        <v>0</v>
      </c>
      <c r="CT752">
        <v>2</v>
      </c>
      <c r="CU752">
        <v>0</v>
      </c>
      <c r="CV752">
        <v>2</v>
      </c>
      <c r="CW752">
        <v>0</v>
      </c>
      <c r="CX752">
        <v>7</v>
      </c>
      <c r="CY752">
        <v>7</v>
      </c>
      <c r="CZ752" t="s">
        <v>133</v>
      </c>
      <c r="DA752">
        <v>125</v>
      </c>
      <c r="DB752">
        <v>0</v>
      </c>
      <c r="DC752" t="s">
        <v>134</v>
      </c>
      <c r="DD752" t="s">
        <v>135</v>
      </c>
      <c r="DG752">
        <v>3890743</v>
      </c>
      <c r="DI752">
        <v>0</v>
      </c>
      <c r="DJ752">
        <v>0</v>
      </c>
      <c r="DK752">
        <v>1</v>
      </c>
      <c r="DL752">
        <v>0</v>
      </c>
      <c r="DM752">
        <v>0</v>
      </c>
      <c r="DN752">
        <v>0</v>
      </c>
      <c r="DO752">
        <v>0</v>
      </c>
      <c r="DP752">
        <v>0</v>
      </c>
      <c r="DQ752">
        <v>0</v>
      </c>
      <c r="DR752">
        <v>0</v>
      </c>
      <c r="DS752">
        <v>0</v>
      </c>
    </row>
    <row r="753" spans="1:123" x14ac:dyDescent="0.25">
      <c r="A753" t="str">
        <f>"04/17/2026 15:45:11.123"</f>
        <v>04/17/2026 15:45:11.123</v>
      </c>
      <c r="C753" t="str">
        <f t="shared" si="65"/>
        <v>FFDFD3C0</v>
      </c>
      <c r="D753" t="s">
        <v>136</v>
      </c>
      <c r="E753" t="str">
        <f>"0F"</f>
        <v>0F</v>
      </c>
      <c r="F753">
        <v>1015</v>
      </c>
      <c r="G753" t="s">
        <v>138</v>
      </c>
      <c r="J753" t="s">
        <v>137</v>
      </c>
      <c r="K753">
        <v>0</v>
      </c>
      <c r="L753">
        <v>3</v>
      </c>
      <c r="M753">
        <v>0</v>
      </c>
      <c r="N753">
        <v>2</v>
      </c>
      <c r="O753">
        <v>1</v>
      </c>
      <c r="P753">
        <v>0</v>
      </c>
      <c r="Q753">
        <v>0</v>
      </c>
      <c r="R753" t="s">
        <v>127</v>
      </c>
      <c r="S753" t="str">
        <f>"15:45:10.813"</f>
        <v>15:45:10.813</v>
      </c>
      <c r="T753" t="str">
        <f>"15:45:10.713"</f>
        <v>15:45:10.713</v>
      </c>
      <c r="U753" t="str">
        <f t="shared" si="64"/>
        <v>A55E09</v>
      </c>
      <c r="V753">
        <v>0</v>
      </c>
      <c r="W753">
        <v>0</v>
      </c>
      <c r="X753">
        <v>2</v>
      </c>
      <c r="Y753">
        <v>0</v>
      </c>
      <c r="AA753">
        <v>0</v>
      </c>
      <c r="AB753">
        <v>9</v>
      </c>
      <c r="AC753">
        <v>3</v>
      </c>
      <c r="AD753">
        <v>0</v>
      </c>
      <c r="AE753">
        <v>9</v>
      </c>
      <c r="AF753" t="s">
        <v>128</v>
      </c>
      <c r="AG753">
        <v>0</v>
      </c>
      <c r="AH753">
        <v>0</v>
      </c>
      <c r="AI753">
        <v>1</v>
      </c>
      <c r="AJ753">
        <v>0</v>
      </c>
      <c r="AK753" t="s">
        <v>482</v>
      </c>
      <c r="AL753">
        <v>33.767508999999997</v>
      </c>
      <c r="AM753" t="s">
        <v>481</v>
      </c>
      <c r="AN753">
        <v>-101.22659</v>
      </c>
      <c r="AO753">
        <v>100</v>
      </c>
      <c r="AP753">
        <v>3200</v>
      </c>
      <c r="AQ753" t="s">
        <v>131</v>
      </c>
      <c r="AR753">
        <v>-6</v>
      </c>
      <c r="AS753">
        <v>38</v>
      </c>
      <c r="AT753">
        <v>-64</v>
      </c>
      <c r="BB753" t="str">
        <f t="shared" si="66"/>
        <v>1200</v>
      </c>
      <c r="BC753">
        <v>1</v>
      </c>
      <c r="BD753" t="str">
        <f t="shared" si="67"/>
        <v xml:space="preserve">N445JS  </v>
      </c>
      <c r="BE753">
        <v>7</v>
      </c>
      <c r="BG753">
        <v>0</v>
      </c>
      <c r="BH753">
        <v>0</v>
      </c>
      <c r="BI753">
        <v>0</v>
      </c>
      <c r="BJ753">
        <v>3000</v>
      </c>
      <c r="BK753">
        <v>-200</v>
      </c>
      <c r="BL753" t="s">
        <v>132</v>
      </c>
      <c r="BM753">
        <v>1</v>
      </c>
      <c r="BN753">
        <v>1</v>
      </c>
      <c r="BO753">
        <v>1</v>
      </c>
      <c r="BP753">
        <v>0</v>
      </c>
      <c r="BT753">
        <v>0</v>
      </c>
      <c r="BU753">
        <v>0</v>
      </c>
      <c r="CE753" t="str">
        <f>"15:45:10.813"</f>
        <v>15:45:10.813</v>
      </c>
      <c r="CF753">
        <v>813144661</v>
      </c>
      <c r="CS753">
        <v>0</v>
      </c>
      <c r="CT753">
        <v>2</v>
      </c>
      <c r="CU753">
        <v>0</v>
      </c>
      <c r="CV753">
        <v>2</v>
      </c>
      <c r="CW753">
        <v>0</v>
      </c>
      <c r="CX753">
        <v>7</v>
      </c>
      <c r="CY753">
        <v>7</v>
      </c>
      <c r="CZ753" t="s">
        <v>133</v>
      </c>
      <c r="DA753">
        <v>125</v>
      </c>
      <c r="DB753">
        <v>0</v>
      </c>
      <c r="DC753" t="s">
        <v>134</v>
      </c>
      <c r="DD753" t="s">
        <v>135</v>
      </c>
      <c r="DG753">
        <v>3890743</v>
      </c>
      <c r="DI753">
        <v>0</v>
      </c>
      <c r="DJ753">
        <v>0</v>
      </c>
      <c r="DK753">
        <v>1</v>
      </c>
      <c r="DL753">
        <v>0</v>
      </c>
      <c r="DM753">
        <v>0</v>
      </c>
      <c r="DN753">
        <v>0</v>
      </c>
      <c r="DO753">
        <v>0</v>
      </c>
      <c r="DP753">
        <v>0</v>
      </c>
      <c r="DQ753">
        <v>0</v>
      </c>
      <c r="DR753">
        <v>0</v>
      </c>
      <c r="DS753">
        <v>0</v>
      </c>
    </row>
    <row r="754" spans="1:123" x14ac:dyDescent="0.25">
      <c r="A754" t="str">
        <f>"04/17/2026 15:45:11.128"</f>
        <v>04/17/2026 15:45:11.128</v>
      </c>
      <c r="C754" t="str">
        <f t="shared" si="65"/>
        <v>FFDFD3C0</v>
      </c>
      <c r="D754" t="s">
        <v>139</v>
      </c>
      <c r="E754" t="str">
        <f>"28"</f>
        <v>28</v>
      </c>
      <c r="H754">
        <v>140</v>
      </c>
      <c r="I754" t="s">
        <v>140</v>
      </c>
      <c r="J754" t="s">
        <v>141</v>
      </c>
      <c r="K754">
        <v>0</v>
      </c>
      <c r="L754">
        <v>3</v>
      </c>
      <c r="M754">
        <v>0</v>
      </c>
      <c r="N754">
        <v>2</v>
      </c>
      <c r="O754">
        <v>1</v>
      </c>
      <c r="P754">
        <v>0</v>
      </c>
      <c r="Q754">
        <v>0</v>
      </c>
      <c r="R754" t="s">
        <v>127</v>
      </c>
      <c r="S754" t="str">
        <f>"15:45:10.813"</f>
        <v>15:45:10.813</v>
      </c>
      <c r="T754" t="str">
        <f>"15:45:10.713"</f>
        <v>15:45:10.713</v>
      </c>
      <c r="U754" t="str">
        <f t="shared" si="64"/>
        <v>A55E09</v>
      </c>
      <c r="V754">
        <v>0</v>
      </c>
      <c r="W754">
        <v>0</v>
      </c>
      <c r="X754">
        <v>2</v>
      </c>
      <c r="Y754">
        <v>0</v>
      </c>
      <c r="AA754">
        <v>0</v>
      </c>
      <c r="AB754">
        <v>9</v>
      </c>
      <c r="AC754">
        <v>3</v>
      </c>
      <c r="AD754">
        <v>0</v>
      </c>
      <c r="AE754">
        <v>9</v>
      </c>
      <c r="AF754" t="s">
        <v>128</v>
      </c>
      <c r="AG754">
        <v>0</v>
      </c>
      <c r="AH754">
        <v>0</v>
      </c>
      <c r="AI754">
        <v>1</v>
      </c>
      <c r="AJ754">
        <v>0</v>
      </c>
      <c r="AK754" t="s">
        <v>482</v>
      </c>
      <c r="AL754">
        <v>33.767508999999997</v>
      </c>
      <c r="AM754" t="s">
        <v>481</v>
      </c>
      <c r="AN754">
        <v>-101.22659</v>
      </c>
      <c r="AO754">
        <v>100</v>
      </c>
      <c r="AP754">
        <v>3200</v>
      </c>
      <c r="AQ754" t="s">
        <v>131</v>
      </c>
      <c r="AR754">
        <v>-6</v>
      </c>
      <c r="AS754">
        <v>38</v>
      </c>
      <c r="AT754">
        <v>-64</v>
      </c>
      <c r="BB754" t="str">
        <f t="shared" si="66"/>
        <v>1200</v>
      </c>
      <c r="BC754">
        <v>1</v>
      </c>
      <c r="BD754" t="str">
        <f t="shared" si="67"/>
        <v xml:space="preserve">N445JS  </v>
      </c>
      <c r="BE754">
        <v>7</v>
      </c>
      <c r="BG754">
        <v>0</v>
      </c>
      <c r="BH754">
        <v>0</v>
      </c>
      <c r="BI754">
        <v>0</v>
      </c>
      <c r="BJ754">
        <v>3000</v>
      </c>
      <c r="BK754">
        <v>-200</v>
      </c>
      <c r="BL754" t="s">
        <v>132</v>
      </c>
      <c r="BM754">
        <v>1</v>
      </c>
      <c r="BN754">
        <v>1</v>
      </c>
      <c r="BO754">
        <v>1</v>
      </c>
      <c r="BP754">
        <v>0</v>
      </c>
      <c r="BT754">
        <v>0</v>
      </c>
      <c r="BU754">
        <v>0</v>
      </c>
      <c r="CE754" t="str">
        <f>"15:45:10.813"</f>
        <v>15:45:10.813</v>
      </c>
      <c r="CF754">
        <v>813144661</v>
      </c>
      <c r="CS754">
        <v>0</v>
      </c>
      <c r="CT754">
        <v>2</v>
      </c>
      <c r="CU754">
        <v>0</v>
      </c>
      <c r="CV754">
        <v>2</v>
      </c>
      <c r="CW754">
        <v>0</v>
      </c>
      <c r="CX754">
        <v>7</v>
      </c>
      <c r="CY754">
        <v>7</v>
      </c>
      <c r="CZ754" t="s">
        <v>133</v>
      </c>
      <c r="DA754">
        <v>125</v>
      </c>
      <c r="DB754">
        <v>0</v>
      </c>
      <c r="DC754" t="s">
        <v>134</v>
      </c>
      <c r="DD754" t="s">
        <v>135</v>
      </c>
      <c r="DG754">
        <v>3890743</v>
      </c>
      <c r="DI754">
        <v>0</v>
      </c>
      <c r="DJ754">
        <v>0</v>
      </c>
      <c r="DK754">
        <v>1</v>
      </c>
      <c r="DL754">
        <v>0</v>
      </c>
      <c r="DM754">
        <v>0</v>
      </c>
      <c r="DN754">
        <v>0</v>
      </c>
      <c r="DO754">
        <v>0</v>
      </c>
      <c r="DP754">
        <v>0</v>
      </c>
      <c r="DQ754">
        <v>0</v>
      </c>
      <c r="DR754">
        <v>0</v>
      </c>
      <c r="DS754">
        <v>0</v>
      </c>
    </row>
    <row r="755" spans="1:123" x14ac:dyDescent="0.25">
      <c r="A755" t="str">
        <f>"04/17/2026 15:45:12.059"</f>
        <v>04/17/2026 15:45:12.059</v>
      </c>
      <c r="C755" t="str">
        <f t="shared" si="65"/>
        <v>FFDFD3C0</v>
      </c>
      <c r="D755" t="s">
        <v>136</v>
      </c>
      <c r="E755" t="str">
        <f>"0E"</f>
        <v>0E</v>
      </c>
      <c r="F755">
        <v>1014</v>
      </c>
      <c r="G755" t="s">
        <v>125</v>
      </c>
      <c r="J755" t="s">
        <v>137</v>
      </c>
      <c r="K755">
        <v>0</v>
      </c>
      <c r="L755">
        <v>3</v>
      </c>
      <c r="M755">
        <v>0</v>
      </c>
      <c r="N755">
        <v>2</v>
      </c>
      <c r="O755">
        <v>1</v>
      </c>
      <c r="P755">
        <v>0</v>
      </c>
      <c r="Q755">
        <v>0</v>
      </c>
      <c r="R755" t="s">
        <v>127</v>
      </c>
      <c r="S755" t="str">
        <f t="shared" ref="S755:T758" si="70">"15:45:11.781"</f>
        <v>15:45:11.781</v>
      </c>
      <c r="T755" t="str">
        <f t="shared" si="70"/>
        <v>15:45:11.781</v>
      </c>
      <c r="U755" t="str">
        <f t="shared" si="64"/>
        <v>A55E09</v>
      </c>
      <c r="V755">
        <v>0</v>
      </c>
      <c r="W755">
        <v>0</v>
      </c>
      <c r="X755">
        <v>2</v>
      </c>
      <c r="Y755">
        <v>0</v>
      </c>
      <c r="AA755">
        <v>0</v>
      </c>
      <c r="AB755">
        <v>9</v>
      </c>
      <c r="AC755">
        <v>3</v>
      </c>
      <c r="AD755">
        <v>0</v>
      </c>
      <c r="AE755">
        <v>9</v>
      </c>
      <c r="AF755" t="s">
        <v>128</v>
      </c>
      <c r="AG755">
        <v>0</v>
      </c>
      <c r="AH755">
        <v>0</v>
      </c>
      <c r="AI755">
        <v>1</v>
      </c>
      <c r="AJ755">
        <v>0</v>
      </c>
      <c r="AK755" t="s">
        <v>483</v>
      </c>
      <c r="AL755">
        <v>33.767659999999999</v>
      </c>
      <c r="AM755" t="s">
        <v>484</v>
      </c>
      <c r="AN755">
        <v>-101.226676</v>
      </c>
      <c r="AO755">
        <v>100</v>
      </c>
      <c r="AP755">
        <v>3200</v>
      </c>
      <c r="AQ755" t="s">
        <v>131</v>
      </c>
      <c r="AR755">
        <v>-7</v>
      </c>
      <c r="AS755">
        <v>37</v>
      </c>
      <c r="AT755">
        <v>0</v>
      </c>
      <c r="BB755" t="str">
        <f t="shared" si="66"/>
        <v>1200</v>
      </c>
      <c r="BC755">
        <v>1</v>
      </c>
      <c r="BD755" t="str">
        <f t="shared" si="67"/>
        <v xml:space="preserve">N445JS  </v>
      </c>
      <c r="BE755">
        <v>7</v>
      </c>
      <c r="BG755">
        <v>0</v>
      </c>
      <c r="BH755">
        <v>0</v>
      </c>
      <c r="BI755">
        <v>0</v>
      </c>
      <c r="BJ755">
        <v>3000</v>
      </c>
      <c r="BK755">
        <v>-200</v>
      </c>
      <c r="BL755" t="s">
        <v>132</v>
      </c>
      <c r="BM755">
        <v>1</v>
      </c>
      <c r="BN755">
        <v>1</v>
      </c>
      <c r="BO755">
        <v>1</v>
      </c>
      <c r="BP755">
        <v>0</v>
      </c>
      <c r="BT755">
        <v>0</v>
      </c>
      <c r="BU755">
        <v>0</v>
      </c>
      <c r="CE755" t="str">
        <f>"15:45:11.788"</f>
        <v>15:45:11.788</v>
      </c>
      <c r="CF755">
        <v>788049157</v>
      </c>
      <c r="CS755">
        <v>0</v>
      </c>
      <c r="CT755">
        <v>2</v>
      </c>
      <c r="CU755">
        <v>0</v>
      </c>
      <c r="CV755">
        <v>2</v>
      </c>
      <c r="CW755">
        <v>0</v>
      </c>
      <c r="CX755">
        <v>7</v>
      </c>
      <c r="CY755">
        <v>7</v>
      </c>
      <c r="CZ755" t="s">
        <v>133</v>
      </c>
      <c r="DA755">
        <v>125</v>
      </c>
      <c r="DB755">
        <v>0</v>
      </c>
      <c r="DC755" t="s">
        <v>134</v>
      </c>
      <c r="DD755" t="s">
        <v>135</v>
      </c>
      <c r="DG755">
        <v>3891897</v>
      </c>
      <c r="DI755">
        <v>0</v>
      </c>
      <c r="DJ755">
        <v>0</v>
      </c>
      <c r="DK755">
        <v>0</v>
      </c>
      <c r="DL755">
        <v>0</v>
      </c>
      <c r="DM755">
        <v>0</v>
      </c>
      <c r="DN755">
        <v>0</v>
      </c>
      <c r="DO755">
        <v>0</v>
      </c>
      <c r="DP755">
        <v>0</v>
      </c>
      <c r="DQ755">
        <v>0</v>
      </c>
      <c r="DR755">
        <v>0</v>
      </c>
      <c r="DS755">
        <v>0</v>
      </c>
    </row>
    <row r="756" spans="1:123" x14ac:dyDescent="0.25">
      <c r="A756" t="str">
        <f>"04/17/2026 15:45:12.074"</f>
        <v>04/17/2026 15:45:12.074</v>
      </c>
      <c r="C756" t="str">
        <f t="shared" ref="C756:C787" si="71">"FFDFD3C0"</f>
        <v>FFDFD3C0</v>
      </c>
      <c r="D756" t="s">
        <v>136</v>
      </c>
      <c r="E756" t="str">
        <f>"0F"</f>
        <v>0F</v>
      </c>
      <c r="F756">
        <v>1015</v>
      </c>
      <c r="G756" t="s">
        <v>138</v>
      </c>
      <c r="J756" t="s">
        <v>137</v>
      </c>
      <c r="K756">
        <v>0</v>
      </c>
      <c r="L756">
        <v>3</v>
      </c>
      <c r="M756">
        <v>0</v>
      </c>
      <c r="N756">
        <v>2</v>
      </c>
      <c r="O756">
        <v>1</v>
      </c>
      <c r="P756">
        <v>0</v>
      </c>
      <c r="Q756">
        <v>0</v>
      </c>
      <c r="R756" t="s">
        <v>127</v>
      </c>
      <c r="S756" t="str">
        <f t="shared" si="70"/>
        <v>15:45:11.781</v>
      </c>
      <c r="T756" t="str">
        <f t="shared" si="70"/>
        <v>15:45:11.781</v>
      </c>
      <c r="U756" t="str">
        <f t="shared" si="64"/>
        <v>A55E09</v>
      </c>
      <c r="V756">
        <v>0</v>
      </c>
      <c r="W756">
        <v>0</v>
      </c>
      <c r="X756">
        <v>2</v>
      </c>
      <c r="Y756">
        <v>0</v>
      </c>
      <c r="AA756">
        <v>0</v>
      </c>
      <c r="AB756">
        <v>9</v>
      </c>
      <c r="AC756">
        <v>3</v>
      </c>
      <c r="AD756">
        <v>0</v>
      </c>
      <c r="AE756">
        <v>9</v>
      </c>
      <c r="AF756" t="s">
        <v>128</v>
      </c>
      <c r="AG756">
        <v>0</v>
      </c>
      <c r="AH756">
        <v>0</v>
      </c>
      <c r="AI756">
        <v>1</v>
      </c>
      <c r="AJ756">
        <v>0</v>
      </c>
      <c r="AK756" t="s">
        <v>483</v>
      </c>
      <c r="AL756">
        <v>33.767659999999999</v>
      </c>
      <c r="AM756" t="s">
        <v>484</v>
      </c>
      <c r="AN756">
        <v>-101.226676</v>
      </c>
      <c r="AO756">
        <v>100</v>
      </c>
      <c r="AP756">
        <v>3200</v>
      </c>
      <c r="AQ756" t="s">
        <v>131</v>
      </c>
      <c r="AR756">
        <v>-7</v>
      </c>
      <c r="AS756">
        <v>37</v>
      </c>
      <c r="AT756">
        <v>0</v>
      </c>
      <c r="BB756" t="str">
        <f t="shared" ref="BB756:BB787" si="72">"1200"</f>
        <v>1200</v>
      </c>
      <c r="BC756">
        <v>1</v>
      </c>
      <c r="BD756" t="str">
        <f t="shared" ref="BD756:BD787" si="73">"N445JS  "</f>
        <v xml:space="preserve">N445JS  </v>
      </c>
      <c r="BE756">
        <v>7</v>
      </c>
      <c r="BG756">
        <v>0</v>
      </c>
      <c r="BH756">
        <v>0</v>
      </c>
      <c r="BI756">
        <v>0</v>
      </c>
      <c r="BJ756">
        <v>3000</v>
      </c>
      <c r="BK756">
        <v>-200</v>
      </c>
      <c r="BL756" t="s">
        <v>132</v>
      </c>
      <c r="BM756">
        <v>1</v>
      </c>
      <c r="BN756">
        <v>1</v>
      </c>
      <c r="BO756">
        <v>1</v>
      </c>
      <c r="BP756">
        <v>0</v>
      </c>
      <c r="BT756">
        <v>0</v>
      </c>
      <c r="BU756">
        <v>0</v>
      </c>
      <c r="CE756" t="str">
        <f>"15:45:11.788"</f>
        <v>15:45:11.788</v>
      </c>
      <c r="CF756">
        <v>788049157</v>
      </c>
      <c r="CS756">
        <v>0</v>
      </c>
      <c r="CT756">
        <v>2</v>
      </c>
      <c r="CU756">
        <v>0</v>
      </c>
      <c r="CV756">
        <v>2</v>
      </c>
      <c r="CW756">
        <v>0</v>
      </c>
      <c r="CX756">
        <v>7</v>
      </c>
      <c r="CY756">
        <v>7</v>
      </c>
      <c r="CZ756" t="s">
        <v>133</v>
      </c>
      <c r="DA756">
        <v>125</v>
      </c>
      <c r="DB756">
        <v>0</v>
      </c>
      <c r="DC756" t="s">
        <v>134</v>
      </c>
      <c r="DD756" t="s">
        <v>135</v>
      </c>
      <c r="DG756">
        <v>3891897</v>
      </c>
      <c r="DI756">
        <v>0</v>
      </c>
      <c r="DJ756">
        <v>0</v>
      </c>
      <c r="DK756">
        <v>1</v>
      </c>
      <c r="DL756">
        <v>0</v>
      </c>
      <c r="DM756">
        <v>0</v>
      </c>
      <c r="DN756">
        <v>0</v>
      </c>
      <c r="DO756">
        <v>0</v>
      </c>
      <c r="DP756">
        <v>0</v>
      </c>
      <c r="DQ756">
        <v>0</v>
      </c>
      <c r="DR756">
        <v>0</v>
      </c>
      <c r="DS756">
        <v>0</v>
      </c>
    </row>
    <row r="757" spans="1:123" x14ac:dyDescent="0.25">
      <c r="A757" t="str">
        <f>"04/17/2026 15:45:12.088"</f>
        <v>04/17/2026 15:45:12.088</v>
      </c>
      <c r="C757" t="str">
        <f t="shared" si="71"/>
        <v>FFDFD3C0</v>
      </c>
      <c r="D757" t="s">
        <v>124</v>
      </c>
      <c r="E757" t="str">
        <f>"03"</f>
        <v>03</v>
      </c>
      <c r="H757">
        <v>160</v>
      </c>
      <c r="I757" t="s">
        <v>125</v>
      </c>
      <c r="J757" t="s">
        <v>126</v>
      </c>
      <c r="K757">
        <v>0</v>
      </c>
      <c r="L757">
        <v>3</v>
      </c>
      <c r="M757">
        <v>0</v>
      </c>
      <c r="N757">
        <v>2</v>
      </c>
      <c r="O757">
        <v>1</v>
      </c>
      <c r="P757">
        <v>0</v>
      </c>
      <c r="Q757">
        <v>0</v>
      </c>
      <c r="R757" t="s">
        <v>127</v>
      </c>
      <c r="S757" t="str">
        <f t="shared" si="70"/>
        <v>15:45:11.781</v>
      </c>
      <c r="T757" t="str">
        <f t="shared" si="70"/>
        <v>15:45:11.781</v>
      </c>
      <c r="U757" t="str">
        <f t="shared" si="64"/>
        <v>A55E09</v>
      </c>
      <c r="V757">
        <v>0</v>
      </c>
      <c r="W757">
        <v>0</v>
      </c>
      <c r="X757">
        <v>2</v>
      </c>
      <c r="Y757">
        <v>0</v>
      </c>
      <c r="AA757">
        <v>0</v>
      </c>
      <c r="AB757">
        <v>9</v>
      </c>
      <c r="AC757">
        <v>3</v>
      </c>
      <c r="AD757">
        <v>0</v>
      </c>
      <c r="AE757">
        <v>9</v>
      </c>
      <c r="AF757" t="s">
        <v>128</v>
      </c>
      <c r="AG757">
        <v>0</v>
      </c>
      <c r="AH757">
        <v>0</v>
      </c>
      <c r="AI757">
        <v>1</v>
      </c>
      <c r="AJ757">
        <v>0</v>
      </c>
      <c r="AK757" t="s">
        <v>483</v>
      </c>
      <c r="AL757">
        <v>33.767659999999999</v>
      </c>
      <c r="AM757" t="s">
        <v>484</v>
      </c>
      <c r="AN757">
        <v>-101.226676</v>
      </c>
      <c r="AO757">
        <v>100</v>
      </c>
      <c r="AP757">
        <v>3200</v>
      </c>
      <c r="AQ757" t="s">
        <v>131</v>
      </c>
      <c r="AR757">
        <v>-7</v>
      </c>
      <c r="AS757">
        <v>37</v>
      </c>
      <c r="AT757">
        <v>0</v>
      </c>
      <c r="BB757" t="str">
        <f t="shared" si="72"/>
        <v>1200</v>
      </c>
      <c r="BC757">
        <v>1</v>
      </c>
      <c r="BD757" t="str">
        <f t="shared" si="73"/>
        <v xml:space="preserve">N445JS  </v>
      </c>
      <c r="BE757">
        <v>7</v>
      </c>
      <c r="BG757">
        <v>0</v>
      </c>
      <c r="BH757">
        <v>0</v>
      </c>
      <c r="BI757">
        <v>0</v>
      </c>
      <c r="BJ757">
        <v>3000</v>
      </c>
      <c r="BK757">
        <v>-200</v>
      </c>
      <c r="BL757" t="s">
        <v>132</v>
      </c>
      <c r="BM757">
        <v>1</v>
      </c>
      <c r="BN757">
        <v>1</v>
      </c>
      <c r="BO757">
        <v>1</v>
      </c>
      <c r="BP757">
        <v>0</v>
      </c>
      <c r="BT757">
        <v>0</v>
      </c>
      <c r="BU757">
        <v>0</v>
      </c>
      <c r="CE757" t="str">
        <f>"15:45:11.788"</f>
        <v>15:45:11.788</v>
      </c>
      <c r="CF757">
        <v>788049157</v>
      </c>
      <c r="CS757">
        <v>0</v>
      </c>
      <c r="CT757">
        <v>2</v>
      </c>
      <c r="CU757">
        <v>0</v>
      </c>
      <c r="CV757">
        <v>2</v>
      </c>
      <c r="CW757">
        <v>0</v>
      </c>
      <c r="CX757">
        <v>7</v>
      </c>
      <c r="CY757">
        <v>7</v>
      </c>
      <c r="CZ757" t="s">
        <v>133</v>
      </c>
      <c r="DA757">
        <v>125</v>
      </c>
      <c r="DB757">
        <v>0</v>
      </c>
      <c r="DC757" t="s">
        <v>134</v>
      </c>
      <c r="DD757" t="s">
        <v>135</v>
      </c>
      <c r="DG757">
        <v>3891897</v>
      </c>
      <c r="DI757">
        <v>0</v>
      </c>
      <c r="DJ757">
        <v>0</v>
      </c>
      <c r="DK757">
        <v>1</v>
      </c>
      <c r="DL757">
        <v>0</v>
      </c>
      <c r="DM757">
        <v>0</v>
      </c>
      <c r="DN757">
        <v>0</v>
      </c>
      <c r="DO757">
        <v>0</v>
      </c>
      <c r="DP757">
        <v>0</v>
      </c>
      <c r="DQ757">
        <v>0</v>
      </c>
      <c r="DR757">
        <v>0</v>
      </c>
      <c r="DS757">
        <v>0</v>
      </c>
    </row>
    <row r="758" spans="1:123" x14ac:dyDescent="0.25">
      <c r="A758" t="str">
        <f>"04/17/2026 15:45:12.080"</f>
        <v>04/17/2026 15:45:12.080</v>
      </c>
      <c r="C758" t="str">
        <f t="shared" si="71"/>
        <v>FFDFD3C0</v>
      </c>
      <c r="D758" t="s">
        <v>139</v>
      </c>
      <c r="E758" t="str">
        <f>"28"</f>
        <v>28</v>
      </c>
      <c r="H758">
        <v>140</v>
      </c>
      <c r="I758" t="s">
        <v>140</v>
      </c>
      <c r="J758" t="s">
        <v>141</v>
      </c>
      <c r="K758">
        <v>0</v>
      </c>
      <c r="L758">
        <v>3</v>
      </c>
      <c r="M758">
        <v>0</v>
      </c>
      <c r="N758">
        <v>2</v>
      </c>
      <c r="O758">
        <v>1</v>
      </c>
      <c r="P758">
        <v>0</v>
      </c>
      <c r="Q758">
        <v>0</v>
      </c>
      <c r="R758" t="s">
        <v>127</v>
      </c>
      <c r="S758" t="str">
        <f t="shared" si="70"/>
        <v>15:45:11.781</v>
      </c>
      <c r="T758" t="str">
        <f t="shared" si="70"/>
        <v>15:45:11.781</v>
      </c>
      <c r="U758" t="str">
        <f t="shared" si="64"/>
        <v>A55E09</v>
      </c>
      <c r="V758">
        <v>0</v>
      </c>
      <c r="W758">
        <v>0</v>
      </c>
      <c r="X758">
        <v>2</v>
      </c>
      <c r="Y758">
        <v>0</v>
      </c>
      <c r="AA758">
        <v>0</v>
      </c>
      <c r="AB758">
        <v>9</v>
      </c>
      <c r="AC758">
        <v>3</v>
      </c>
      <c r="AD758">
        <v>0</v>
      </c>
      <c r="AE758">
        <v>9</v>
      </c>
      <c r="AF758" t="s">
        <v>128</v>
      </c>
      <c r="AG758">
        <v>0</v>
      </c>
      <c r="AH758">
        <v>0</v>
      </c>
      <c r="AI758">
        <v>1</v>
      </c>
      <c r="AJ758">
        <v>0</v>
      </c>
      <c r="AK758" t="s">
        <v>483</v>
      </c>
      <c r="AL758">
        <v>33.767659999999999</v>
      </c>
      <c r="AM758" t="s">
        <v>484</v>
      </c>
      <c r="AN758">
        <v>-101.226676</v>
      </c>
      <c r="AO758">
        <v>100</v>
      </c>
      <c r="AP758">
        <v>3200</v>
      </c>
      <c r="AQ758" t="s">
        <v>131</v>
      </c>
      <c r="AR758">
        <v>-7</v>
      </c>
      <c r="AS758">
        <v>37</v>
      </c>
      <c r="AT758">
        <v>0</v>
      </c>
      <c r="BB758" t="str">
        <f t="shared" si="72"/>
        <v>1200</v>
      </c>
      <c r="BC758">
        <v>1</v>
      </c>
      <c r="BD758" t="str">
        <f t="shared" si="73"/>
        <v xml:space="preserve">N445JS  </v>
      </c>
      <c r="BE758">
        <v>7</v>
      </c>
      <c r="BG758">
        <v>0</v>
      </c>
      <c r="BH758">
        <v>0</v>
      </c>
      <c r="BI758">
        <v>0</v>
      </c>
      <c r="BJ758">
        <v>3000</v>
      </c>
      <c r="BK758">
        <v>-200</v>
      </c>
      <c r="BL758" t="s">
        <v>132</v>
      </c>
      <c r="BM758">
        <v>1</v>
      </c>
      <c r="BN758">
        <v>1</v>
      </c>
      <c r="BO758">
        <v>1</v>
      </c>
      <c r="BP758">
        <v>0</v>
      </c>
      <c r="BT758">
        <v>0</v>
      </c>
      <c r="BU758">
        <v>0</v>
      </c>
      <c r="CE758" t="str">
        <f>"15:45:11.788"</f>
        <v>15:45:11.788</v>
      </c>
      <c r="CF758">
        <v>788049157</v>
      </c>
      <c r="CS758">
        <v>0</v>
      </c>
      <c r="CT758">
        <v>2</v>
      </c>
      <c r="CU758">
        <v>0</v>
      </c>
      <c r="CV758">
        <v>2</v>
      </c>
      <c r="CW758">
        <v>0</v>
      </c>
      <c r="CX758">
        <v>7</v>
      </c>
      <c r="CY758">
        <v>7</v>
      </c>
      <c r="CZ758" t="s">
        <v>133</v>
      </c>
      <c r="DA758">
        <v>125</v>
      </c>
      <c r="DB758">
        <v>0</v>
      </c>
      <c r="DC758" t="s">
        <v>134</v>
      </c>
      <c r="DD758" t="s">
        <v>135</v>
      </c>
      <c r="DG758">
        <v>3891897</v>
      </c>
      <c r="DI758">
        <v>0</v>
      </c>
      <c r="DJ758">
        <v>0</v>
      </c>
      <c r="DK758">
        <v>1</v>
      </c>
      <c r="DL758">
        <v>0</v>
      </c>
      <c r="DM758">
        <v>0</v>
      </c>
      <c r="DN758">
        <v>0</v>
      </c>
      <c r="DO758">
        <v>0</v>
      </c>
      <c r="DP758">
        <v>0</v>
      </c>
      <c r="DQ758">
        <v>0</v>
      </c>
      <c r="DR758">
        <v>0</v>
      </c>
      <c r="DS758">
        <v>0</v>
      </c>
    </row>
    <row r="759" spans="1:123" x14ac:dyDescent="0.25">
      <c r="A759" t="str">
        <f>"04/17/2026 15:45:12.876"</f>
        <v>04/17/2026 15:45:12.876</v>
      </c>
      <c r="C759" t="str">
        <f t="shared" si="71"/>
        <v>FFDFD3C0</v>
      </c>
      <c r="D759" t="s">
        <v>136</v>
      </c>
      <c r="E759" t="str">
        <f>"0F"</f>
        <v>0F</v>
      </c>
      <c r="F759">
        <v>1015</v>
      </c>
      <c r="G759" t="s">
        <v>138</v>
      </c>
      <c r="J759" t="s">
        <v>137</v>
      </c>
      <c r="K759">
        <v>0</v>
      </c>
      <c r="L759">
        <v>3</v>
      </c>
      <c r="M759">
        <v>0</v>
      </c>
      <c r="N759">
        <v>2</v>
      </c>
      <c r="O759">
        <v>1</v>
      </c>
      <c r="P759">
        <v>0</v>
      </c>
      <c r="Q759">
        <v>0</v>
      </c>
      <c r="R759" t="s">
        <v>127</v>
      </c>
      <c r="S759" t="str">
        <f t="shared" ref="S759:T762" si="74">"15:45:12.641"</f>
        <v>15:45:12.641</v>
      </c>
      <c r="T759" t="str">
        <f t="shared" si="74"/>
        <v>15:45:12.641</v>
      </c>
      <c r="U759" t="str">
        <f t="shared" si="64"/>
        <v>A55E09</v>
      </c>
      <c r="V759">
        <v>0</v>
      </c>
      <c r="W759">
        <v>0</v>
      </c>
      <c r="X759">
        <v>2</v>
      </c>
      <c r="Y759">
        <v>0</v>
      </c>
      <c r="AA759">
        <v>0</v>
      </c>
      <c r="AB759">
        <v>9</v>
      </c>
      <c r="AC759">
        <v>3</v>
      </c>
      <c r="AD759">
        <v>0</v>
      </c>
      <c r="AE759">
        <v>9</v>
      </c>
      <c r="AF759" t="s">
        <v>128</v>
      </c>
      <c r="AG759">
        <v>0</v>
      </c>
      <c r="AH759">
        <v>0</v>
      </c>
      <c r="AI759">
        <v>1</v>
      </c>
      <c r="AJ759">
        <v>0</v>
      </c>
      <c r="AK759" t="s">
        <v>485</v>
      </c>
      <c r="AL759">
        <v>33.767809999999997</v>
      </c>
      <c r="AM759" t="s">
        <v>486</v>
      </c>
      <c r="AN759">
        <v>-101.22674000000001</v>
      </c>
      <c r="AO759">
        <v>100</v>
      </c>
      <c r="AP759">
        <v>3200</v>
      </c>
      <c r="AQ759" t="s">
        <v>131</v>
      </c>
      <c r="AR759">
        <v>-9</v>
      </c>
      <c r="AS759">
        <v>35</v>
      </c>
      <c r="AT759">
        <v>64</v>
      </c>
      <c r="BB759" t="str">
        <f t="shared" si="72"/>
        <v>1200</v>
      </c>
      <c r="BC759">
        <v>1</v>
      </c>
      <c r="BD759" t="str">
        <f t="shared" si="73"/>
        <v xml:space="preserve">N445JS  </v>
      </c>
      <c r="BE759">
        <v>7</v>
      </c>
      <c r="BG759">
        <v>0</v>
      </c>
      <c r="BH759">
        <v>0</v>
      </c>
      <c r="BI759">
        <v>0</v>
      </c>
      <c r="BJ759">
        <v>3000</v>
      </c>
      <c r="BK759">
        <v>-200</v>
      </c>
      <c r="BL759" t="s">
        <v>132</v>
      </c>
      <c r="BM759">
        <v>1</v>
      </c>
      <c r="BN759">
        <v>1</v>
      </c>
      <c r="BO759">
        <v>1</v>
      </c>
      <c r="BP759">
        <v>0</v>
      </c>
      <c r="BT759">
        <v>0</v>
      </c>
      <c r="BU759">
        <v>0</v>
      </c>
      <c r="CE759" t="str">
        <f>"15:45:12.643"</f>
        <v>15:45:12.643</v>
      </c>
      <c r="CF759">
        <v>642965402</v>
      </c>
      <c r="CS759">
        <v>0</v>
      </c>
      <c r="CT759">
        <v>2</v>
      </c>
      <c r="CU759">
        <v>0</v>
      </c>
      <c r="CV759">
        <v>2</v>
      </c>
      <c r="CW759">
        <v>0</v>
      </c>
      <c r="CX759">
        <v>7</v>
      </c>
      <c r="CY759">
        <v>7</v>
      </c>
      <c r="CZ759" t="s">
        <v>133</v>
      </c>
      <c r="DA759">
        <v>125</v>
      </c>
      <c r="DB759">
        <v>0</v>
      </c>
      <c r="DC759" t="s">
        <v>134</v>
      </c>
      <c r="DD759" t="s">
        <v>135</v>
      </c>
      <c r="DG759">
        <v>3892870</v>
      </c>
      <c r="DI759">
        <v>0</v>
      </c>
      <c r="DJ759">
        <v>0</v>
      </c>
      <c r="DK759">
        <v>1</v>
      </c>
      <c r="DL759">
        <v>0</v>
      </c>
      <c r="DM759">
        <v>0</v>
      </c>
      <c r="DN759">
        <v>0</v>
      </c>
      <c r="DO759">
        <v>0</v>
      </c>
      <c r="DP759">
        <v>0</v>
      </c>
      <c r="DQ759">
        <v>0</v>
      </c>
      <c r="DR759">
        <v>0</v>
      </c>
      <c r="DS759">
        <v>0</v>
      </c>
    </row>
    <row r="760" spans="1:123" x14ac:dyDescent="0.25">
      <c r="A760" t="str">
        <f>"04/17/2026 15:45:12.882"</f>
        <v>04/17/2026 15:45:12.882</v>
      </c>
      <c r="C760" t="str">
        <f t="shared" si="71"/>
        <v>FFDFD3C0</v>
      </c>
      <c r="D760" t="s">
        <v>139</v>
      </c>
      <c r="E760" t="str">
        <f>"28"</f>
        <v>28</v>
      </c>
      <c r="H760">
        <v>140</v>
      </c>
      <c r="I760" t="s">
        <v>140</v>
      </c>
      <c r="J760" t="s">
        <v>141</v>
      </c>
      <c r="K760">
        <v>0</v>
      </c>
      <c r="L760">
        <v>3</v>
      </c>
      <c r="M760">
        <v>0</v>
      </c>
      <c r="N760">
        <v>2</v>
      </c>
      <c r="O760">
        <v>1</v>
      </c>
      <c r="P760">
        <v>0</v>
      </c>
      <c r="Q760">
        <v>0</v>
      </c>
      <c r="R760" t="s">
        <v>127</v>
      </c>
      <c r="S760" t="str">
        <f t="shared" si="74"/>
        <v>15:45:12.641</v>
      </c>
      <c r="T760" t="str">
        <f t="shared" si="74"/>
        <v>15:45:12.641</v>
      </c>
      <c r="U760" t="str">
        <f t="shared" si="64"/>
        <v>A55E09</v>
      </c>
      <c r="V760">
        <v>0</v>
      </c>
      <c r="W760">
        <v>0</v>
      </c>
      <c r="X760">
        <v>2</v>
      </c>
      <c r="Y760">
        <v>0</v>
      </c>
      <c r="AA760">
        <v>0</v>
      </c>
      <c r="AB760">
        <v>9</v>
      </c>
      <c r="AC760">
        <v>3</v>
      </c>
      <c r="AD760">
        <v>0</v>
      </c>
      <c r="AE760">
        <v>9</v>
      </c>
      <c r="AF760" t="s">
        <v>128</v>
      </c>
      <c r="AG760">
        <v>0</v>
      </c>
      <c r="AH760">
        <v>0</v>
      </c>
      <c r="AI760">
        <v>1</v>
      </c>
      <c r="AJ760">
        <v>0</v>
      </c>
      <c r="AK760" t="s">
        <v>485</v>
      </c>
      <c r="AL760">
        <v>33.767809999999997</v>
      </c>
      <c r="AM760" t="s">
        <v>486</v>
      </c>
      <c r="AN760">
        <v>-101.22674000000001</v>
      </c>
      <c r="AO760">
        <v>100</v>
      </c>
      <c r="AP760">
        <v>3200</v>
      </c>
      <c r="AQ760" t="s">
        <v>131</v>
      </c>
      <c r="AR760">
        <v>-9</v>
      </c>
      <c r="AS760">
        <v>35</v>
      </c>
      <c r="AT760">
        <v>64</v>
      </c>
      <c r="BB760" t="str">
        <f t="shared" si="72"/>
        <v>1200</v>
      </c>
      <c r="BC760">
        <v>1</v>
      </c>
      <c r="BD760" t="str">
        <f t="shared" si="73"/>
        <v xml:space="preserve">N445JS  </v>
      </c>
      <c r="BE760">
        <v>7</v>
      </c>
      <c r="BG760">
        <v>0</v>
      </c>
      <c r="BH760">
        <v>0</v>
      </c>
      <c r="BI760">
        <v>0</v>
      </c>
      <c r="BJ760">
        <v>3000</v>
      </c>
      <c r="BK760">
        <v>-200</v>
      </c>
      <c r="BL760" t="s">
        <v>132</v>
      </c>
      <c r="BM760">
        <v>1</v>
      </c>
      <c r="BN760">
        <v>1</v>
      </c>
      <c r="BO760">
        <v>1</v>
      </c>
      <c r="BP760">
        <v>0</v>
      </c>
      <c r="BT760">
        <v>0</v>
      </c>
      <c r="BU760">
        <v>0</v>
      </c>
      <c r="CE760" t="str">
        <f>"15:45:12.643"</f>
        <v>15:45:12.643</v>
      </c>
      <c r="CF760">
        <v>642965402</v>
      </c>
      <c r="CS760">
        <v>0</v>
      </c>
      <c r="CT760">
        <v>2</v>
      </c>
      <c r="CU760">
        <v>0</v>
      </c>
      <c r="CV760">
        <v>2</v>
      </c>
      <c r="CW760">
        <v>0</v>
      </c>
      <c r="CX760">
        <v>7</v>
      </c>
      <c r="CY760">
        <v>7</v>
      </c>
      <c r="CZ760" t="s">
        <v>133</v>
      </c>
      <c r="DA760">
        <v>125</v>
      </c>
      <c r="DB760">
        <v>0</v>
      </c>
      <c r="DC760" t="s">
        <v>134</v>
      </c>
      <c r="DD760" t="s">
        <v>135</v>
      </c>
      <c r="DG760">
        <v>3892870</v>
      </c>
      <c r="DI760">
        <v>0</v>
      </c>
      <c r="DJ760">
        <v>0</v>
      </c>
      <c r="DK760">
        <v>1</v>
      </c>
      <c r="DL760">
        <v>0</v>
      </c>
      <c r="DM760">
        <v>0</v>
      </c>
      <c r="DN760">
        <v>0</v>
      </c>
      <c r="DO760">
        <v>0</v>
      </c>
      <c r="DP760">
        <v>0</v>
      </c>
      <c r="DQ760">
        <v>0</v>
      </c>
      <c r="DR760">
        <v>0</v>
      </c>
      <c r="DS760">
        <v>0</v>
      </c>
    </row>
    <row r="761" spans="1:123" x14ac:dyDescent="0.25">
      <c r="A761" t="str">
        <f>"04/17/2026 15:45:12.890"</f>
        <v>04/17/2026 15:45:12.890</v>
      </c>
      <c r="C761" t="str">
        <f t="shared" si="71"/>
        <v>FFDFD3C0</v>
      </c>
      <c r="D761" t="s">
        <v>124</v>
      </c>
      <c r="E761" t="str">
        <f>"03"</f>
        <v>03</v>
      </c>
      <c r="H761">
        <v>160</v>
      </c>
      <c r="I761" t="s">
        <v>125</v>
      </c>
      <c r="J761" t="s">
        <v>126</v>
      </c>
      <c r="K761">
        <v>0</v>
      </c>
      <c r="L761">
        <v>3</v>
      </c>
      <c r="M761">
        <v>0</v>
      </c>
      <c r="N761">
        <v>2</v>
      </c>
      <c r="O761">
        <v>1</v>
      </c>
      <c r="P761">
        <v>0</v>
      </c>
      <c r="Q761">
        <v>0</v>
      </c>
      <c r="R761" t="s">
        <v>127</v>
      </c>
      <c r="S761" t="str">
        <f t="shared" si="74"/>
        <v>15:45:12.641</v>
      </c>
      <c r="T761" t="str">
        <f t="shared" si="74"/>
        <v>15:45:12.641</v>
      </c>
      <c r="U761" t="str">
        <f t="shared" si="64"/>
        <v>A55E09</v>
      </c>
      <c r="V761">
        <v>0</v>
      </c>
      <c r="W761">
        <v>0</v>
      </c>
      <c r="X761">
        <v>2</v>
      </c>
      <c r="Y761">
        <v>0</v>
      </c>
      <c r="AA761">
        <v>0</v>
      </c>
      <c r="AB761">
        <v>9</v>
      </c>
      <c r="AC761">
        <v>3</v>
      </c>
      <c r="AD761">
        <v>0</v>
      </c>
      <c r="AE761">
        <v>9</v>
      </c>
      <c r="AF761" t="s">
        <v>128</v>
      </c>
      <c r="AG761">
        <v>0</v>
      </c>
      <c r="AH761">
        <v>0</v>
      </c>
      <c r="AI761">
        <v>1</v>
      </c>
      <c r="AJ761">
        <v>0</v>
      </c>
      <c r="AK761" t="s">
        <v>485</v>
      </c>
      <c r="AL761">
        <v>33.767809999999997</v>
      </c>
      <c r="AM761" t="s">
        <v>486</v>
      </c>
      <c r="AN761">
        <v>-101.22674000000001</v>
      </c>
      <c r="AO761">
        <v>100</v>
      </c>
      <c r="AP761">
        <v>3200</v>
      </c>
      <c r="AQ761" t="s">
        <v>131</v>
      </c>
      <c r="AR761">
        <v>-9</v>
      </c>
      <c r="AS761">
        <v>35</v>
      </c>
      <c r="AT761">
        <v>64</v>
      </c>
      <c r="BB761" t="str">
        <f t="shared" si="72"/>
        <v>1200</v>
      </c>
      <c r="BC761">
        <v>1</v>
      </c>
      <c r="BD761" t="str">
        <f t="shared" si="73"/>
        <v xml:space="preserve">N445JS  </v>
      </c>
      <c r="BE761">
        <v>7</v>
      </c>
      <c r="BG761">
        <v>0</v>
      </c>
      <c r="BH761">
        <v>0</v>
      </c>
      <c r="BI761">
        <v>0</v>
      </c>
      <c r="BJ761">
        <v>3000</v>
      </c>
      <c r="BK761">
        <v>-200</v>
      </c>
      <c r="BL761" t="s">
        <v>132</v>
      </c>
      <c r="BM761">
        <v>1</v>
      </c>
      <c r="BN761">
        <v>1</v>
      </c>
      <c r="BO761">
        <v>1</v>
      </c>
      <c r="BP761">
        <v>0</v>
      </c>
      <c r="BT761">
        <v>0</v>
      </c>
      <c r="BU761">
        <v>0</v>
      </c>
      <c r="CE761" t="str">
        <f>"15:45:12.643"</f>
        <v>15:45:12.643</v>
      </c>
      <c r="CF761">
        <v>642965402</v>
      </c>
      <c r="CS761">
        <v>0</v>
      </c>
      <c r="CT761">
        <v>2</v>
      </c>
      <c r="CU761">
        <v>0</v>
      </c>
      <c r="CV761">
        <v>2</v>
      </c>
      <c r="CW761">
        <v>0</v>
      </c>
      <c r="CX761">
        <v>7</v>
      </c>
      <c r="CY761">
        <v>7</v>
      </c>
      <c r="CZ761" t="s">
        <v>133</v>
      </c>
      <c r="DA761">
        <v>125</v>
      </c>
      <c r="DB761">
        <v>0</v>
      </c>
      <c r="DC761" t="s">
        <v>134</v>
      </c>
      <c r="DD761" t="s">
        <v>135</v>
      </c>
      <c r="DG761">
        <v>3892870</v>
      </c>
      <c r="DI761">
        <v>0</v>
      </c>
      <c r="DJ761">
        <v>0</v>
      </c>
      <c r="DK761">
        <v>1</v>
      </c>
      <c r="DL761">
        <v>0</v>
      </c>
      <c r="DM761">
        <v>0</v>
      </c>
      <c r="DN761">
        <v>0</v>
      </c>
      <c r="DO761">
        <v>0</v>
      </c>
      <c r="DP761">
        <v>0</v>
      </c>
      <c r="DQ761">
        <v>0</v>
      </c>
      <c r="DR761">
        <v>0</v>
      </c>
      <c r="DS761">
        <v>0</v>
      </c>
    </row>
    <row r="762" spans="1:123" x14ac:dyDescent="0.25">
      <c r="A762" t="str">
        <f>"04/17/2026 15:45:12.910"</f>
        <v>04/17/2026 15:45:12.910</v>
      </c>
      <c r="C762" t="str">
        <f t="shared" si="71"/>
        <v>FFDFD3C0</v>
      </c>
      <c r="D762" t="s">
        <v>136</v>
      </c>
      <c r="E762" t="str">
        <f>"0E"</f>
        <v>0E</v>
      </c>
      <c r="F762">
        <v>1014</v>
      </c>
      <c r="G762" t="s">
        <v>125</v>
      </c>
      <c r="J762" t="s">
        <v>137</v>
      </c>
      <c r="K762">
        <v>0</v>
      </c>
      <c r="L762">
        <v>3</v>
      </c>
      <c r="M762">
        <v>0</v>
      </c>
      <c r="N762">
        <v>2</v>
      </c>
      <c r="O762">
        <v>1</v>
      </c>
      <c r="P762">
        <v>0</v>
      </c>
      <c r="Q762">
        <v>0</v>
      </c>
      <c r="R762" t="s">
        <v>127</v>
      </c>
      <c r="S762" t="str">
        <f t="shared" si="74"/>
        <v>15:45:12.641</v>
      </c>
      <c r="T762" t="str">
        <f t="shared" si="74"/>
        <v>15:45:12.641</v>
      </c>
      <c r="U762" t="str">
        <f t="shared" si="64"/>
        <v>A55E09</v>
      </c>
      <c r="V762">
        <v>0</v>
      </c>
      <c r="W762">
        <v>0</v>
      </c>
      <c r="X762">
        <v>2</v>
      </c>
      <c r="Y762">
        <v>0</v>
      </c>
      <c r="AA762">
        <v>0</v>
      </c>
      <c r="AB762">
        <v>9</v>
      </c>
      <c r="AC762">
        <v>3</v>
      </c>
      <c r="AD762">
        <v>0</v>
      </c>
      <c r="AE762">
        <v>9</v>
      </c>
      <c r="AF762" t="s">
        <v>128</v>
      </c>
      <c r="AG762">
        <v>0</v>
      </c>
      <c r="AH762">
        <v>0</v>
      </c>
      <c r="AI762">
        <v>1</v>
      </c>
      <c r="AJ762">
        <v>0</v>
      </c>
      <c r="AK762" t="s">
        <v>485</v>
      </c>
      <c r="AL762">
        <v>33.767809999999997</v>
      </c>
      <c r="AM762" t="s">
        <v>486</v>
      </c>
      <c r="AN762">
        <v>-101.22674000000001</v>
      </c>
      <c r="AO762">
        <v>100</v>
      </c>
      <c r="AP762">
        <v>3200</v>
      </c>
      <c r="AQ762" t="s">
        <v>131</v>
      </c>
      <c r="AR762">
        <v>-9</v>
      </c>
      <c r="AS762">
        <v>35</v>
      </c>
      <c r="AT762">
        <v>64</v>
      </c>
      <c r="BB762" t="str">
        <f t="shared" si="72"/>
        <v>1200</v>
      </c>
      <c r="BC762">
        <v>1</v>
      </c>
      <c r="BD762" t="str">
        <f t="shared" si="73"/>
        <v xml:space="preserve">N445JS  </v>
      </c>
      <c r="BE762">
        <v>7</v>
      </c>
      <c r="BG762">
        <v>0</v>
      </c>
      <c r="BH762">
        <v>0</v>
      </c>
      <c r="BI762">
        <v>0</v>
      </c>
      <c r="BJ762">
        <v>3000</v>
      </c>
      <c r="BK762">
        <v>-200</v>
      </c>
      <c r="BL762" t="s">
        <v>132</v>
      </c>
      <c r="BM762">
        <v>1</v>
      </c>
      <c r="BN762">
        <v>1</v>
      </c>
      <c r="BO762">
        <v>1</v>
      </c>
      <c r="BP762">
        <v>0</v>
      </c>
      <c r="BT762">
        <v>0</v>
      </c>
      <c r="BU762">
        <v>0</v>
      </c>
      <c r="CE762" t="str">
        <f>"15:45:12.643"</f>
        <v>15:45:12.643</v>
      </c>
      <c r="CF762">
        <v>642965402</v>
      </c>
      <c r="CS762">
        <v>0</v>
      </c>
      <c r="CT762">
        <v>2</v>
      </c>
      <c r="CU762">
        <v>0</v>
      </c>
      <c r="CV762">
        <v>2</v>
      </c>
      <c r="CW762">
        <v>0</v>
      </c>
      <c r="CX762">
        <v>7</v>
      </c>
      <c r="CY762">
        <v>7</v>
      </c>
      <c r="CZ762" t="s">
        <v>133</v>
      </c>
      <c r="DA762">
        <v>125</v>
      </c>
      <c r="DB762">
        <v>0</v>
      </c>
      <c r="DC762" t="s">
        <v>134</v>
      </c>
      <c r="DD762" t="s">
        <v>135</v>
      </c>
      <c r="DG762">
        <v>3892870</v>
      </c>
      <c r="DI762">
        <v>0</v>
      </c>
      <c r="DJ762">
        <v>0</v>
      </c>
      <c r="DK762">
        <v>1</v>
      </c>
      <c r="DL762">
        <v>0</v>
      </c>
      <c r="DM762">
        <v>0</v>
      </c>
      <c r="DN762">
        <v>0</v>
      </c>
      <c r="DO762">
        <v>0</v>
      </c>
      <c r="DP762">
        <v>0</v>
      </c>
      <c r="DQ762">
        <v>0</v>
      </c>
      <c r="DR762">
        <v>0</v>
      </c>
      <c r="DS762">
        <v>0</v>
      </c>
    </row>
    <row r="763" spans="1:123" x14ac:dyDescent="0.25">
      <c r="A763" t="str">
        <f>"04/17/2026 15:45:13.891"</f>
        <v>04/17/2026 15:45:13.891</v>
      </c>
      <c r="C763" t="str">
        <f t="shared" si="71"/>
        <v>FFDFD3C0</v>
      </c>
      <c r="D763" t="s">
        <v>124</v>
      </c>
      <c r="E763" t="str">
        <f>"03"</f>
        <v>03</v>
      </c>
      <c r="H763">
        <v>160</v>
      </c>
      <c r="I763" t="s">
        <v>125</v>
      </c>
      <c r="J763" t="s">
        <v>126</v>
      </c>
      <c r="K763">
        <v>0</v>
      </c>
      <c r="L763">
        <v>3</v>
      </c>
      <c r="M763">
        <v>0</v>
      </c>
      <c r="N763">
        <v>2</v>
      </c>
      <c r="O763">
        <v>1</v>
      </c>
      <c r="P763">
        <v>0</v>
      </c>
      <c r="Q763">
        <v>0</v>
      </c>
      <c r="R763" t="s">
        <v>127</v>
      </c>
      <c r="S763" t="str">
        <f>"15:45:13.641"</f>
        <v>15:45:13.641</v>
      </c>
      <c r="T763" t="str">
        <f>"15:45:13.241"</f>
        <v>15:45:13.241</v>
      </c>
      <c r="U763" t="str">
        <f t="shared" si="64"/>
        <v>A55E09</v>
      </c>
      <c r="V763">
        <v>0</v>
      </c>
      <c r="W763">
        <v>0</v>
      </c>
      <c r="X763">
        <v>2</v>
      </c>
      <c r="Y763">
        <v>0</v>
      </c>
      <c r="AA763">
        <v>0</v>
      </c>
      <c r="AB763">
        <v>9</v>
      </c>
      <c r="AC763">
        <v>3</v>
      </c>
      <c r="AD763">
        <v>0</v>
      </c>
      <c r="AE763">
        <v>9</v>
      </c>
      <c r="AF763" t="s">
        <v>128</v>
      </c>
      <c r="AG763">
        <v>0</v>
      </c>
      <c r="AH763">
        <v>0</v>
      </c>
      <c r="AI763">
        <v>1</v>
      </c>
      <c r="AJ763">
        <v>0</v>
      </c>
      <c r="AK763" t="s">
        <v>487</v>
      </c>
      <c r="AL763">
        <v>33.767960000000002</v>
      </c>
      <c r="AM763" t="s">
        <v>488</v>
      </c>
      <c r="AN763">
        <v>-101.226761</v>
      </c>
      <c r="AO763">
        <v>100</v>
      </c>
      <c r="AP763">
        <v>3200</v>
      </c>
      <c r="AQ763" t="s">
        <v>131</v>
      </c>
      <c r="AR763">
        <v>-11</v>
      </c>
      <c r="AS763">
        <v>33</v>
      </c>
      <c r="AT763">
        <v>64</v>
      </c>
      <c r="BB763" t="str">
        <f t="shared" si="72"/>
        <v>1200</v>
      </c>
      <c r="BC763">
        <v>1</v>
      </c>
      <c r="BD763" t="str">
        <f t="shared" si="73"/>
        <v xml:space="preserve">N445JS  </v>
      </c>
      <c r="BE763">
        <v>7</v>
      </c>
      <c r="BG763">
        <v>0</v>
      </c>
      <c r="BH763">
        <v>0</v>
      </c>
      <c r="BI763">
        <v>0</v>
      </c>
      <c r="BJ763">
        <v>3000</v>
      </c>
      <c r="BK763">
        <v>-200</v>
      </c>
      <c r="BL763" t="s">
        <v>132</v>
      </c>
      <c r="BM763">
        <v>1</v>
      </c>
      <c r="BN763">
        <v>1</v>
      </c>
      <c r="BO763">
        <v>1</v>
      </c>
      <c r="BP763">
        <v>0</v>
      </c>
      <c r="BT763">
        <v>0</v>
      </c>
      <c r="BU763">
        <v>0</v>
      </c>
      <c r="CE763" t="str">
        <f>"15:45:13.648"</f>
        <v>15:45:13.648</v>
      </c>
      <c r="CF763">
        <v>647866935</v>
      </c>
      <c r="CS763">
        <v>0</v>
      </c>
      <c r="CT763">
        <v>2</v>
      </c>
      <c r="CU763">
        <v>0</v>
      </c>
      <c r="CV763">
        <v>2</v>
      </c>
      <c r="CW763">
        <v>0</v>
      </c>
      <c r="CX763">
        <v>7</v>
      </c>
      <c r="CY763">
        <v>7</v>
      </c>
      <c r="CZ763" t="s">
        <v>133</v>
      </c>
      <c r="DA763">
        <v>125</v>
      </c>
      <c r="DB763">
        <v>1</v>
      </c>
      <c r="DC763" t="s">
        <v>134</v>
      </c>
      <c r="DD763" t="s">
        <v>135</v>
      </c>
      <c r="DG763">
        <v>2915957</v>
      </c>
      <c r="DI763">
        <v>0</v>
      </c>
      <c r="DJ763">
        <v>0</v>
      </c>
      <c r="DK763">
        <v>0</v>
      </c>
      <c r="DL763">
        <v>0</v>
      </c>
      <c r="DM763">
        <v>0</v>
      </c>
      <c r="DN763">
        <v>0</v>
      </c>
      <c r="DO763">
        <v>0</v>
      </c>
      <c r="DP763">
        <v>0</v>
      </c>
      <c r="DQ763">
        <v>0</v>
      </c>
      <c r="DR763">
        <v>0</v>
      </c>
      <c r="DS763">
        <v>0</v>
      </c>
    </row>
    <row r="764" spans="1:123" x14ac:dyDescent="0.25">
      <c r="A764" t="str">
        <f>"04/17/2026 15:45:13.913"</f>
        <v>04/17/2026 15:45:13.913</v>
      </c>
      <c r="C764" t="str">
        <f t="shared" si="71"/>
        <v>FFDFD3C0</v>
      </c>
      <c r="D764" t="s">
        <v>136</v>
      </c>
      <c r="E764" t="str">
        <f>"0E"</f>
        <v>0E</v>
      </c>
      <c r="F764">
        <v>1014</v>
      </c>
      <c r="G764" t="s">
        <v>125</v>
      </c>
      <c r="J764" t="s">
        <v>137</v>
      </c>
      <c r="K764">
        <v>0</v>
      </c>
      <c r="L764">
        <v>3</v>
      </c>
      <c r="M764">
        <v>0</v>
      </c>
      <c r="N764">
        <v>2</v>
      </c>
      <c r="O764">
        <v>1</v>
      </c>
      <c r="P764">
        <v>0</v>
      </c>
      <c r="Q764">
        <v>0</v>
      </c>
      <c r="R764" t="s">
        <v>127</v>
      </c>
      <c r="S764" t="str">
        <f>"15:45:13.641"</f>
        <v>15:45:13.641</v>
      </c>
      <c r="T764" t="str">
        <f>"15:45:13.241"</f>
        <v>15:45:13.241</v>
      </c>
      <c r="U764" t="str">
        <f t="shared" si="64"/>
        <v>A55E09</v>
      </c>
      <c r="V764">
        <v>0</v>
      </c>
      <c r="W764">
        <v>0</v>
      </c>
      <c r="X764">
        <v>2</v>
      </c>
      <c r="Y764">
        <v>0</v>
      </c>
      <c r="AA764">
        <v>0</v>
      </c>
      <c r="AB764">
        <v>9</v>
      </c>
      <c r="AC764">
        <v>3</v>
      </c>
      <c r="AD764">
        <v>0</v>
      </c>
      <c r="AE764">
        <v>9</v>
      </c>
      <c r="AF764" t="s">
        <v>128</v>
      </c>
      <c r="AG764">
        <v>0</v>
      </c>
      <c r="AH764">
        <v>0</v>
      </c>
      <c r="AI764">
        <v>1</v>
      </c>
      <c r="AJ764">
        <v>0</v>
      </c>
      <c r="AK764" t="s">
        <v>487</v>
      </c>
      <c r="AL764">
        <v>33.767960000000002</v>
      </c>
      <c r="AM764" t="s">
        <v>488</v>
      </c>
      <c r="AN764">
        <v>-101.226761</v>
      </c>
      <c r="AO764">
        <v>100</v>
      </c>
      <c r="AP764">
        <v>3200</v>
      </c>
      <c r="AQ764" t="s">
        <v>131</v>
      </c>
      <c r="AR764">
        <v>-11</v>
      </c>
      <c r="AS764">
        <v>33</v>
      </c>
      <c r="AT764">
        <v>64</v>
      </c>
      <c r="BB764" t="str">
        <f t="shared" si="72"/>
        <v>1200</v>
      </c>
      <c r="BC764">
        <v>1</v>
      </c>
      <c r="BD764" t="str">
        <f t="shared" si="73"/>
        <v xml:space="preserve">N445JS  </v>
      </c>
      <c r="BE764">
        <v>7</v>
      </c>
      <c r="BG764">
        <v>0</v>
      </c>
      <c r="BH764">
        <v>0</v>
      </c>
      <c r="BI764">
        <v>0</v>
      </c>
      <c r="BJ764">
        <v>3000</v>
      </c>
      <c r="BK764">
        <v>-200</v>
      </c>
      <c r="BL764" t="s">
        <v>132</v>
      </c>
      <c r="BM764">
        <v>1</v>
      </c>
      <c r="BN764">
        <v>1</v>
      </c>
      <c r="BO764">
        <v>1</v>
      </c>
      <c r="BP764">
        <v>0</v>
      </c>
      <c r="BT764">
        <v>0</v>
      </c>
      <c r="BU764">
        <v>0</v>
      </c>
      <c r="CE764" t="str">
        <f>"15:45:13.648"</f>
        <v>15:45:13.648</v>
      </c>
      <c r="CF764">
        <v>647866935</v>
      </c>
      <c r="CS764">
        <v>0</v>
      </c>
      <c r="CT764">
        <v>2</v>
      </c>
      <c r="CU764">
        <v>0</v>
      </c>
      <c r="CV764">
        <v>2</v>
      </c>
      <c r="CW764">
        <v>0</v>
      </c>
      <c r="CX764">
        <v>7</v>
      </c>
      <c r="CY764">
        <v>7</v>
      </c>
      <c r="CZ764" t="s">
        <v>133</v>
      </c>
      <c r="DA764">
        <v>125</v>
      </c>
      <c r="DB764">
        <v>1</v>
      </c>
      <c r="DC764" t="s">
        <v>134</v>
      </c>
      <c r="DD764" t="s">
        <v>135</v>
      </c>
      <c r="DG764">
        <v>2915957</v>
      </c>
      <c r="DI764">
        <v>0</v>
      </c>
      <c r="DJ764">
        <v>0</v>
      </c>
      <c r="DK764">
        <v>1</v>
      </c>
      <c r="DL764">
        <v>0</v>
      </c>
      <c r="DM764">
        <v>0</v>
      </c>
      <c r="DN764">
        <v>0</v>
      </c>
      <c r="DO764">
        <v>0</v>
      </c>
      <c r="DP764">
        <v>0</v>
      </c>
      <c r="DQ764">
        <v>0</v>
      </c>
      <c r="DR764">
        <v>0</v>
      </c>
      <c r="DS764">
        <v>0</v>
      </c>
    </row>
    <row r="765" spans="1:123" x14ac:dyDescent="0.25">
      <c r="A765" t="str">
        <f>"04/17/2026 15:45:13.927"</f>
        <v>04/17/2026 15:45:13.927</v>
      </c>
      <c r="C765" t="str">
        <f t="shared" si="71"/>
        <v>FFDFD3C0</v>
      </c>
      <c r="D765" t="s">
        <v>136</v>
      </c>
      <c r="E765" t="str">
        <f>"0F"</f>
        <v>0F</v>
      </c>
      <c r="F765">
        <v>1015</v>
      </c>
      <c r="G765" t="s">
        <v>138</v>
      </c>
      <c r="J765" t="s">
        <v>137</v>
      </c>
      <c r="K765">
        <v>0</v>
      </c>
      <c r="L765">
        <v>3</v>
      </c>
      <c r="M765">
        <v>0</v>
      </c>
      <c r="N765">
        <v>2</v>
      </c>
      <c r="O765">
        <v>1</v>
      </c>
      <c r="P765">
        <v>0</v>
      </c>
      <c r="Q765">
        <v>0</v>
      </c>
      <c r="R765" t="s">
        <v>127</v>
      </c>
      <c r="S765" t="str">
        <f>"15:45:13.641"</f>
        <v>15:45:13.641</v>
      </c>
      <c r="T765" t="str">
        <f>"15:45:13.241"</f>
        <v>15:45:13.241</v>
      </c>
      <c r="U765" t="str">
        <f t="shared" si="64"/>
        <v>A55E09</v>
      </c>
      <c r="V765">
        <v>0</v>
      </c>
      <c r="W765">
        <v>0</v>
      </c>
      <c r="X765">
        <v>2</v>
      </c>
      <c r="Y765">
        <v>0</v>
      </c>
      <c r="AA765">
        <v>0</v>
      </c>
      <c r="AB765">
        <v>9</v>
      </c>
      <c r="AC765">
        <v>3</v>
      </c>
      <c r="AD765">
        <v>0</v>
      </c>
      <c r="AE765">
        <v>9</v>
      </c>
      <c r="AF765" t="s">
        <v>128</v>
      </c>
      <c r="AG765">
        <v>0</v>
      </c>
      <c r="AH765">
        <v>0</v>
      </c>
      <c r="AI765">
        <v>1</v>
      </c>
      <c r="AJ765">
        <v>0</v>
      </c>
      <c r="AK765" t="s">
        <v>487</v>
      </c>
      <c r="AL765">
        <v>33.767960000000002</v>
      </c>
      <c r="AM765" t="s">
        <v>488</v>
      </c>
      <c r="AN765">
        <v>-101.226761</v>
      </c>
      <c r="AO765">
        <v>100</v>
      </c>
      <c r="AP765">
        <v>3200</v>
      </c>
      <c r="AQ765" t="s">
        <v>131</v>
      </c>
      <c r="AR765">
        <v>-11</v>
      </c>
      <c r="AS765">
        <v>33</v>
      </c>
      <c r="AT765">
        <v>64</v>
      </c>
      <c r="BB765" t="str">
        <f t="shared" si="72"/>
        <v>1200</v>
      </c>
      <c r="BC765">
        <v>1</v>
      </c>
      <c r="BD765" t="str">
        <f t="shared" si="73"/>
        <v xml:space="preserve">N445JS  </v>
      </c>
      <c r="BE765">
        <v>7</v>
      </c>
      <c r="BG765">
        <v>0</v>
      </c>
      <c r="BH765">
        <v>0</v>
      </c>
      <c r="BI765">
        <v>0</v>
      </c>
      <c r="BJ765">
        <v>3000</v>
      </c>
      <c r="BK765">
        <v>-200</v>
      </c>
      <c r="BL765" t="s">
        <v>132</v>
      </c>
      <c r="BM765">
        <v>1</v>
      </c>
      <c r="BN765">
        <v>1</v>
      </c>
      <c r="BO765">
        <v>1</v>
      </c>
      <c r="BP765">
        <v>0</v>
      </c>
      <c r="BT765">
        <v>0</v>
      </c>
      <c r="BU765">
        <v>0</v>
      </c>
      <c r="CE765" t="str">
        <f>"15:45:13.648"</f>
        <v>15:45:13.648</v>
      </c>
      <c r="CF765">
        <v>647866935</v>
      </c>
      <c r="CS765">
        <v>0</v>
      </c>
      <c r="CT765">
        <v>2</v>
      </c>
      <c r="CU765">
        <v>0</v>
      </c>
      <c r="CV765">
        <v>2</v>
      </c>
      <c r="CW765">
        <v>0</v>
      </c>
      <c r="CX765">
        <v>7</v>
      </c>
      <c r="CY765">
        <v>7</v>
      </c>
      <c r="CZ765" t="s">
        <v>133</v>
      </c>
      <c r="DA765">
        <v>125</v>
      </c>
      <c r="DB765">
        <v>1</v>
      </c>
      <c r="DC765" t="s">
        <v>134</v>
      </c>
      <c r="DD765" t="s">
        <v>135</v>
      </c>
      <c r="DG765">
        <v>2915957</v>
      </c>
      <c r="DI765">
        <v>0</v>
      </c>
      <c r="DJ765">
        <v>0</v>
      </c>
      <c r="DK765">
        <v>1</v>
      </c>
      <c r="DL765">
        <v>0</v>
      </c>
      <c r="DM765">
        <v>0</v>
      </c>
      <c r="DN765">
        <v>0</v>
      </c>
      <c r="DO765">
        <v>0</v>
      </c>
      <c r="DP765">
        <v>0</v>
      </c>
      <c r="DQ765">
        <v>0</v>
      </c>
      <c r="DR765">
        <v>0</v>
      </c>
      <c r="DS765">
        <v>0</v>
      </c>
    </row>
    <row r="766" spans="1:123" x14ac:dyDescent="0.25">
      <c r="A766" t="str">
        <f>"04/17/2026 15:45:13.935"</f>
        <v>04/17/2026 15:45:13.935</v>
      </c>
      <c r="C766" t="str">
        <f t="shared" si="71"/>
        <v>FFDFD3C0</v>
      </c>
      <c r="D766" t="s">
        <v>139</v>
      </c>
      <c r="E766" t="str">
        <f>"28"</f>
        <v>28</v>
      </c>
      <c r="H766">
        <v>140</v>
      </c>
      <c r="I766" t="s">
        <v>140</v>
      </c>
      <c r="J766" t="s">
        <v>141</v>
      </c>
      <c r="K766">
        <v>0</v>
      </c>
      <c r="L766">
        <v>3</v>
      </c>
      <c r="M766">
        <v>0</v>
      </c>
      <c r="N766">
        <v>2</v>
      </c>
      <c r="O766">
        <v>1</v>
      </c>
      <c r="P766">
        <v>0</v>
      </c>
      <c r="Q766">
        <v>0</v>
      </c>
      <c r="R766" t="s">
        <v>127</v>
      </c>
      <c r="S766" t="str">
        <f>"15:45:13.641"</f>
        <v>15:45:13.641</v>
      </c>
      <c r="T766" t="str">
        <f>"15:45:13.241"</f>
        <v>15:45:13.241</v>
      </c>
      <c r="U766" t="str">
        <f t="shared" si="64"/>
        <v>A55E09</v>
      </c>
      <c r="V766">
        <v>0</v>
      </c>
      <c r="W766">
        <v>0</v>
      </c>
      <c r="X766">
        <v>2</v>
      </c>
      <c r="Y766">
        <v>0</v>
      </c>
      <c r="AA766">
        <v>0</v>
      </c>
      <c r="AB766">
        <v>9</v>
      </c>
      <c r="AC766">
        <v>3</v>
      </c>
      <c r="AD766">
        <v>0</v>
      </c>
      <c r="AE766">
        <v>9</v>
      </c>
      <c r="AF766" t="s">
        <v>128</v>
      </c>
      <c r="AG766">
        <v>0</v>
      </c>
      <c r="AH766">
        <v>0</v>
      </c>
      <c r="AI766">
        <v>1</v>
      </c>
      <c r="AJ766">
        <v>0</v>
      </c>
      <c r="AK766" t="s">
        <v>487</v>
      </c>
      <c r="AL766">
        <v>33.767960000000002</v>
      </c>
      <c r="AM766" t="s">
        <v>488</v>
      </c>
      <c r="AN766">
        <v>-101.226761</v>
      </c>
      <c r="AO766">
        <v>100</v>
      </c>
      <c r="AP766">
        <v>3200</v>
      </c>
      <c r="AQ766" t="s">
        <v>131</v>
      </c>
      <c r="AR766">
        <v>-11</v>
      </c>
      <c r="AS766">
        <v>33</v>
      </c>
      <c r="AT766">
        <v>64</v>
      </c>
      <c r="BB766" t="str">
        <f t="shared" si="72"/>
        <v>1200</v>
      </c>
      <c r="BC766">
        <v>1</v>
      </c>
      <c r="BD766" t="str">
        <f t="shared" si="73"/>
        <v xml:space="preserve">N445JS  </v>
      </c>
      <c r="BE766">
        <v>7</v>
      </c>
      <c r="BG766">
        <v>0</v>
      </c>
      <c r="BH766">
        <v>0</v>
      </c>
      <c r="BI766">
        <v>0</v>
      </c>
      <c r="BJ766">
        <v>3000</v>
      </c>
      <c r="BK766">
        <v>-200</v>
      </c>
      <c r="BL766" t="s">
        <v>132</v>
      </c>
      <c r="BM766">
        <v>1</v>
      </c>
      <c r="BN766">
        <v>1</v>
      </c>
      <c r="BO766">
        <v>1</v>
      </c>
      <c r="BP766">
        <v>0</v>
      </c>
      <c r="BT766">
        <v>0</v>
      </c>
      <c r="BU766">
        <v>0</v>
      </c>
      <c r="CE766" t="str">
        <f>"15:45:13.648"</f>
        <v>15:45:13.648</v>
      </c>
      <c r="CF766">
        <v>647866935</v>
      </c>
      <c r="CS766">
        <v>0</v>
      </c>
      <c r="CT766">
        <v>2</v>
      </c>
      <c r="CU766">
        <v>0</v>
      </c>
      <c r="CV766">
        <v>2</v>
      </c>
      <c r="CW766">
        <v>0</v>
      </c>
      <c r="CX766">
        <v>7</v>
      </c>
      <c r="CY766">
        <v>7</v>
      </c>
      <c r="CZ766" t="s">
        <v>133</v>
      </c>
      <c r="DA766">
        <v>125</v>
      </c>
      <c r="DB766">
        <v>1</v>
      </c>
      <c r="DC766" t="s">
        <v>134</v>
      </c>
      <c r="DD766" t="s">
        <v>135</v>
      </c>
      <c r="DG766">
        <v>2915957</v>
      </c>
      <c r="DI766">
        <v>0</v>
      </c>
      <c r="DJ766">
        <v>0</v>
      </c>
      <c r="DK766">
        <v>1</v>
      </c>
      <c r="DL766">
        <v>0</v>
      </c>
      <c r="DM766">
        <v>0</v>
      </c>
      <c r="DN766">
        <v>0</v>
      </c>
      <c r="DO766">
        <v>0</v>
      </c>
      <c r="DP766">
        <v>0</v>
      </c>
      <c r="DQ766">
        <v>0</v>
      </c>
      <c r="DR766">
        <v>0</v>
      </c>
      <c r="DS766">
        <v>0</v>
      </c>
    </row>
    <row r="767" spans="1:123" x14ac:dyDescent="0.25">
      <c r="A767" t="str">
        <f>"04/17/2026 15:45:14.964"</f>
        <v>04/17/2026 15:45:14.964</v>
      </c>
      <c r="C767" t="str">
        <f t="shared" si="71"/>
        <v>FFDFD3C0</v>
      </c>
      <c r="D767" t="s">
        <v>136</v>
      </c>
      <c r="E767" t="str">
        <f>"0E"</f>
        <v>0E</v>
      </c>
      <c r="F767">
        <v>1014</v>
      </c>
      <c r="G767" t="s">
        <v>125</v>
      </c>
      <c r="J767" t="s">
        <v>137</v>
      </c>
      <c r="K767">
        <v>0</v>
      </c>
      <c r="L767">
        <v>3</v>
      </c>
      <c r="M767">
        <v>0</v>
      </c>
      <c r="N767">
        <v>2</v>
      </c>
      <c r="O767">
        <v>1</v>
      </c>
      <c r="P767">
        <v>0</v>
      </c>
      <c r="Q767">
        <v>0</v>
      </c>
      <c r="R767" t="s">
        <v>127</v>
      </c>
      <c r="S767" t="str">
        <f t="shared" ref="S767:T770" si="75">"15:45:14.711"</f>
        <v>15:45:14.711</v>
      </c>
      <c r="T767" t="str">
        <f t="shared" si="75"/>
        <v>15:45:14.711</v>
      </c>
      <c r="U767" t="str">
        <f t="shared" si="64"/>
        <v>A55E09</v>
      </c>
      <c r="V767">
        <v>0</v>
      </c>
      <c r="W767">
        <v>0</v>
      </c>
      <c r="X767">
        <v>2</v>
      </c>
      <c r="Y767">
        <v>0</v>
      </c>
      <c r="AA767">
        <v>0</v>
      </c>
      <c r="AB767">
        <v>9</v>
      </c>
      <c r="AC767">
        <v>3</v>
      </c>
      <c r="AD767">
        <v>0</v>
      </c>
      <c r="AE767">
        <v>9</v>
      </c>
      <c r="AF767" t="s">
        <v>128</v>
      </c>
      <c r="AG767">
        <v>0</v>
      </c>
      <c r="AH767">
        <v>0</v>
      </c>
      <c r="AI767">
        <v>1</v>
      </c>
      <c r="AJ767">
        <v>0</v>
      </c>
      <c r="AK767" t="s">
        <v>489</v>
      </c>
      <c r="AL767">
        <v>33.768089000000003</v>
      </c>
      <c r="AM767" t="s">
        <v>490</v>
      </c>
      <c r="AN767">
        <v>-101.22684700000001</v>
      </c>
      <c r="AO767">
        <v>100</v>
      </c>
      <c r="AP767">
        <v>3200</v>
      </c>
      <c r="AQ767" t="s">
        <v>131</v>
      </c>
      <c r="AR767">
        <v>-14</v>
      </c>
      <c r="AS767">
        <v>29</v>
      </c>
      <c r="AT767">
        <v>-192</v>
      </c>
      <c r="BB767" t="str">
        <f t="shared" si="72"/>
        <v>1200</v>
      </c>
      <c r="BC767">
        <v>1</v>
      </c>
      <c r="BD767" t="str">
        <f t="shared" si="73"/>
        <v xml:space="preserve">N445JS  </v>
      </c>
      <c r="BE767">
        <v>7</v>
      </c>
      <c r="BG767">
        <v>0</v>
      </c>
      <c r="BH767">
        <v>0</v>
      </c>
      <c r="BI767">
        <v>0</v>
      </c>
      <c r="BJ767">
        <v>3000</v>
      </c>
      <c r="BK767">
        <v>-200</v>
      </c>
      <c r="BL767" t="s">
        <v>132</v>
      </c>
      <c r="BM767">
        <v>1</v>
      </c>
      <c r="BN767">
        <v>1</v>
      </c>
      <c r="BO767">
        <v>1</v>
      </c>
      <c r="BP767">
        <v>0</v>
      </c>
      <c r="BT767">
        <v>0</v>
      </c>
      <c r="BU767">
        <v>0</v>
      </c>
      <c r="CE767" t="str">
        <f>"15:45:14.713"</f>
        <v>15:45:14.713</v>
      </c>
      <c r="CF767">
        <v>712762618</v>
      </c>
      <c r="CS767">
        <v>0</v>
      </c>
      <c r="CT767">
        <v>2</v>
      </c>
      <c r="CU767">
        <v>0</v>
      </c>
      <c r="CV767">
        <v>2</v>
      </c>
      <c r="CW767">
        <v>0</v>
      </c>
      <c r="CX767">
        <v>7</v>
      </c>
      <c r="CY767">
        <v>7</v>
      </c>
      <c r="CZ767" t="s">
        <v>133</v>
      </c>
      <c r="DA767">
        <v>125</v>
      </c>
      <c r="DB767">
        <v>0</v>
      </c>
      <c r="DC767" t="s">
        <v>134</v>
      </c>
      <c r="DD767" t="s">
        <v>135</v>
      </c>
      <c r="DG767">
        <v>3895031</v>
      </c>
      <c r="DI767">
        <v>0</v>
      </c>
      <c r="DJ767">
        <v>0</v>
      </c>
      <c r="DK767">
        <v>0</v>
      </c>
      <c r="DL767">
        <v>0</v>
      </c>
      <c r="DM767">
        <v>0</v>
      </c>
      <c r="DN767">
        <v>0</v>
      </c>
      <c r="DO767">
        <v>0</v>
      </c>
      <c r="DP767">
        <v>0</v>
      </c>
      <c r="DQ767">
        <v>0</v>
      </c>
      <c r="DR767">
        <v>0</v>
      </c>
      <c r="DS767">
        <v>0</v>
      </c>
    </row>
    <row r="768" spans="1:123" x14ac:dyDescent="0.25">
      <c r="A768" t="str">
        <f>"04/17/2026 15:45:14.978"</f>
        <v>04/17/2026 15:45:14.978</v>
      </c>
      <c r="C768" t="str">
        <f t="shared" si="71"/>
        <v>FFDFD3C0</v>
      </c>
      <c r="D768" t="s">
        <v>136</v>
      </c>
      <c r="E768" t="str">
        <f>"0F"</f>
        <v>0F</v>
      </c>
      <c r="F768">
        <v>1015</v>
      </c>
      <c r="G768" t="s">
        <v>138</v>
      </c>
      <c r="J768" t="s">
        <v>137</v>
      </c>
      <c r="K768">
        <v>0</v>
      </c>
      <c r="L768">
        <v>3</v>
      </c>
      <c r="M768">
        <v>0</v>
      </c>
      <c r="N768">
        <v>2</v>
      </c>
      <c r="O768">
        <v>1</v>
      </c>
      <c r="P768">
        <v>0</v>
      </c>
      <c r="Q768">
        <v>0</v>
      </c>
      <c r="R768" t="s">
        <v>127</v>
      </c>
      <c r="S768" t="str">
        <f t="shared" si="75"/>
        <v>15:45:14.711</v>
      </c>
      <c r="T768" t="str">
        <f t="shared" si="75"/>
        <v>15:45:14.711</v>
      </c>
      <c r="U768" t="str">
        <f t="shared" si="64"/>
        <v>A55E09</v>
      </c>
      <c r="V768">
        <v>0</v>
      </c>
      <c r="W768">
        <v>0</v>
      </c>
      <c r="X768">
        <v>2</v>
      </c>
      <c r="Y768">
        <v>0</v>
      </c>
      <c r="AA768">
        <v>0</v>
      </c>
      <c r="AB768">
        <v>9</v>
      </c>
      <c r="AC768">
        <v>3</v>
      </c>
      <c r="AD768">
        <v>0</v>
      </c>
      <c r="AE768">
        <v>9</v>
      </c>
      <c r="AF768" t="s">
        <v>128</v>
      </c>
      <c r="AG768">
        <v>0</v>
      </c>
      <c r="AH768">
        <v>0</v>
      </c>
      <c r="AI768">
        <v>1</v>
      </c>
      <c r="AJ768">
        <v>0</v>
      </c>
      <c r="AK768" t="s">
        <v>489</v>
      </c>
      <c r="AL768">
        <v>33.768089000000003</v>
      </c>
      <c r="AM768" t="s">
        <v>490</v>
      </c>
      <c r="AN768">
        <v>-101.22684700000001</v>
      </c>
      <c r="AO768">
        <v>100</v>
      </c>
      <c r="AP768">
        <v>3200</v>
      </c>
      <c r="AQ768" t="s">
        <v>131</v>
      </c>
      <c r="AR768">
        <v>-14</v>
      </c>
      <c r="AS768">
        <v>29</v>
      </c>
      <c r="AT768">
        <v>-192</v>
      </c>
      <c r="BB768" t="str">
        <f t="shared" si="72"/>
        <v>1200</v>
      </c>
      <c r="BC768">
        <v>1</v>
      </c>
      <c r="BD768" t="str">
        <f t="shared" si="73"/>
        <v xml:space="preserve">N445JS  </v>
      </c>
      <c r="BE768">
        <v>7</v>
      </c>
      <c r="BG768">
        <v>0</v>
      </c>
      <c r="BH768">
        <v>0</v>
      </c>
      <c r="BI768">
        <v>0</v>
      </c>
      <c r="BJ768">
        <v>3000</v>
      </c>
      <c r="BK768">
        <v>-200</v>
      </c>
      <c r="BL768" t="s">
        <v>132</v>
      </c>
      <c r="BM768">
        <v>1</v>
      </c>
      <c r="BN768">
        <v>1</v>
      </c>
      <c r="BO768">
        <v>1</v>
      </c>
      <c r="BP768">
        <v>0</v>
      </c>
      <c r="BT768">
        <v>0</v>
      </c>
      <c r="BU768">
        <v>0</v>
      </c>
      <c r="CE768" t="str">
        <f>"15:45:14.713"</f>
        <v>15:45:14.713</v>
      </c>
      <c r="CF768">
        <v>712762618</v>
      </c>
      <c r="CS768">
        <v>0</v>
      </c>
      <c r="CT768">
        <v>2</v>
      </c>
      <c r="CU768">
        <v>0</v>
      </c>
      <c r="CV768">
        <v>2</v>
      </c>
      <c r="CW768">
        <v>0</v>
      </c>
      <c r="CX768">
        <v>7</v>
      </c>
      <c r="CY768">
        <v>7</v>
      </c>
      <c r="CZ768" t="s">
        <v>133</v>
      </c>
      <c r="DA768">
        <v>125</v>
      </c>
      <c r="DB768">
        <v>0</v>
      </c>
      <c r="DC768" t="s">
        <v>134</v>
      </c>
      <c r="DD768" t="s">
        <v>135</v>
      </c>
      <c r="DG768">
        <v>3895031</v>
      </c>
      <c r="DI768">
        <v>0</v>
      </c>
      <c r="DJ768">
        <v>0</v>
      </c>
      <c r="DK768">
        <v>1</v>
      </c>
      <c r="DL768">
        <v>0</v>
      </c>
      <c r="DM768">
        <v>0</v>
      </c>
      <c r="DN768">
        <v>0</v>
      </c>
      <c r="DO768">
        <v>0</v>
      </c>
      <c r="DP768">
        <v>0</v>
      </c>
      <c r="DQ768">
        <v>0</v>
      </c>
      <c r="DR768">
        <v>0</v>
      </c>
      <c r="DS768">
        <v>0</v>
      </c>
    </row>
    <row r="769" spans="1:123" x14ac:dyDescent="0.25">
      <c r="A769" t="str">
        <f>"04/17/2026 15:45:14.986"</f>
        <v>04/17/2026 15:45:14.986</v>
      </c>
      <c r="C769" t="str">
        <f t="shared" si="71"/>
        <v>FFDFD3C0</v>
      </c>
      <c r="D769" t="s">
        <v>139</v>
      </c>
      <c r="E769" t="str">
        <f>"28"</f>
        <v>28</v>
      </c>
      <c r="H769">
        <v>140</v>
      </c>
      <c r="I769" t="s">
        <v>140</v>
      </c>
      <c r="J769" t="s">
        <v>141</v>
      </c>
      <c r="K769">
        <v>0</v>
      </c>
      <c r="L769">
        <v>3</v>
      </c>
      <c r="M769">
        <v>0</v>
      </c>
      <c r="N769">
        <v>2</v>
      </c>
      <c r="O769">
        <v>1</v>
      </c>
      <c r="P769">
        <v>0</v>
      </c>
      <c r="Q769">
        <v>0</v>
      </c>
      <c r="R769" t="s">
        <v>127</v>
      </c>
      <c r="S769" t="str">
        <f t="shared" si="75"/>
        <v>15:45:14.711</v>
      </c>
      <c r="T769" t="str">
        <f t="shared" si="75"/>
        <v>15:45:14.711</v>
      </c>
      <c r="U769" t="str">
        <f t="shared" si="64"/>
        <v>A55E09</v>
      </c>
      <c r="V769">
        <v>0</v>
      </c>
      <c r="W769">
        <v>0</v>
      </c>
      <c r="X769">
        <v>2</v>
      </c>
      <c r="Y769">
        <v>0</v>
      </c>
      <c r="AA769">
        <v>0</v>
      </c>
      <c r="AB769">
        <v>9</v>
      </c>
      <c r="AC769">
        <v>3</v>
      </c>
      <c r="AD769">
        <v>0</v>
      </c>
      <c r="AE769">
        <v>9</v>
      </c>
      <c r="AF769" t="s">
        <v>128</v>
      </c>
      <c r="AG769">
        <v>0</v>
      </c>
      <c r="AH769">
        <v>0</v>
      </c>
      <c r="AI769">
        <v>1</v>
      </c>
      <c r="AJ769">
        <v>0</v>
      </c>
      <c r="AK769" t="s">
        <v>489</v>
      </c>
      <c r="AL769">
        <v>33.768089000000003</v>
      </c>
      <c r="AM769" t="s">
        <v>490</v>
      </c>
      <c r="AN769">
        <v>-101.22684700000001</v>
      </c>
      <c r="AO769">
        <v>100</v>
      </c>
      <c r="AP769">
        <v>3200</v>
      </c>
      <c r="AQ769" t="s">
        <v>131</v>
      </c>
      <c r="AR769">
        <v>-14</v>
      </c>
      <c r="AS769">
        <v>29</v>
      </c>
      <c r="AT769">
        <v>-192</v>
      </c>
      <c r="BB769" t="str">
        <f t="shared" si="72"/>
        <v>1200</v>
      </c>
      <c r="BC769">
        <v>1</v>
      </c>
      <c r="BD769" t="str">
        <f t="shared" si="73"/>
        <v xml:space="preserve">N445JS  </v>
      </c>
      <c r="BE769">
        <v>7</v>
      </c>
      <c r="BG769">
        <v>0</v>
      </c>
      <c r="BH769">
        <v>0</v>
      </c>
      <c r="BI769">
        <v>0</v>
      </c>
      <c r="BJ769">
        <v>3000</v>
      </c>
      <c r="BK769">
        <v>-200</v>
      </c>
      <c r="BL769" t="s">
        <v>132</v>
      </c>
      <c r="BM769">
        <v>1</v>
      </c>
      <c r="BN769">
        <v>1</v>
      </c>
      <c r="BO769">
        <v>1</v>
      </c>
      <c r="BP769">
        <v>0</v>
      </c>
      <c r="BT769">
        <v>0</v>
      </c>
      <c r="BU769">
        <v>0</v>
      </c>
      <c r="CE769" t="str">
        <f>"15:45:14.713"</f>
        <v>15:45:14.713</v>
      </c>
      <c r="CF769">
        <v>712762618</v>
      </c>
      <c r="CS769">
        <v>0</v>
      </c>
      <c r="CT769">
        <v>2</v>
      </c>
      <c r="CU769">
        <v>0</v>
      </c>
      <c r="CV769">
        <v>2</v>
      </c>
      <c r="CW769">
        <v>0</v>
      </c>
      <c r="CX769">
        <v>7</v>
      </c>
      <c r="CY769">
        <v>7</v>
      </c>
      <c r="CZ769" t="s">
        <v>133</v>
      </c>
      <c r="DA769">
        <v>125</v>
      </c>
      <c r="DB769">
        <v>0</v>
      </c>
      <c r="DC769" t="s">
        <v>134</v>
      </c>
      <c r="DD769" t="s">
        <v>135</v>
      </c>
      <c r="DG769">
        <v>3895031</v>
      </c>
      <c r="DI769">
        <v>0</v>
      </c>
      <c r="DJ769">
        <v>0</v>
      </c>
      <c r="DK769">
        <v>1</v>
      </c>
      <c r="DL769">
        <v>0</v>
      </c>
      <c r="DM769">
        <v>0</v>
      </c>
      <c r="DN769">
        <v>0</v>
      </c>
      <c r="DO769">
        <v>0</v>
      </c>
      <c r="DP769">
        <v>0</v>
      </c>
      <c r="DQ769">
        <v>0</v>
      </c>
      <c r="DR769">
        <v>0</v>
      </c>
      <c r="DS769">
        <v>0</v>
      </c>
    </row>
    <row r="770" spans="1:123" x14ac:dyDescent="0.25">
      <c r="A770" t="str">
        <f>"04/17/2026 15:45:14.993"</f>
        <v>04/17/2026 15:45:14.993</v>
      </c>
      <c r="C770" t="str">
        <f t="shared" si="71"/>
        <v>FFDFD3C0</v>
      </c>
      <c r="D770" t="s">
        <v>124</v>
      </c>
      <c r="E770" t="str">
        <f>"03"</f>
        <v>03</v>
      </c>
      <c r="H770">
        <v>160</v>
      </c>
      <c r="I770" t="s">
        <v>125</v>
      </c>
      <c r="J770" t="s">
        <v>126</v>
      </c>
      <c r="K770">
        <v>0</v>
      </c>
      <c r="L770">
        <v>3</v>
      </c>
      <c r="M770">
        <v>0</v>
      </c>
      <c r="N770">
        <v>2</v>
      </c>
      <c r="O770">
        <v>1</v>
      </c>
      <c r="P770">
        <v>0</v>
      </c>
      <c r="Q770">
        <v>0</v>
      </c>
      <c r="R770" t="s">
        <v>127</v>
      </c>
      <c r="S770" t="str">
        <f t="shared" si="75"/>
        <v>15:45:14.711</v>
      </c>
      <c r="T770" t="str">
        <f t="shared" si="75"/>
        <v>15:45:14.711</v>
      </c>
      <c r="U770" t="str">
        <f t="shared" ref="U770:U822" si="76">"A55E09"</f>
        <v>A55E09</v>
      </c>
      <c r="V770">
        <v>0</v>
      </c>
      <c r="W770">
        <v>0</v>
      </c>
      <c r="X770">
        <v>2</v>
      </c>
      <c r="Y770">
        <v>0</v>
      </c>
      <c r="AA770">
        <v>0</v>
      </c>
      <c r="AB770">
        <v>9</v>
      </c>
      <c r="AC770">
        <v>3</v>
      </c>
      <c r="AD770">
        <v>0</v>
      </c>
      <c r="AE770">
        <v>9</v>
      </c>
      <c r="AF770" t="s">
        <v>128</v>
      </c>
      <c r="AG770">
        <v>0</v>
      </c>
      <c r="AH770">
        <v>0</v>
      </c>
      <c r="AI770">
        <v>1</v>
      </c>
      <c r="AJ770">
        <v>0</v>
      </c>
      <c r="AK770" t="s">
        <v>489</v>
      </c>
      <c r="AL770">
        <v>33.768089000000003</v>
      </c>
      <c r="AM770" t="s">
        <v>490</v>
      </c>
      <c r="AN770">
        <v>-101.22684700000001</v>
      </c>
      <c r="AO770">
        <v>100</v>
      </c>
      <c r="AP770">
        <v>3200</v>
      </c>
      <c r="AQ770" t="s">
        <v>131</v>
      </c>
      <c r="AR770">
        <v>-14</v>
      </c>
      <c r="AS770">
        <v>29</v>
      </c>
      <c r="AT770">
        <v>-192</v>
      </c>
      <c r="BB770" t="str">
        <f t="shared" si="72"/>
        <v>1200</v>
      </c>
      <c r="BC770">
        <v>1</v>
      </c>
      <c r="BD770" t="str">
        <f t="shared" si="73"/>
        <v xml:space="preserve">N445JS  </v>
      </c>
      <c r="BE770">
        <v>7</v>
      </c>
      <c r="BG770">
        <v>0</v>
      </c>
      <c r="BH770">
        <v>0</v>
      </c>
      <c r="BI770">
        <v>0</v>
      </c>
      <c r="BJ770">
        <v>3000</v>
      </c>
      <c r="BK770">
        <v>-200</v>
      </c>
      <c r="BL770" t="s">
        <v>132</v>
      </c>
      <c r="BM770">
        <v>1</v>
      </c>
      <c r="BN770">
        <v>1</v>
      </c>
      <c r="BO770">
        <v>1</v>
      </c>
      <c r="BP770">
        <v>0</v>
      </c>
      <c r="BT770">
        <v>0</v>
      </c>
      <c r="BU770">
        <v>0</v>
      </c>
      <c r="CE770" t="str">
        <f>"15:45:14.713"</f>
        <v>15:45:14.713</v>
      </c>
      <c r="CF770">
        <v>712762618</v>
      </c>
      <c r="CS770">
        <v>0</v>
      </c>
      <c r="CT770">
        <v>2</v>
      </c>
      <c r="CU770">
        <v>0</v>
      </c>
      <c r="CV770">
        <v>2</v>
      </c>
      <c r="CW770">
        <v>0</v>
      </c>
      <c r="CX770">
        <v>7</v>
      </c>
      <c r="CY770">
        <v>7</v>
      </c>
      <c r="CZ770" t="s">
        <v>133</v>
      </c>
      <c r="DA770">
        <v>125</v>
      </c>
      <c r="DB770">
        <v>0</v>
      </c>
      <c r="DC770" t="s">
        <v>134</v>
      </c>
      <c r="DD770" t="s">
        <v>135</v>
      </c>
      <c r="DG770">
        <v>3895031</v>
      </c>
      <c r="DI770">
        <v>0</v>
      </c>
      <c r="DJ770">
        <v>0</v>
      </c>
      <c r="DK770">
        <v>1</v>
      </c>
      <c r="DL770">
        <v>0</v>
      </c>
      <c r="DM770">
        <v>0</v>
      </c>
      <c r="DN770">
        <v>0</v>
      </c>
      <c r="DO770">
        <v>0</v>
      </c>
      <c r="DP770">
        <v>0</v>
      </c>
      <c r="DQ770">
        <v>0</v>
      </c>
      <c r="DR770">
        <v>0</v>
      </c>
      <c r="DS770">
        <v>0</v>
      </c>
    </row>
    <row r="771" spans="1:123" x14ac:dyDescent="0.25">
      <c r="A771" t="str">
        <f>"04/17/2026 15:45:15.938"</f>
        <v>04/17/2026 15:45:15.938</v>
      </c>
      <c r="C771" t="str">
        <f t="shared" si="71"/>
        <v>FFDFD3C0</v>
      </c>
      <c r="D771" t="s">
        <v>139</v>
      </c>
      <c r="E771" t="str">
        <f>"28"</f>
        <v>28</v>
      </c>
      <c r="H771">
        <v>140</v>
      </c>
      <c r="I771" t="s">
        <v>140</v>
      </c>
      <c r="J771" t="s">
        <v>141</v>
      </c>
      <c r="K771">
        <v>0</v>
      </c>
      <c r="L771">
        <v>3</v>
      </c>
      <c r="M771">
        <v>0</v>
      </c>
      <c r="N771">
        <v>2</v>
      </c>
      <c r="O771">
        <v>1</v>
      </c>
      <c r="P771">
        <v>0</v>
      </c>
      <c r="Q771">
        <v>0</v>
      </c>
      <c r="R771" t="s">
        <v>127</v>
      </c>
      <c r="S771" t="str">
        <f>"15:45:15.695"</f>
        <v>15:45:15.695</v>
      </c>
      <c r="T771" t="str">
        <f>"15:45:15.295"</f>
        <v>15:45:15.295</v>
      </c>
      <c r="U771" t="str">
        <f t="shared" si="76"/>
        <v>A55E09</v>
      </c>
      <c r="V771">
        <v>0</v>
      </c>
      <c r="W771">
        <v>0</v>
      </c>
      <c r="X771">
        <v>2</v>
      </c>
      <c r="Y771">
        <v>0</v>
      </c>
      <c r="AA771">
        <v>0</v>
      </c>
      <c r="AB771">
        <v>9</v>
      </c>
      <c r="AC771">
        <v>3</v>
      </c>
      <c r="AD771">
        <v>0</v>
      </c>
      <c r="AE771">
        <v>9</v>
      </c>
      <c r="AF771" t="s">
        <v>128</v>
      </c>
      <c r="AG771">
        <v>0</v>
      </c>
      <c r="AH771">
        <v>0</v>
      </c>
      <c r="AI771">
        <v>1</v>
      </c>
      <c r="AJ771">
        <v>0</v>
      </c>
      <c r="AK771" t="s">
        <v>491</v>
      </c>
      <c r="AL771">
        <v>33.768196000000003</v>
      </c>
      <c r="AM771" t="s">
        <v>492</v>
      </c>
      <c r="AN771">
        <v>-101.226933</v>
      </c>
      <c r="AO771">
        <v>100</v>
      </c>
      <c r="AP771">
        <v>3200</v>
      </c>
      <c r="AQ771" t="s">
        <v>131</v>
      </c>
      <c r="AR771">
        <v>-16</v>
      </c>
      <c r="AS771">
        <v>27</v>
      </c>
      <c r="AT771">
        <v>-192</v>
      </c>
      <c r="BB771" t="str">
        <f t="shared" si="72"/>
        <v>1200</v>
      </c>
      <c r="BC771">
        <v>1</v>
      </c>
      <c r="BD771" t="str">
        <f t="shared" si="73"/>
        <v xml:space="preserve">N445JS  </v>
      </c>
      <c r="BE771">
        <v>7</v>
      </c>
      <c r="BG771">
        <v>0</v>
      </c>
      <c r="BH771">
        <v>0</v>
      </c>
      <c r="BI771">
        <v>0</v>
      </c>
      <c r="BJ771">
        <v>3000</v>
      </c>
      <c r="BK771">
        <v>-200</v>
      </c>
      <c r="BL771" t="s">
        <v>132</v>
      </c>
      <c r="BM771">
        <v>1</v>
      </c>
      <c r="BN771">
        <v>1</v>
      </c>
      <c r="BO771">
        <v>1</v>
      </c>
      <c r="BP771">
        <v>0</v>
      </c>
      <c r="BT771">
        <v>0</v>
      </c>
      <c r="BU771">
        <v>0</v>
      </c>
      <c r="CE771" t="str">
        <f>"15:45:15.703"</f>
        <v>15:45:15.703</v>
      </c>
      <c r="CF771">
        <v>702665629</v>
      </c>
      <c r="CS771">
        <v>0</v>
      </c>
      <c r="CT771">
        <v>2</v>
      </c>
      <c r="CU771">
        <v>0</v>
      </c>
      <c r="CV771">
        <v>2</v>
      </c>
      <c r="CW771">
        <v>0</v>
      </c>
      <c r="CX771">
        <v>6</v>
      </c>
      <c r="CY771">
        <v>7</v>
      </c>
      <c r="CZ771" t="s">
        <v>133</v>
      </c>
      <c r="DA771">
        <v>125</v>
      </c>
      <c r="DB771">
        <v>0</v>
      </c>
      <c r="DC771" t="s">
        <v>134</v>
      </c>
      <c r="DD771" t="s">
        <v>135</v>
      </c>
      <c r="DG771">
        <v>3896143</v>
      </c>
      <c r="DI771">
        <v>0</v>
      </c>
      <c r="DJ771">
        <v>0</v>
      </c>
      <c r="DK771">
        <v>0</v>
      </c>
      <c r="DL771">
        <v>0</v>
      </c>
      <c r="DM771">
        <v>0</v>
      </c>
      <c r="DN771">
        <v>0</v>
      </c>
      <c r="DO771">
        <v>0</v>
      </c>
      <c r="DP771">
        <v>0</v>
      </c>
      <c r="DQ771">
        <v>0</v>
      </c>
      <c r="DR771">
        <v>0</v>
      </c>
      <c r="DS771">
        <v>0</v>
      </c>
    </row>
    <row r="772" spans="1:123" x14ac:dyDescent="0.25">
      <c r="A772" t="str">
        <f>"04/17/2026 15:45:15.945"</f>
        <v>04/17/2026 15:45:15.945</v>
      </c>
      <c r="C772" t="str">
        <f t="shared" si="71"/>
        <v>FFDFD3C0</v>
      </c>
      <c r="D772" t="s">
        <v>124</v>
      </c>
      <c r="E772" t="str">
        <f>"03"</f>
        <v>03</v>
      </c>
      <c r="H772">
        <v>160</v>
      </c>
      <c r="I772" t="s">
        <v>125</v>
      </c>
      <c r="J772" t="s">
        <v>126</v>
      </c>
      <c r="K772">
        <v>0</v>
      </c>
      <c r="L772">
        <v>3</v>
      </c>
      <c r="M772">
        <v>0</v>
      </c>
      <c r="N772">
        <v>2</v>
      </c>
      <c r="O772">
        <v>1</v>
      </c>
      <c r="P772">
        <v>0</v>
      </c>
      <c r="Q772">
        <v>0</v>
      </c>
      <c r="R772" t="s">
        <v>127</v>
      </c>
      <c r="S772" t="str">
        <f>"15:45:15.695"</f>
        <v>15:45:15.695</v>
      </c>
      <c r="T772" t="str">
        <f>"15:45:15.295"</f>
        <v>15:45:15.295</v>
      </c>
      <c r="U772" t="str">
        <f t="shared" si="76"/>
        <v>A55E09</v>
      </c>
      <c r="V772">
        <v>0</v>
      </c>
      <c r="W772">
        <v>0</v>
      </c>
      <c r="X772">
        <v>2</v>
      </c>
      <c r="Y772">
        <v>0</v>
      </c>
      <c r="AA772">
        <v>0</v>
      </c>
      <c r="AB772">
        <v>9</v>
      </c>
      <c r="AC772">
        <v>3</v>
      </c>
      <c r="AD772">
        <v>0</v>
      </c>
      <c r="AE772">
        <v>9</v>
      </c>
      <c r="AF772" t="s">
        <v>128</v>
      </c>
      <c r="AG772">
        <v>0</v>
      </c>
      <c r="AH772">
        <v>0</v>
      </c>
      <c r="AI772">
        <v>1</v>
      </c>
      <c r="AJ772">
        <v>0</v>
      </c>
      <c r="AK772" t="s">
        <v>491</v>
      </c>
      <c r="AL772">
        <v>33.768196000000003</v>
      </c>
      <c r="AM772" t="s">
        <v>492</v>
      </c>
      <c r="AN772">
        <v>-101.226933</v>
      </c>
      <c r="AO772">
        <v>100</v>
      </c>
      <c r="AP772">
        <v>3200</v>
      </c>
      <c r="AQ772" t="s">
        <v>131</v>
      </c>
      <c r="AR772">
        <v>-16</v>
      </c>
      <c r="AS772">
        <v>27</v>
      </c>
      <c r="AT772">
        <v>-192</v>
      </c>
      <c r="BB772" t="str">
        <f t="shared" si="72"/>
        <v>1200</v>
      </c>
      <c r="BC772">
        <v>1</v>
      </c>
      <c r="BD772" t="str">
        <f t="shared" si="73"/>
        <v xml:space="preserve">N445JS  </v>
      </c>
      <c r="BE772">
        <v>7</v>
      </c>
      <c r="BG772">
        <v>0</v>
      </c>
      <c r="BH772">
        <v>0</v>
      </c>
      <c r="BI772">
        <v>0</v>
      </c>
      <c r="BJ772">
        <v>3000</v>
      </c>
      <c r="BK772">
        <v>-200</v>
      </c>
      <c r="BL772" t="s">
        <v>132</v>
      </c>
      <c r="BM772">
        <v>1</v>
      </c>
      <c r="BN772">
        <v>1</v>
      </c>
      <c r="BO772">
        <v>1</v>
      </c>
      <c r="BP772">
        <v>0</v>
      </c>
      <c r="BT772">
        <v>0</v>
      </c>
      <c r="BU772">
        <v>0</v>
      </c>
      <c r="CE772" t="str">
        <f>"15:45:15.703"</f>
        <v>15:45:15.703</v>
      </c>
      <c r="CF772">
        <v>702665629</v>
      </c>
      <c r="CS772">
        <v>0</v>
      </c>
      <c r="CT772">
        <v>2</v>
      </c>
      <c r="CU772">
        <v>0</v>
      </c>
      <c r="CV772">
        <v>2</v>
      </c>
      <c r="CW772">
        <v>0</v>
      </c>
      <c r="CX772">
        <v>6</v>
      </c>
      <c r="CY772">
        <v>7</v>
      </c>
      <c r="CZ772" t="s">
        <v>133</v>
      </c>
      <c r="DA772">
        <v>125</v>
      </c>
      <c r="DB772">
        <v>0</v>
      </c>
      <c r="DC772" t="s">
        <v>134</v>
      </c>
      <c r="DD772" t="s">
        <v>135</v>
      </c>
      <c r="DG772">
        <v>3896143</v>
      </c>
      <c r="DI772">
        <v>0</v>
      </c>
      <c r="DJ772">
        <v>0</v>
      </c>
      <c r="DK772">
        <v>1</v>
      </c>
      <c r="DL772">
        <v>0</v>
      </c>
      <c r="DM772">
        <v>0</v>
      </c>
      <c r="DN772">
        <v>0</v>
      </c>
      <c r="DO772">
        <v>0</v>
      </c>
      <c r="DP772">
        <v>0</v>
      </c>
      <c r="DQ772">
        <v>0</v>
      </c>
      <c r="DR772">
        <v>0</v>
      </c>
      <c r="DS772">
        <v>0</v>
      </c>
    </row>
    <row r="773" spans="1:123" x14ac:dyDescent="0.25">
      <c r="A773" t="str">
        <f>"04/17/2026 15:45:15.966"</f>
        <v>04/17/2026 15:45:15.966</v>
      </c>
      <c r="C773" t="str">
        <f t="shared" si="71"/>
        <v>FFDFD3C0</v>
      </c>
      <c r="D773" t="s">
        <v>136</v>
      </c>
      <c r="E773" t="str">
        <f>"0E"</f>
        <v>0E</v>
      </c>
      <c r="F773">
        <v>1014</v>
      </c>
      <c r="G773" t="s">
        <v>125</v>
      </c>
      <c r="J773" t="s">
        <v>137</v>
      </c>
      <c r="K773">
        <v>0</v>
      </c>
      <c r="L773">
        <v>3</v>
      </c>
      <c r="M773">
        <v>0</v>
      </c>
      <c r="N773">
        <v>2</v>
      </c>
      <c r="O773">
        <v>1</v>
      </c>
      <c r="P773">
        <v>0</v>
      </c>
      <c r="Q773">
        <v>0</v>
      </c>
      <c r="R773" t="s">
        <v>127</v>
      </c>
      <c r="S773" t="str">
        <f>"15:45:15.695"</f>
        <v>15:45:15.695</v>
      </c>
      <c r="T773" t="str">
        <f>"15:45:15.295"</f>
        <v>15:45:15.295</v>
      </c>
      <c r="U773" t="str">
        <f t="shared" si="76"/>
        <v>A55E09</v>
      </c>
      <c r="V773">
        <v>0</v>
      </c>
      <c r="W773">
        <v>0</v>
      </c>
      <c r="X773">
        <v>2</v>
      </c>
      <c r="Y773">
        <v>0</v>
      </c>
      <c r="AA773">
        <v>0</v>
      </c>
      <c r="AB773">
        <v>9</v>
      </c>
      <c r="AC773">
        <v>3</v>
      </c>
      <c r="AD773">
        <v>0</v>
      </c>
      <c r="AE773">
        <v>9</v>
      </c>
      <c r="AF773" t="s">
        <v>128</v>
      </c>
      <c r="AG773">
        <v>0</v>
      </c>
      <c r="AH773">
        <v>0</v>
      </c>
      <c r="AI773">
        <v>1</v>
      </c>
      <c r="AJ773">
        <v>0</v>
      </c>
      <c r="AK773" t="s">
        <v>491</v>
      </c>
      <c r="AL773">
        <v>33.768196000000003</v>
      </c>
      <c r="AM773" t="s">
        <v>492</v>
      </c>
      <c r="AN773">
        <v>-101.226933</v>
      </c>
      <c r="AO773">
        <v>100</v>
      </c>
      <c r="AP773">
        <v>3200</v>
      </c>
      <c r="AQ773" t="s">
        <v>131</v>
      </c>
      <c r="AR773">
        <v>-16</v>
      </c>
      <c r="AS773">
        <v>27</v>
      </c>
      <c r="AT773">
        <v>-192</v>
      </c>
      <c r="BB773" t="str">
        <f t="shared" si="72"/>
        <v>1200</v>
      </c>
      <c r="BC773">
        <v>1</v>
      </c>
      <c r="BD773" t="str">
        <f t="shared" si="73"/>
        <v xml:space="preserve">N445JS  </v>
      </c>
      <c r="BE773">
        <v>7</v>
      </c>
      <c r="BG773">
        <v>0</v>
      </c>
      <c r="BH773">
        <v>0</v>
      </c>
      <c r="BI773">
        <v>0</v>
      </c>
      <c r="BJ773">
        <v>3000</v>
      </c>
      <c r="BK773">
        <v>-200</v>
      </c>
      <c r="BL773" t="s">
        <v>132</v>
      </c>
      <c r="BM773">
        <v>1</v>
      </c>
      <c r="BN773">
        <v>1</v>
      </c>
      <c r="BO773">
        <v>1</v>
      </c>
      <c r="BP773">
        <v>0</v>
      </c>
      <c r="BT773">
        <v>0</v>
      </c>
      <c r="BU773">
        <v>0</v>
      </c>
      <c r="CE773" t="str">
        <f>"15:45:15.703"</f>
        <v>15:45:15.703</v>
      </c>
      <c r="CF773">
        <v>702665629</v>
      </c>
      <c r="CS773">
        <v>0</v>
      </c>
      <c r="CT773">
        <v>2</v>
      </c>
      <c r="CU773">
        <v>0</v>
      </c>
      <c r="CV773">
        <v>2</v>
      </c>
      <c r="CW773">
        <v>0</v>
      </c>
      <c r="CX773">
        <v>6</v>
      </c>
      <c r="CY773">
        <v>7</v>
      </c>
      <c r="CZ773" t="s">
        <v>133</v>
      </c>
      <c r="DA773">
        <v>125</v>
      </c>
      <c r="DB773">
        <v>0</v>
      </c>
      <c r="DC773" t="s">
        <v>134</v>
      </c>
      <c r="DD773" t="s">
        <v>135</v>
      </c>
      <c r="DG773">
        <v>3896143</v>
      </c>
      <c r="DI773">
        <v>0</v>
      </c>
      <c r="DJ773">
        <v>0</v>
      </c>
      <c r="DK773">
        <v>1</v>
      </c>
      <c r="DL773">
        <v>0</v>
      </c>
      <c r="DM773">
        <v>0</v>
      </c>
      <c r="DN773">
        <v>0</v>
      </c>
      <c r="DO773">
        <v>0</v>
      </c>
      <c r="DP773">
        <v>0</v>
      </c>
      <c r="DQ773">
        <v>0</v>
      </c>
      <c r="DR773">
        <v>0</v>
      </c>
      <c r="DS773">
        <v>0</v>
      </c>
    </row>
    <row r="774" spans="1:123" x14ac:dyDescent="0.25">
      <c r="A774" t="str">
        <f>"04/17/2026 15:45:15.980"</f>
        <v>04/17/2026 15:45:15.980</v>
      </c>
      <c r="C774" t="str">
        <f t="shared" si="71"/>
        <v>FFDFD3C0</v>
      </c>
      <c r="D774" t="s">
        <v>136</v>
      </c>
      <c r="E774" t="str">
        <f>"0F"</f>
        <v>0F</v>
      </c>
      <c r="F774">
        <v>1015</v>
      </c>
      <c r="G774" t="s">
        <v>138</v>
      </c>
      <c r="J774" t="s">
        <v>137</v>
      </c>
      <c r="K774">
        <v>0</v>
      </c>
      <c r="L774">
        <v>3</v>
      </c>
      <c r="M774">
        <v>0</v>
      </c>
      <c r="N774">
        <v>2</v>
      </c>
      <c r="O774">
        <v>1</v>
      </c>
      <c r="P774">
        <v>0</v>
      </c>
      <c r="Q774">
        <v>0</v>
      </c>
      <c r="R774" t="s">
        <v>127</v>
      </c>
      <c r="S774" t="str">
        <f>"15:45:15.695"</f>
        <v>15:45:15.695</v>
      </c>
      <c r="T774" t="str">
        <f>"15:45:15.295"</f>
        <v>15:45:15.295</v>
      </c>
      <c r="U774" t="str">
        <f t="shared" si="76"/>
        <v>A55E09</v>
      </c>
      <c r="V774">
        <v>0</v>
      </c>
      <c r="W774">
        <v>0</v>
      </c>
      <c r="X774">
        <v>2</v>
      </c>
      <c r="Y774">
        <v>0</v>
      </c>
      <c r="AA774">
        <v>0</v>
      </c>
      <c r="AB774">
        <v>9</v>
      </c>
      <c r="AC774">
        <v>3</v>
      </c>
      <c r="AD774">
        <v>0</v>
      </c>
      <c r="AE774">
        <v>9</v>
      </c>
      <c r="AF774" t="s">
        <v>128</v>
      </c>
      <c r="AG774">
        <v>0</v>
      </c>
      <c r="AH774">
        <v>0</v>
      </c>
      <c r="AI774">
        <v>1</v>
      </c>
      <c r="AJ774">
        <v>0</v>
      </c>
      <c r="AK774" t="s">
        <v>491</v>
      </c>
      <c r="AL774">
        <v>33.768196000000003</v>
      </c>
      <c r="AM774" t="s">
        <v>492</v>
      </c>
      <c r="AN774">
        <v>-101.226933</v>
      </c>
      <c r="AO774">
        <v>100</v>
      </c>
      <c r="AP774">
        <v>3200</v>
      </c>
      <c r="AQ774" t="s">
        <v>131</v>
      </c>
      <c r="AR774">
        <v>-16</v>
      </c>
      <c r="AS774">
        <v>27</v>
      </c>
      <c r="AT774">
        <v>-192</v>
      </c>
      <c r="BB774" t="str">
        <f t="shared" si="72"/>
        <v>1200</v>
      </c>
      <c r="BC774">
        <v>1</v>
      </c>
      <c r="BD774" t="str">
        <f t="shared" si="73"/>
        <v xml:space="preserve">N445JS  </v>
      </c>
      <c r="BE774">
        <v>7</v>
      </c>
      <c r="BG774">
        <v>0</v>
      </c>
      <c r="BH774">
        <v>0</v>
      </c>
      <c r="BI774">
        <v>0</v>
      </c>
      <c r="BJ774">
        <v>3000</v>
      </c>
      <c r="BK774">
        <v>-200</v>
      </c>
      <c r="BL774" t="s">
        <v>132</v>
      </c>
      <c r="BM774">
        <v>1</v>
      </c>
      <c r="BN774">
        <v>1</v>
      </c>
      <c r="BO774">
        <v>1</v>
      </c>
      <c r="BP774">
        <v>0</v>
      </c>
      <c r="BT774">
        <v>0</v>
      </c>
      <c r="BU774">
        <v>0</v>
      </c>
      <c r="CE774" t="str">
        <f>"15:45:15.703"</f>
        <v>15:45:15.703</v>
      </c>
      <c r="CF774">
        <v>702665629</v>
      </c>
      <c r="CS774">
        <v>0</v>
      </c>
      <c r="CT774">
        <v>2</v>
      </c>
      <c r="CU774">
        <v>0</v>
      </c>
      <c r="CV774">
        <v>2</v>
      </c>
      <c r="CW774">
        <v>0</v>
      </c>
      <c r="CX774">
        <v>6</v>
      </c>
      <c r="CY774">
        <v>7</v>
      </c>
      <c r="CZ774" t="s">
        <v>133</v>
      </c>
      <c r="DA774">
        <v>125</v>
      </c>
      <c r="DB774">
        <v>0</v>
      </c>
      <c r="DC774" t="s">
        <v>134</v>
      </c>
      <c r="DD774" t="s">
        <v>135</v>
      </c>
      <c r="DG774">
        <v>3896143</v>
      </c>
      <c r="DI774">
        <v>0</v>
      </c>
      <c r="DJ774">
        <v>0</v>
      </c>
      <c r="DK774">
        <v>1</v>
      </c>
      <c r="DL774">
        <v>0</v>
      </c>
      <c r="DM774">
        <v>0</v>
      </c>
      <c r="DN774">
        <v>0</v>
      </c>
      <c r="DO774">
        <v>0</v>
      </c>
      <c r="DP774">
        <v>0</v>
      </c>
      <c r="DQ774">
        <v>0</v>
      </c>
      <c r="DR774">
        <v>0</v>
      </c>
      <c r="DS774">
        <v>0</v>
      </c>
    </row>
    <row r="775" spans="1:123" x14ac:dyDescent="0.25">
      <c r="A775" t="str">
        <f>"04/17/2026 15:45:17.018"</f>
        <v>04/17/2026 15:45:17.018</v>
      </c>
      <c r="C775" t="str">
        <f t="shared" si="71"/>
        <v>FFDFD3C0</v>
      </c>
      <c r="D775" t="s">
        <v>136</v>
      </c>
      <c r="E775" t="str">
        <f>"0E"</f>
        <v>0E</v>
      </c>
      <c r="F775">
        <v>1014</v>
      </c>
      <c r="G775" t="s">
        <v>125</v>
      </c>
      <c r="J775" t="s">
        <v>137</v>
      </c>
      <c r="K775">
        <v>0</v>
      </c>
      <c r="L775">
        <v>3</v>
      </c>
      <c r="M775">
        <v>0</v>
      </c>
      <c r="N775">
        <v>2</v>
      </c>
      <c r="O775">
        <v>1</v>
      </c>
      <c r="P775">
        <v>0</v>
      </c>
      <c r="Q775">
        <v>0</v>
      </c>
      <c r="R775" t="s">
        <v>127</v>
      </c>
      <c r="S775" t="str">
        <f>"15:45:16.766"</f>
        <v>15:45:16.766</v>
      </c>
      <c r="T775" t="str">
        <f>"15:45:16.366"</f>
        <v>15:45:16.366</v>
      </c>
      <c r="U775" t="str">
        <f t="shared" si="76"/>
        <v>A55E09</v>
      </c>
      <c r="V775">
        <v>0</v>
      </c>
      <c r="W775">
        <v>0</v>
      </c>
      <c r="X775">
        <v>2</v>
      </c>
      <c r="Y775">
        <v>0</v>
      </c>
      <c r="AA775">
        <v>0</v>
      </c>
      <c r="AB775">
        <v>9</v>
      </c>
      <c r="AC775">
        <v>3</v>
      </c>
      <c r="AD775">
        <v>0</v>
      </c>
      <c r="AE775">
        <v>9</v>
      </c>
      <c r="AF775" t="s">
        <v>128</v>
      </c>
      <c r="AG775">
        <v>0</v>
      </c>
      <c r="AH775">
        <v>0</v>
      </c>
      <c r="AI775">
        <v>1</v>
      </c>
      <c r="AJ775">
        <v>0</v>
      </c>
      <c r="AK775" t="s">
        <v>493</v>
      </c>
      <c r="AL775">
        <v>33.768346000000001</v>
      </c>
      <c r="AM775" t="s">
        <v>494</v>
      </c>
      <c r="AN775">
        <v>-101.227062</v>
      </c>
      <c r="AO775">
        <v>100</v>
      </c>
      <c r="AP775">
        <v>3200</v>
      </c>
      <c r="AQ775" t="s">
        <v>131</v>
      </c>
      <c r="AR775">
        <v>-19</v>
      </c>
      <c r="AS775">
        <v>24</v>
      </c>
      <c r="AT775">
        <v>-256</v>
      </c>
      <c r="BB775" t="str">
        <f t="shared" si="72"/>
        <v>1200</v>
      </c>
      <c r="BC775">
        <v>1</v>
      </c>
      <c r="BD775" t="str">
        <f t="shared" si="73"/>
        <v xml:space="preserve">N445JS  </v>
      </c>
      <c r="BE775">
        <v>7</v>
      </c>
      <c r="BG775">
        <v>0</v>
      </c>
      <c r="BH775">
        <v>0</v>
      </c>
      <c r="BI775">
        <v>0</v>
      </c>
      <c r="BJ775">
        <v>3000</v>
      </c>
      <c r="BK775">
        <v>-200</v>
      </c>
      <c r="BL775" t="s">
        <v>132</v>
      </c>
      <c r="BM775">
        <v>1</v>
      </c>
      <c r="BN775">
        <v>1</v>
      </c>
      <c r="BO775">
        <v>1</v>
      </c>
      <c r="BP775">
        <v>0</v>
      </c>
      <c r="BT775">
        <v>0</v>
      </c>
      <c r="BU775">
        <v>0</v>
      </c>
      <c r="CE775" t="str">
        <f>"15:45:16.768"</f>
        <v>15:45:16.768</v>
      </c>
      <c r="CF775">
        <v>767561249</v>
      </c>
      <c r="CS775">
        <v>0</v>
      </c>
      <c r="CT775">
        <v>2</v>
      </c>
      <c r="CU775">
        <v>0</v>
      </c>
      <c r="CV775">
        <v>2</v>
      </c>
      <c r="CW775">
        <v>0</v>
      </c>
      <c r="CX775">
        <v>5</v>
      </c>
      <c r="CY775">
        <v>7</v>
      </c>
      <c r="CZ775" t="s">
        <v>133</v>
      </c>
      <c r="DA775">
        <v>125</v>
      </c>
      <c r="DB775">
        <v>0</v>
      </c>
      <c r="DC775" t="s">
        <v>134</v>
      </c>
      <c r="DD775" t="s">
        <v>135</v>
      </c>
      <c r="DG775">
        <v>3897359</v>
      </c>
      <c r="DI775">
        <v>0</v>
      </c>
      <c r="DJ775">
        <v>0</v>
      </c>
      <c r="DK775">
        <v>0</v>
      </c>
      <c r="DL775">
        <v>0</v>
      </c>
      <c r="DM775">
        <v>0</v>
      </c>
      <c r="DN775">
        <v>0</v>
      </c>
      <c r="DO775">
        <v>0</v>
      </c>
      <c r="DP775">
        <v>0</v>
      </c>
      <c r="DQ775">
        <v>0</v>
      </c>
      <c r="DR775">
        <v>0</v>
      </c>
      <c r="DS775">
        <v>0</v>
      </c>
    </row>
    <row r="776" spans="1:123" x14ac:dyDescent="0.25">
      <c r="A776" t="str">
        <f>"04/17/2026 15:45:17.032"</f>
        <v>04/17/2026 15:45:17.032</v>
      </c>
      <c r="C776" t="str">
        <f t="shared" si="71"/>
        <v>FFDFD3C0</v>
      </c>
      <c r="D776" t="s">
        <v>136</v>
      </c>
      <c r="E776" t="str">
        <f>"0F"</f>
        <v>0F</v>
      </c>
      <c r="F776">
        <v>1015</v>
      </c>
      <c r="G776" t="s">
        <v>138</v>
      </c>
      <c r="J776" t="s">
        <v>137</v>
      </c>
      <c r="K776">
        <v>0</v>
      </c>
      <c r="L776">
        <v>3</v>
      </c>
      <c r="M776">
        <v>0</v>
      </c>
      <c r="N776">
        <v>2</v>
      </c>
      <c r="O776">
        <v>1</v>
      </c>
      <c r="P776">
        <v>0</v>
      </c>
      <c r="Q776">
        <v>0</v>
      </c>
      <c r="R776" t="s">
        <v>127</v>
      </c>
      <c r="S776" t="str">
        <f>"15:45:16.766"</f>
        <v>15:45:16.766</v>
      </c>
      <c r="T776" t="str">
        <f>"15:45:16.366"</f>
        <v>15:45:16.366</v>
      </c>
      <c r="U776" t="str">
        <f t="shared" si="76"/>
        <v>A55E09</v>
      </c>
      <c r="V776">
        <v>0</v>
      </c>
      <c r="W776">
        <v>0</v>
      </c>
      <c r="X776">
        <v>2</v>
      </c>
      <c r="Y776">
        <v>0</v>
      </c>
      <c r="AA776">
        <v>0</v>
      </c>
      <c r="AB776">
        <v>9</v>
      </c>
      <c r="AC776">
        <v>3</v>
      </c>
      <c r="AD776">
        <v>0</v>
      </c>
      <c r="AE776">
        <v>9</v>
      </c>
      <c r="AF776" t="s">
        <v>128</v>
      </c>
      <c r="AG776">
        <v>0</v>
      </c>
      <c r="AH776">
        <v>0</v>
      </c>
      <c r="AI776">
        <v>1</v>
      </c>
      <c r="AJ776">
        <v>0</v>
      </c>
      <c r="AK776" t="s">
        <v>493</v>
      </c>
      <c r="AL776">
        <v>33.768346000000001</v>
      </c>
      <c r="AM776" t="s">
        <v>494</v>
      </c>
      <c r="AN776">
        <v>-101.227062</v>
      </c>
      <c r="AO776">
        <v>100</v>
      </c>
      <c r="AP776">
        <v>3200</v>
      </c>
      <c r="AQ776" t="s">
        <v>131</v>
      </c>
      <c r="AR776">
        <v>-19</v>
      </c>
      <c r="AS776">
        <v>24</v>
      </c>
      <c r="AT776">
        <v>-256</v>
      </c>
      <c r="BB776" t="str">
        <f t="shared" si="72"/>
        <v>1200</v>
      </c>
      <c r="BC776">
        <v>1</v>
      </c>
      <c r="BD776" t="str">
        <f t="shared" si="73"/>
        <v xml:space="preserve">N445JS  </v>
      </c>
      <c r="BE776">
        <v>7</v>
      </c>
      <c r="BG776">
        <v>0</v>
      </c>
      <c r="BH776">
        <v>0</v>
      </c>
      <c r="BI776">
        <v>0</v>
      </c>
      <c r="BJ776">
        <v>3000</v>
      </c>
      <c r="BK776">
        <v>-200</v>
      </c>
      <c r="BL776" t="s">
        <v>132</v>
      </c>
      <c r="BM776">
        <v>1</v>
      </c>
      <c r="BN776">
        <v>1</v>
      </c>
      <c r="BO776">
        <v>1</v>
      </c>
      <c r="BP776">
        <v>0</v>
      </c>
      <c r="BT776">
        <v>0</v>
      </c>
      <c r="BU776">
        <v>0</v>
      </c>
      <c r="CE776" t="str">
        <f>"15:45:16.768"</f>
        <v>15:45:16.768</v>
      </c>
      <c r="CF776">
        <v>767561249</v>
      </c>
      <c r="CS776">
        <v>0</v>
      </c>
      <c r="CT776">
        <v>2</v>
      </c>
      <c r="CU776">
        <v>0</v>
      </c>
      <c r="CV776">
        <v>2</v>
      </c>
      <c r="CW776">
        <v>0</v>
      </c>
      <c r="CX776">
        <v>5</v>
      </c>
      <c r="CY776">
        <v>7</v>
      </c>
      <c r="CZ776" t="s">
        <v>133</v>
      </c>
      <c r="DA776">
        <v>125</v>
      </c>
      <c r="DB776">
        <v>0</v>
      </c>
      <c r="DC776" t="s">
        <v>134</v>
      </c>
      <c r="DD776" t="s">
        <v>135</v>
      </c>
      <c r="DG776">
        <v>3897359</v>
      </c>
      <c r="DI776">
        <v>0</v>
      </c>
      <c r="DJ776">
        <v>0</v>
      </c>
      <c r="DK776">
        <v>1</v>
      </c>
      <c r="DL776">
        <v>0</v>
      </c>
      <c r="DM776">
        <v>0</v>
      </c>
      <c r="DN776">
        <v>0</v>
      </c>
      <c r="DO776">
        <v>0</v>
      </c>
      <c r="DP776">
        <v>0</v>
      </c>
      <c r="DQ776">
        <v>0</v>
      </c>
      <c r="DR776">
        <v>0</v>
      </c>
      <c r="DS776">
        <v>0</v>
      </c>
    </row>
    <row r="777" spans="1:123" x14ac:dyDescent="0.25">
      <c r="A777" t="str">
        <f>"04/17/2026 15:45:17.041"</f>
        <v>04/17/2026 15:45:17.041</v>
      </c>
      <c r="C777" t="str">
        <f t="shared" si="71"/>
        <v>FFDFD3C0</v>
      </c>
      <c r="D777" t="s">
        <v>139</v>
      </c>
      <c r="E777" t="str">
        <f>"28"</f>
        <v>28</v>
      </c>
      <c r="H777">
        <v>140</v>
      </c>
      <c r="I777" t="s">
        <v>140</v>
      </c>
      <c r="J777" t="s">
        <v>141</v>
      </c>
      <c r="K777">
        <v>0</v>
      </c>
      <c r="L777">
        <v>3</v>
      </c>
      <c r="M777">
        <v>0</v>
      </c>
      <c r="N777">
        <v>2</v>
      </c>
      <c r="O777">
        <v>1</v>
      </c>
      <c r="P777">
        <v>0</v>
      </c>
      <c r="Q777">
        <v>0</v>
      </c>
      <c r="R777" t="s">
        <v>127</v>
      </c>
      <c r="S777" t="str">
        <f>"15:45:16.766"</f>
        <v>15:45:16.766</v>
      </c>
      <c r="T777" t="str">
        <f>"15:45:16.366"</f>
        <v>15:45:16.366</v>
      </c>
      <c r="U777" t="str">
        <f t="shared" si="76"/>
        <v>A55E09</v>
      </c>
      <c r="V777">
        <v>0</v>
      </c>
      <c r="W777">
        <v>0</v>
      </c>
      <c r="X777">
        <v>2</v>
      </c>
      <c r="Y777">
        <v>0</v>
      </c>
      <c r="AA777">
        <v>0</v>
      </c>
      <c r="AB777">
        <v>9</v>
      </c>
      <c r="AC777">
        <v>3</v>
      </c>
      <c r="AD777">
        <v>0</v>
      </c>
      <c r="AE777">
        <v>9</v>
      </c>
      <c r="AF777" t="s">
        <v>128</v>
      </c>
      <c r="AG777">
        <v>0</v>
      </c>
      <c r="AH777">
        <v>0</v>
      </c>
      <c r="AI777">
        <v>1</v>
      </c>
      <c r="AJ777">
        <v>0</v>
      </c>
      <c r="AK777" t="s">
        <v>493</v>
      </c>
      <c r="AL777">
        <v>33.768346000000001</v>
      </c>
      <c r="AM777" t="s">
        <v>494</v>
      </c>
      <c r="AN777">
        <v>-101.227062</v>
      </c>
      <c r="AO777">
        <v>100</v>
      </c>
      <c r="AP777">
        <v>3200</v>
      </c>
      <c r="AQ777" t="s">
        <v>131</v>
      </c>
      <c r="AR777">
        <v>-19</v>
      </c>
      <c r="AS777">
        <v>24</v>
      </c>
      <c r="AT777">
        <v>-256</v>
      </c>
      <c r="BB777" t="str">
        <f t="shared" si="72"/>
        <v>1200</v>
      </c>
      <c r="BC777">
        <v>1</v>
      </c>
      <c r="BD777" t="str">
        <f t="shared" si="73"/>
        <v xml:space="preserve">N445JS  </v>
      </c>
      <c r="BE777">
        <v>7</v>
      </c>
      <c r="BG777">
        <v>0</v>
      </c>
      <c r="BH777">
        <v>0</v>
      </c>
      <c r="BI777">
        <v>0</v>
      </c>
      <c r="BJ777">
        <v>3000</v>
      </c>
      <c r="BK777">
        <v>-200</v>
      </c>
      <c r="BL777" t="s">
        <v>132</v>
      </c>
      <c r="BM777">
        <v>1</v>
      </c>
      <c r="BN777">
        <v>1</v>
      </c>
      <c r="BO777">
        <v>1</v>
      </c>
      <c r="BP777">
        <v>0</v>
      </c>
      <c r="BT777">
        <v>0</v>
      </c>
      <c r="BU777">
        <v>0</v>
      </c>
      <c r="CE777" t="str">
        <f>"15:45:16.768"</f>
        <v>15:45:16.768</v>
      </c>
      <c r="CF777">
        <v>767561249</v>
      </c>
      <c r="CS777">
        <v>0</v>
      </c>
      <c r="CT777">
        <v>2</v>
      </c>
      <c r="CU777">
        <v>0</v>
      </c>
      <c r="CV777">
        <v>2</v>
      </c>
      <c r="CW777">
        <v>0</v>
      </c>
      <c r="CX777">
        <v>5</v>
      </c>
      <c r="CY777">
        <v>7</v>
      </c>
      <c r="CZ777" t="s">
        <v>133</v>
      </c>
      <c r="DA777">
        <v>125</v>
      </c>
      <c r="DB777">
        <v>0</v>
      </c>
      <c r="DC777" t="s">
        <v>134</v>
      </c>
      <c r="DD777" t="s">
        <v>135</v>
      </c>
      <c r="DG777">
        <v>3897359</v>
      </c>
      <c r="DI777">
        <v>0</v>
      </c>
      <c r="DJ777">
        <v>0</v>
      </c>
      <c r="DK777">
        <v>1</v>
      </c>
      <c r="DL777">
        <v>0</v>
      </c>
      <c r="DM777">
        <v>0</v>
      </c>
      <c r="DN777">
        <v>0</v>
      </c>
      <c r="DO777">
        <v>0</v>
      </c>
      <c r="DP777">
        <v>0</v>
      </c>
      <c r="DQ777">
        <v>0</v>
      </c>
      <c r="DR777">
        <v>0</v>
      </c>
      <c r="DS777">
        <v>0</v>
      </c>
    </row>
    <row r="778" spans="1:123" x14ac:dyDescent="0.25">
      <c r="A778" t="str">
        <f>"04/17/2026 15:45:17.048"</f>
        <v>04/17/2026 15:45:17.048</v>
      </c>
      <c r="C778" t="str">
        <f t="shared" si="71"/>
        <v>FFDFD3C0</v>
      </c>
      <c r="D778" t="s">
        <v>124</v>
      </c>
      <c r="E778" t="str">
        <f>"03"</f>
        <v>03</v>
      </c>
      <c r="H778">
        <v>160</v>
      </c>
      <c r="I778" t="s">
        <v>125</v>
      </c>
      <c r="J778" t="s">
        <v>126</v>
      </c>
      <c r="K778">
        <v>0</v>
      </c>
      <c r="L778">
        <v>3</v>
      </c>
      <c r="M778">
        <v>0</v>
      </c>
      <c r="N778">
        <v>2</v>
      </c>
      <c r="O778">
        <v>1</v>
      </c>
      <c r="P778">
        <v>0</v>
      </c>
      <c r="Q778">
        <v>0</v>
      </c>
      <c r="R778" t="s">
        <v>127</v>
      </c>
      <c r="S778" t="str">
        <f>"15:45:16.766"</f>
        <v>15:45:16.766</v>
      </c>
      <c r="T778" t="str">
        <f>"15:45:16.366"</f>
        <v>15:45:16.366</v>
      </c>
      <c r="U778" t="str">
        <f t="shared" si="76"/>
        <v>A55E09</v>
      </c>
      <c r="V778">
        <v>0</v>
      </c>
      <c r="W778">
        <v>0</v>
      </c>
      <c r="X778">
        <v>2</v>
      </c>
      <c r="Y778">
        <v>0</v>
      </c>
      <c r="AA778">
        <v>0</v>
      </c>
      <c r="AB778">
        <v>9</v>
      </c>
      <c r="AC778">
        <v>3</v>
      </c>
      <c r="AD778">
        <v>0</v>
      </c>
      <c r="AE778">
        <v>9</v>
      </c>
      <c r="AF778" t="s">
        <v>128</v>
      </c>
      <c r="AG778">
        <v>0</v>
      </c>
      <c r="AH778">
        <v>0</v>
      </c>
      <c r="AI778">
        <v>1</v>
      </c>
      <c r="AJ778">
        <v>0</v>
      </c>
      <c r="AK778" t="s">
        <v>493</v>
      </c>
      <c r="AL778">
        <v>33.768346000000001</v>
      </c>
      <c r="AM778" t="s">
        <v>494</v>
      </c>
      <c r="AN778">
        <v>-101.227062</v>
      </c>
      <c r="AO778">
        <v>100</v>
      </c>
      <c r="AP778">
        <v>3200</v>
      </c>
      <c r="AQ778" t="s">
        <v>131</v>
      </c>
      <c r="AR778">
        <v>-19</v>
      </c>
      <c r="AS778">
        <v>24</v>
      </c>
      <c r="AT778">
        <v>-256</v>
      </c>
      <c r="BB778" t="str">
        <f t="shared" si="72"/>
        <v>1200</v>
      </c>
      <c r="BC778">
        <v>1</v>
      </c>
      <c r="BD778" t="str">
        <f t="shared" si="73"/>
        <v xml:space="preserve">N445JS  </v>
      </c>
      <c r="BE778">
        <v>7</v>
      </c>
      <c r="BG778">
        <v>0</v>
      </c>
      <c r="BH778">
        <v>0</v>
      </c>
      <c r="BI778">
        <v>0</v>
      </c>
      <c r="BJ778">
        <v>3000</v>
      </c>
      <c r="BK778">
        <v>-200</v>
      </c>
      <c r="BL778" t="s">
        <v>132</v>
      </c>
      <c r="BM778">
        <v>1</v>
      </c>
      <c r="BN778">
        <v>1</v>
      </c>
      <c r="BO778">
        <v>1</v>
      </c>
      <c r="BP778">
        <v>0</v>
      </c>
      <c r="BT778">
        <v>0</v>
      </c>
      <c r="BU778">
        <v>0</v>
      </c>
      <c r="CE778" t="str">
        <f>"15:45:16.768"</f>
        <v>15:45:16.768</v>
      </c>
      <c r="CF778">
        <v>767561249</v>
      </c>
      <c r="CS778">
        <v>0</v>
      </c>
      <c r="CT778">
        <v>2</v>
      </c>
      <c r="CU778">
        <v>0</v>
      </c>
      <c r="CV778">
        <v>2</v>
      </c>
      <c r="CW778">
        <v>0</v>
      </c>
      <c r="CX778">
        <v>5</v>
      </c>
      <c r="CY778">
        <v>7</v>
      </c>
      <c r="CZ778" t="s">
        <v>133</v>
      </c>
      <c r="DA778">
        <v>125</v>
      </c>
      <c r="DB778">
        <v>0</v>
      </c>
      <c r="DC778" t="s">
        <v>134</v>
      </c>
      <c r="DD778" t="s">
        <v>135</v>
      </c>
      <c r="DG778">
        <v>3897359</v>
      </c>
      <c r="DI778">
        <v>0</v>
      </c>
      <c r="DJ778">
        <v>0</v>
      </c>
      <c r="DK778">
        <v>1</v>
      </c>
      <c r="DL778">
        <v>0</v>
      </c>
      <c r="DM778">
        <v>0</v>
      </c>
      <c r="DN778">
        <v>0</v>
      </c>
      <c r="DO778">
        <v>0</v>
      </c>
      <c r="DP778">
        <v>0</v>
      </c>
      <c r="DQ778">
        <v>0</v>
      </c>
      <c r="DR778">
        <v>0</v>
      </c>
      <c r="DS778">
        <v>0</v>
      </c>
    </row>
    <row r="779" spans="1:123" x14ac:dyDescent="0.25">
      <c r="A779" t="str">
        <f>"04/17/2026 15:45:17.834"</f>
        <v>04/17/2026 15:45:17.834</v>
      </c>
      <c r="C779" t="str">
        <f t="shared" si="71"/>
        <v>FFDFD3C0</v>
      </c>
      <c r="D779" t="s">
        <v>136</v>
      </c>
      <c r="E779" t="str">
        <f>"0F"</f>
        <v>0F</v>
      </c>
      <c r="F779">
        <v>1015</v>
      </c>
      <c r="G779" t="s">
        <v>138</v>
      </c>
      <c r="J779" t="s">
        <v>137</v>
      </c>
      <c r="K779">
        <v>0</v>
      </c>
      <c r="L779">
        <v>3</v>
      </c>
      <c r="M779">
        <v>0</v>
      </c>
      <c r="N779">
        <v>2</v>
      </c>
      <c r="O779">
        <v>1</v>
      </c>
      <c r="P779">
        <v>0</v>
      </c>
      <c r="Q779">
        <v>0</v>
      </c>
      <c r="R779" t="s">
        <v>127</v>
      </c>
      <c r="S779" t="str">
        <f>"15:45:17.586"</f>
        <v>15:45:17.586</v>
      </c>
      <c r="T779" t="str">
        <f>"15:45:17.386"</f>
        <v>15:45:17.386</v>
      </c>
      <c r="U779" t="str">
        <f t="shared" si="76"/>
        <v>A55E09</v>
      </c>
      <c r="V779">
        <v>0</v>
      </c>
      <c r="W779">
        <v>0</v>
      </c>
      <c r="X779">
        <v>2</v>
      </c>
      <c r="Y779">
        <v>0</v>
      </c>
      <c r="AA779">
        <v>0</v>
      </c>
      <c r="AB779">
        <v>9</v>
      </c>
      <c r="AC779">
        <v>3</v>
      </c>
      <c r="AD779">
        <v>0</v>
      </c>
      <c r="AE779">
        <v>9</v>
      </c>
      <c r="AF779" t="s">
        <v>128</v>
      </c>
      <c r="AG779">
        <v>0</v>
      </c>
      <c r="AH779">
        <v>0</v>
      </c>
      <c r="AI779">
        <v>1</v>
      </c>
      <c r="AJ779">
        <v>0</v>
      </c>
      <c r="AK779" t="s">
        <v>495</v>
      </c>
      <c r="AL779">
        <v>33.768388999999999</v>
      </c>
      <c r="AM779" t="s">
        <v>496</v>
      </c>
      <c r="AN779">
        <v>-101.227169</v>
      </c>
      <c r="AO779">
        <v>100</v>
      </c>
      <c r="AP779">
        <v>3200</v>
      </c>
      <c r="AQ779" t="s">
        <v>131</v>
      </c>
      <c r="AR779">
        <v>-22</v>
      </c>
      <c r="AS779">
        <v>19</v>
      </c>
      <c r="AT779">
        <v>-256</v>
      </c>
      <c r="BB779" t="str">
        <f t="shared" si="72"/>
        <v>1200</v>
      </c>
      <c r="BC779">
        <v>1</v>
      </c>
      <c r="BD779" t="str">
        <f t="shared" si="73"/>
        <v xml:space="preserve">N445JS  </v>
      </c>
      <c r="BE779">
        <v>7</v>
      </c>
      <c r="BG779">
        <v>0</v>
      </c>
      <c r="BH779">
        <v>0</v>
      </c>
      <c r="BI779">
        <v>0</v>
      </c>
      <c r="BJ779">
        <v>3000</v>
      </c>
      <c r="BK779">
        <v>-200</v>
      </c>
      <c r="BL779" t="s">
        <v>132</v>
      </c>
      <c r="BM779">
        <v>1</v>
      </c>
      <c r="BN779">
        <v>1</v>
      </c>
      <c r="BO779">
        <v>1</v>
      </c>
      <c r="BP779">
        <v>0</v>
      </c>
      <c r="BT779">
        <v>0</v>
      </c>
      <c r="BU779">
        <v>0</v>
      </c>
      <c r="CE779" t="str">
        <f>"15:45:17.592"</f>
        <v>15:45:17.592</v>
      </c>
      <c r="CF779">
        <v>592480444</v>
      </c>
      <c r="CS779">
        <v>0</v>
      </c>
      <c r="CT779">
        <v>2</v>
      </c>
      <c r="CU779">
        <v>0</v>
      </c>
      <c r="CV779">
        <v>2</v>
      </c>
      <c r="CW779">
        <v>0</v>
      </c>
      <c r="CX779">
        <v>6</v>
      </c>
      <c r="CY779">
        <v>7</v>
      </c>
      <c r="CZ779" t="s">
        <v>133</v>
      </c>
      <c r="DA779">
        <v>125</v>
      </c>
      <c r="DB779">
        <v>0</v>
      </c>
      <c r="DC779" t="s">
        <v>134</v>
      </c>
      <c r="DD779" t="s">
        <v>135</v>
      </c>
      <c r="DG779">
        <v>3898237</v>
      </c>
      <c r="DI779">
        <v>0</v>
      </c>
      <c r="DJ779">
        <v>0</v>
      </c>
      <c r="DK779">
        <v>0</v>
      </c>
      <c r="DL779">
        <v>0</v>
      </c>
      <c r="DM779">
        <v>0</v>
      </c>
      <c r="DN779">
        <v>0</v>
      </c>
      <c r="DO779">
        <v>0</v>
      </c>
      <c r="DP779">
        <v>0</v>
      </c>
      <c r="DQ779">
        <v>0</v>
      </c>
      <c r="DR779">
        <v>0</v>
      </c>
      <c r="DS779">
        <v>0</v>
      </c>
    </row>
    <row r="780" spans="1:123" x14ac:dyDescent="0.25">
      <c r="A780" t="str">
        <f>"04/17/2026 15:45:17.841"</f>
        <v>04/17/2026 15:45:17.841</v>
      </c>
      <c r="C780" t="str">
        <f t="shared" si="71"/>
        <v>FFDFD3C0</v>
      </c>
      <c r="D780" t="s">
        <v>139</v>
      </c>
      <c r="E780" t="str">
        <f>"28"</f>
        <v>28</v>
      </c>
      <c r="H780">
        <v>140</v>
      </c>
      <c r="I780" t="s">
        <v>140</v>
      </c>
      <c r="J780" t="s">
        <v>141</v>
      </c>
      <c r="K780">
        <v>0</v>
      </c>
      <c r="L780">
        <v>3</v>
      </c>
      <c r="M780">
        <v>0</v>
      </c>
      <c r="N780">
        <v>2</v>
      </c>
      <c r="O780">
        <v>1</v>
      </c>
      <c r="P780">
        <v>0</v>
      </c>
      <c r="Q780">
        <v>0</v>
      </c>
      <c r="R780" t="s">
        <v>127</v>
      </c>
      <c r="S780" t="str">
        <f>"15:45:17.586"</f>
        <v>15:45:17.586</v>
      </c>
      <c r="T780" t="str">
        <f>"15:45:17.386"</f>
        <v>15:45:17.386</v>
      </c>
      <c r="U780" t="str">
        <f t="shared" si="76"/>
        <v>A55E09</v>
      </c>
      <c r="V780">
        <v>0</v>
      </c>
      <c r="W780">
        <v>0</v>
      </c>
      <c r="X780">
        <v>2</v>
      </c>
      <c r="Y780">
        <v>0</v>
      </c>
      <c r="AA780">
        <v>0</v>
      </c>
      <c r="AB780">
        <v>9</v>
      </c>
      <c r="AC780">
        <v>3</v>
      </c>
      <c r="AD780">
        <v>0</v>
      </c>
      <c r="AE780">
        <v>9</v>
      </c>
      <c r="AF780" t="s">
        <v>128</v>
      </c>
      <c r="AG780">
        <v>0</v>
      </c>
      <c r="AH780">
        <v>0</v>
      </c>
      <c r="AI780">
        <v>1</v>
      </c>
      <c r="AJ780">
        <v>0</v>
      </c>
      <c r="AK780" t="s">
        <v>495</v>
      </c>
      <c r="AL780">
        <v>33.768388999999999</v>
      </c>
      <c r="AM780" t="s">
        <v>496</v>
      </c>
      <c r="AN780">
        <v>-101.227169</v>
      </c>
      <c r="AO780">
        <v>100</v>
      </c>
      <c r="AP780">
        <v>3200</v>
      </c>
      <c r="AQ780" t="s">
        <v>131</v>
      </c>
      <c r="AR780">
        <v>-22</v>
      </c>
      <c r="AS780">
        <v>19</v>
      </c>
      <c r="AT780">
        <v>-256</v>
      </c>
      <c r="BB780" t="str">
        <f t="shared" si="72"/>
        <v>1200</v>
      </c>
      <c r="BC780">
        <v>1</v>
      </c>
      <c r="BD780" t="str">
        <f t="shared" si="73"/>
        <v xml:space="preserve">N445JS  </v>
      </c>
      <c r="BE780">
        <v>7</v>
      </c>
      <c r="BG780">
        <v>0</v>
      </c>
      <c r="BH780">
        <v>0</v>
      </c>
      <c r="BI780">
        <v>0</v>
      </c>
      <c r="BJ780">
        <v>3000</v>
      </c>
      <c r="BK780">
        <v>-200</v>
      </c>
      <c r="BL780" t="s">
        <v>132</v>
      </c>
      <c r="BM780">
        <v>1</v>
      </c>
      <c r="BN780">
        <v>1</v>
      </c>
      <c r="BO780">
        <v>1</v>
      </c>
      <c r="BP780">
        <v>0</v>
      </c>
      <c r="BT780">
        <v>0</v>
      </c>
      <c r="BU780">
        <v>0</v>
      </c>
      <c r="CE780" t="str">
        <f>"15:45:17.592"</f>
        <v>15:45:17.592</v>
      </c>
      <c r="CF780">
        <v>592480444</v>
      </c>
      <c r="CS780">
        <v>0</v>
      </c>
      <c r="CT780">
        <v>2</v>
      </c>
      <c r="CU780">
        <v>0</v>
      </c>
      <c r="CV780">
        <v>2</v>
      </c>
      <c r="CW780">
        <v>0</v>
      </c>
      <c r="CX780">
        <v>6</v>
      </c>
      <c r="CY780">
        <v>7</v>
      </c>
      <c r="CZ780" t="s">
        <v>133</v>
      </c>
      <c r="DA780">
        <v>125</v>
      </c>
      <c r="DB780">
        <v>0</v>
      </c>
      <c r="DC780" t="s">
        <v>134</v>
      </c>
      <c r="DD780" t="s">
        <v>135</v>
      </c>
      <c r="DG780">
        <v>3898237</v>
      </c>
      <c r="DI780">
        <v>0</v>
      </c>
      <c r="DJ780">
        <v>0</v>
      </c>
      <c r="DK780">
        <v>1</v>
      </c>
      <c r="DL780">
        <v>0</v>
      </c>
      <c r="DM780">
        <v>0</v>
      </c>
      <c r="DN780">
        <v>0</v>
      </c>
      <c r="DO780">
        <v>0</v>
      </c>
      <c r="DP780">
        <v>0</v>
      </c>
      <c r="DQ780">
        <v>0</v>
      </c>
      <c r="DR780">
        <v>0</v>
      </c>
      <c r="DS780">
        <v>0</v>
      </c>
    </row>
    <row r="781" spans="1:123" x14ac:dyDescent="0.25">
      <c r="A781" t="str">
        <f>"04/17/2026 15:45:17.849"</f>
        <v>04/17/2026 15:45:17.849</v>
      </c>
      <c r="C781" t="str">
        <f t="shared" si="71"/>
        <v>FFDFD3C0</v>
      </c>
      <c r="D781" t="s">
        <v>124</v>
      </c>
      <c r="E781" t="str">
        <f>"03"</f>
        <v>03</v>
      </c>
      <c r="H781">
        <v>160</v>
      </c>
      <c r="I781" t="s">
        <v>125</v>
      </c>
      <c r="J781" t="s">
        <v>126</v>
      </c>
      <c r="K781">
        <v>0</v>
      </c>
      <c r="L781">
        <v>3</v>
      </c>
      <c r="M781">
        <v>0</v>
      </c>
      <c r="N781">
        <v>2</v>
      </c>
      <c r="O781">
        <v>1</v>
      </c>
      <c r="P781">
        <v>0</v>
      </c>
      <c r="Q781">
        <v>0</v>
      </c>
      <c r="R781" t="s">
        <v>127</v>
      </c>
      <c r="S781" t="str">
        <f>"15:45:17.586"</f>
        <v>15:45:17.586</v>
      </c>
      <c r="T781" t="str">
        <f>"15:45:17.386"</f>
        <v>15:45:17.386</v>
      </c>
      <c r="U781" t="str">
        <f t="shared" si="76"/>
        <v>A55E09</v>
      </c>
      <c r="V781">
        <v>0</v>
      </c>
      <c r="W781">
        <v>0</v>
      </c>
      <c r="X781">
        <v>2</v>
      </c>
      <c r="Y781">
        <v>0</v>
      </c>
      <c r="AA781">
        <v>0</v>
      </c>
      <c r="AB781">
        <v>9</v>
      </c>
      <c r="AC781">
        <v>3</v>
      </c>
      <c r="AD781">
        <v>0</v>
      </c>
      <c r="AE781">
        <v>9</v>
      </c>
      <c r="AF781" t="s">
        <v>128</v>
      </c>
      <c r="AG781">
        <v>0</v>
      </c>
      <c r="AH781">
        <v>0</v>
      </c>
      <c r="AI781">
        <v>1</v>
      </c>
      <c r="AJ781">
        <v>0</v>
      </c>
      <c r="AK781" t="s">
        <v>495</v>
      </c>
      <c r="AL781">
        <v>33.768388999999999</v>
      </c>
      <c r="AM781" t="s">
        <v>496</v>
      </c>
      <c r="AN781">
        <v>-101.227169</v>
      </c>
      <c r="AO781">
        <v>100</v>
      </c>
      <c r="AP781">
        <v>3200</v>
      </c>
      <c r="AQ781" t="s">
        <v>131</v>
      </c>
      <c r="AR781">
        <v>-22</v>
      </c>
      <c r="AS781">
        <v>19</v>
      </c>
      <c r="AT781">
        <v>-256</v>
      </c>
      <c r="BB781" t="str">
        <f t="shared" si="72"/>
        <v>1200</v>
      </c>
      <c r="BC781">
        <v>1</v>
      </c>
      <c r="BD781" t="str">
        <f t="shared" si="73"/>
        <v xml:space="preserve">N445JS  </v>
      </c>
      <c r="BE781">
        <v>7</v>
      </c>
      <c r="BG781">
        <v>0</v>
      </c>
      <c r="BH781">
        <v>0</v>
      </c>
      <c r="BI781">
        <v>0</v>
      </c>
      <c r="BJ781">
        <v>3000</v>
      </c>
      <c r="BK781">
        <v>-200</v>
      </c>
      <c r="BL781" t="s">
        <v>132</v>
      </c>
      <c r="BM781">
        <v>1</v>
      </c>
      <c r="BN781">
        <v>1</v>
      </c>
      <c r="BO781">
        <v>1</v>
      </c>
      <c r="BP781">
        <v>0</v>
      </c>
      <c r="BT781">
        <v>0</v>
      </c>
      <c r="BU781">
        <v>0</v>
      </c>
      <c r="CE781" t="str">
        <f>"15:45:17.592"</f>
        <v>15:45:17.592</v>
      </c>
      <c r="CF781">
        <v>592480444</v>
      </c>
      <c r="CS781">
        <v>0</v>
      </c>
      <c r="CT781">
        <v>2</v>
      </c>
      <c r="CU781">
        <v>0</v>
      </c>
      <c r="CV781">
        <v>2</v>
      </c>
      <c r="CW781">
        <v>0</v>
      </c>
      <c r="CX781">
        <v>6</v>
      </c>
      <c r="CY781">
        <v>7</v>
      </c>
      <c r="CZ781" t="s">
        <v>133</v>
      </c>
      <c r="DA781">
        <v>125</v>
      </c>
      <c r="DB781">
        <v>0</v>
      </c>
      <c r="DC781" t="s">
        <v>134</v>
      </c>
      <c r="DD781" t="s">
        <v>135</v>
      </c>
      <c r="DG781">
        <v>3898237</v>
      </c>
      <c r="DI781">
        <v>0</v>
      </c>
      <c r="DJ781">
        <v>0</v>
      </c>
      <c r="DK781">
        <v>1</v>
      </c>
      <c r="DL781">
        <v>0</v>
      </c>
      <c r="DM781">
        <v>0</v>
      </c>
      <c r="DN781">
        <v>0</v>
      </c>
      <c r="DO781">
        <v>0</v>
      </c>
      <c r="DP781">
        <v>0</v>
      </c>
      <c r="DQ781">
        <v>0</v>
      </c>
      <c r="DR781">
        <v>0</v>
      </c>
      <c r="DS781">
        <v>0</v>
      </c>
    </row>
    <row r="782" spans="1:123" x14ac:dyDescent="0.25">
      <c r="A782" t="str">
        <f>"04/17/2026 15:45:17.869"</f>
        <v>04/17/2026 15:45:17.869</v>
      </c>
      <c r="C782" t="str">
        <f t="shared" si="71"/>
        <v>FFDFD3C0</v>
      </c>
      <c r="D782" t="s">
        <v>136</v>
      </c>
      <c r="E782" t="str">
        <f>"0E"</f>
        <v>0E</v>
      </c>
      <c r="F782">
        <v>1014</v>
      </c>
      <c r="G782" t="s">
        <v>125</v>
      </c>
      <c r="J782" t="s">
        <v>137</v>
      </c>
      <c r="K782">
        <v>0</v>
      </c>
      <c r="L782">
        <v>3</v>
      </c>
      <c r="M782">
        <v>0</v>
      </c>
      <c r="N782">
        <v>2</v>
      </c>
      <c r="O782">
        <v>1</v>
      </c>
      <c r="P782">
        <v>0</v>
      </c>
      <c r="Q782">
        <v>0</v>
      </c>
      <c r="R782" t="s">
        <v>127</v>
      </c>
      <c r="S782" t="str">
        <f>"15:45:17.586"</f>
        <v>15:45:17.586</v>
      </c>
      <c r="T782" t="str">
        <f>"15:45:17.386"</f>
        <v>15:45:17.386</v>
      </c>
      <c r="U782" t="str">
        <f t="shared" si="76"/>
        <v>A55E09</v>
      </c>
      <c r="V782">
        <v>0</v>
      </c>
      <c r="W782">
        <v>0</v>
      </c>
      <c r="X782">
        <v>2</v>
      </c>
      <c r="Y782">
        <v>0</v>
      </c>
      <c r="AA782">
        <v>0</v>
      </c>
      <c r="AB782">
        <v>9</v>
      </c>
      <c r="AC782">
        <v>3</v>
      </c>
      <c r="AD782">
        <v>0</v>
      </c>
      <c r="AE782">
        <v>9</v>
      </c>
      <c r="AF782" t="s">
        <v>128</v>
      </c>
      <c r="AG782">
        <v>0</v>
      </c>
      <c r="AH782">
        <v>0</v>
      </c>
      <c r="AI782">
        <v>1</v>
      </c>
      <c r="AJ782">
        <v>0</v>
      </c>
      <c r="AK782" t="s">
        <v>495</v>
      </c>
      <c r="AL782">
        <v>33.768388999999999</v>
      </c>
      <c r="AM782" t="s">
        <v>496</v>
      </c>
      <c r="AN782">
        <v>-101.227169</v>
      </c>
      <c r="AO782">
        <v>100</v>
      </c>
      <c r="AP782">
        <v>3200</v>
      </c>
      <c r="AQ782" t="s">
        <v>131</v>
      </c>
      <c r="AR782">
        <v>-22</v>
      </c>
      <c r="AS782">
        <v>19</v>
      </c>
      <c r="AT782">
        <v>-256</v>
      </c>
      <c r="BB782" t="str">
        <f t="shared" si="72"/>
        <v>1200</v>
      </c>
      <c r="BC782">
        <v>1</v>
      </c>
      <c r="BD782" t="str">
        <f t="shared" si="73"/>
        <v xml:space="preserve">N445JS  </v>
      </c>
      <c r="BE782">
        <v>7</v>
      </c>
      <c r="BG782">
        <v>0</v>
      </c>
      <c r="BH782">
        <v>0</v>
      </c>
      <c r="BI782">
        <v>0</v>
      </c>
      <c r="BJ782">
        <v>3000</v>
      </c>
      <c r="BK782">
        <v>-200</v>
      </c>
      <c r="BL782" t="s">
        <v>132</v>
      </c>
      <c r="BM782">
        <v>1</v>
      </c>
      <c r="BN782">
        <v>1</v>
      </c>
      <c r="BO782">
        <v>1</v>
      </c>
      <c r="BP782">
        <v>0</v>
      </c>
      <c r="BT782">
        <v>0</v>
      </c>
      <c r="BU782">
        <v>0</v>
      </c>
      <c r="CE782" t="str">
        <f>"15:45:17.592"</f>
        <v>15:45:17.592</v>
      </c>
      <c r="CF782">
        <v>592480444</v>
      </c>
      <c r="CS782">
        <v>0</v>
      </c>
      <c r="CT782">
        <v>2</v>
      </c>
      <c r="CU782">
        <v>0</v>
      </c>
      <c r="CV782">
        <v>2</v>
      </c>
      <c r="CW782">
        <v>0</v>
      </c>
      <c r="CX782">
        <v>6</v>
      </c>
      <c r="CY782">
        <v>7</v>
      </c>
      <c r="CZ782" t="s">
        <v>133</v>
      </c>
      <c r="DA782">
        <v>125</v>
      </c>
      <c r="DB782">
        <v>0</v>
      </c>
      <c r="DC782" t="s">
        <v>134</v>
      </c>
      <c r="DD782" t="s">
        <v>135</v>
      </c>
      <c r="DG782">
        <v>3898237</v>
      </c>
      <c r="DI782">
        <v>0</v>
      </c>
      <c r="DJ782">
        <v>0</v>
      </c>
      <c r="DK782">
        <v>1</v>
      </c>
      <c r="DL782">
        <v>0</v>
      </c>
      <c r="DM782">
        <v>0</v>
      </c>
      <c r="DN782">
        <v>0</v>
      </c>
      <c r="DO782">
        <v>0</v>
      </c>
      <c r="DP782">
        <v>0</v>
      </c>
      <c r="DQ782">
        <v>0</v>
      </c>
      <c r="DR782">
        <v>0</v>
      </c>
      <c r="DS782">
        <v>0</v>
      </c>
    </row>
    <row r="783" spans="1:123" x14ac:dyDescent="0.25">
      <c r="A783" t="str">
        <f>"04/17/2026 15:45:18.771"</f>
        <v>04/17/2026 15:45:18.771</v>
      </c>
      <c r="C783" t="str">
        <f t="shared" si="71"/>
        <v>FFDFD3C0</v>
      </c>
      <c r="D783" t="s">
        <v>136</v>
      </c>
      <c r="E783" t="str">
        <f>"0E"</f>
        <v>0E</v>
      </c>
      <c r="F783">
        <v>1014</v>
      </c>
      <c r="G783" t="s">
        <v>125</v>
      </c>
      <c r="J783" t="s">
        <v>137</v>
      </c>
      <c r="K783">
        <v>0</v>
      </c>
      <c r="L783">
        <v>3</v>
      </c>
      <c r="M783">
        <v>0</v>
      </c>
      <c r="N783">
        <v>2</v>
      </c>
      <c r="O783">
        <v>1</v>
      </c>
      <c r="P783">
        <v>0</v>
      </c>
      <c r="Q783">
        <v>0</v>
      </c>
      <c r="R783" t="s">
        <v>127</v>
      </c>
      <c r="S783" t="str">
        <f>"15:45:18.516"</f>
        <v>15:45:18.516</v>
      </c>
      <c r="T783" t="str">
        <f>"15:45:18.416"</f>
        <v>15:45:18.416</v>
      </c>
      <c r="U783" t="str">
        <f t="shared" si="76"/>
        <v>A55E09</v>
      </c>
      <c r="V783">
        <v>0</v>
      </c>
      <c r="W783">
        <v>0</v>
      </c>
      <c r="X783">
        <v>2</v>
      </c>
      <c r="Y783">
        <v>0</v>
      </c>
      <c r="AA783">
        <v>0</v>
      </c>
      <c r="AB783">
        <v>9</v>
      </c>
      <c r="AC783">
        <v>3</v>
      </c>
      <c r="AD783">
        <v>0</v>
      </c>
      <c r="AE783">
        <v>9</v>
      </c>
      <c r="AF783" t="s">
        <v>128</v>
      </c>
      <c r="AG783">
        <v>0</v>
      </c>
      <c r="AH783">
        <v>0</v>
      </c>
      <c r="AI783">
        <v>1</v>
      </c>
      <c r="AJ783">
        <v>0</v>
      </c>
      <c r="AK783" t="s">
        <v>497</v>
      </c>
      <c r="AL783">
        <v>33.768431999999997</v>
      </c>
      <c r="AM783" t="s">
        <v>498</v>
      </c>
      <c r="AN783">
        <v>-101.227276</v>
      </c>
      <c r="AO783">
        <v>100</v>
      </c>
      <c r="AP783">
        <v>3200</v>
      </c>
      <c r="AQ783" t="s">
        <v>131</v>
      </c>
      <c r="AR783">
        <v>-23</v>
      </c>
      <c r="AS783">
        <v>14</v>
      </c>
      <c r="AT783">
        <v>-256</v>
      </c>
      <c r="BB783" t="str">
        <f t="shared" si="72"/>
        <v>1200</v>
      </c>
      <c r="BC783">
        <v>1</v>
      </c>
      <c r="BD783" t="str">
        <f t="shared" si="73"/>
        <v xml:space="preserve">N445JS  </v>
      </c>
      <c r="BE783">
        <v>7</v>
      </c>
      <c r="BG783">
        <v>0</v>
      </c>
      <c r="BH783">
        <v>0</v>
      </c>
      <c r="BI783">
        <v>0</v>
      </c>
      <c r="BJ783">
        <v>3000</v>
      </c>
      <c r="BK783">
        <v>-200</v>
      </c>
      <c r="BL783" t="s">
        <v>132</v>
      </c>
      <c r="BM783">
        <v>1</v>
      </c>
      <c r="BN783">
        <v>1</v>
      </c>
      <c r="BO783">
        <v>1</v>
      </c>
      <c r="BP783">
        <v>0</v>
      </c>
      <c r="BT783">
        <v>0</v>
      </c>
      <c r="BU783">
        <v>0</v>
      </c>
      <c r="CE783" t="str">
        <f>"15:45:18.522"</f>
        <v>15:45:18.522</v>
      </c>
      <c r="CF783">
        <v>522389288</v>
      </c>
      <c r="CS783">
        <v>0</v>
      </c>
      <c r="CT783">
        <v>2</v>
      </c>
      <c r="CU783">
        <v>0</v>
      </c>
      <c r="CV783">
        <v>2</v>
      </c>
      <c r="CW783">
        <v>0</v>
      </c>
      <c r="CX783">
        <v>6</v>
      </c>
      <c r="CY783">
        <v>7</v>
      </c>
      <c r="CZ783" t="s">
        <v>133</v>
      </c>
      <c r="DA783">
        <v>125</v>
      </c>
      <c r="DB783">
        <v>0</v>
      </c>
      <c r="DC783" t="s">
        <v>134</v>
      </c>
      <c r="DD783" t="s">
        <v>135</v>
      </c>
      <c r="DG783">
        <v>3899238</v>
      </c>
      <c r="DI783">
        <v>0</v>
      </c>
      <c r="DJ783">
        <v>0</v>
      </c>
      <c r="DK783">
        <v>0</v>
      </c>
      <c r="DL783">
        <v>0</v>
      </c>
      <c r="DM783">
        <v>0</v>
      </c>
      <c r="DN783">
        <v>0</v>
      </c>
      <c r="DO783">
        <v>0</v>
      </c>
      <c r="DP783">
        <v>0</v>
      </c>
      <c r="DQ783">
        <v>0</v>
      </c>
      <c r="DR783">
        <v>0</v>
      </c>
      <c r="DS783">
        <v>0</v>
      </c>
    </row>
    <row r="784" spans="1:123" x14ac:dyDescent="0.25">
      <c r="A784" t="str">
        <f>"04/17/2026 15:45:18.785"</f>
        <v>04/17/2026 15:45:18.785</v>
      </c>
      <c r="C784" t="str">
        <f t="shared" si="71"/>
        <v>FFDFD3C0</v>
      </c>
      <c r="D784" t="s">
        <v>136</v>
      </c>
      <c r="E784" t="str">
        <f>"0F"</f>
        <v>0F</v>
      </c>
      <c r="F784">
        <v>1015</v>
      </c>
      <c r="G784" t="s">
        <v>138</v>
      </c>
      <c r="J784" t="s">
        <v>137</v>
      </c>
      <c r="K784">
        <v>0</v>
      </c>
      <c r="L784">
        <v>3</v>
      </c>
      <c r="M784">
        <v>0</v>
      </c>
      <c r="N784">
        <v>2</v>
      </c>
      <c r="O784">
        <v>1</v>
      </c>
      <c r="P784">
        <v>0</v>
      </c>
      <c r="Q784">
        <v>0</v>
      </c>
      <c r="R784" t="s">
        <v>127</v>
      </c>
      <c r="S784" t="str">
        <f>"15:45:18.516"</f>
        <v>15:45:18.516</v>
      </c>
      <c r="T784" t="str">
        <f>"15:45:18.416"</f>
        <v>15:45:18.416</v>
      </c>
      <c r="U784" t="str">
        <f t="shared" si="76"/>
        <v>A55E09</v>
      </c>
      <c r="V784">
        <v>0</v>
      </c>
      <c r="W784">
        <v>0</v>
      </c>
      <c r="X784">
        <v>2</v>
      </c>
      <c r="Y784">
        <v>0</v>
      </c>
      <c r="AA784">
        <v>0</v>
      </c>
      <c r="AB784">
        <v>9</v>
      </c>
      <c r="AC784">
        <v>3</v>
      </c>
      <c r="AD784">
        <v>0</v>
      </c>
      <c r="AE784">
        <v>9</v>
      </c>
      <c r="AF784" t="s">
        <v>128</v>
      </c>
      <c r="AG784">
        <v>0</v>
      </c>
      <c r="AH784">
        <v>0</v>
      </c>
      <c r="AI784">
        <v>1</v>
      </c>
      <c r="AJ784">
        <v>0</v>
      </c>
      <c r="AK784" t="s">
        <v>497</v>
      </c>
      <c r="AL784">
        <v>33.768431999999997</v>
      </c>
      <c r="AM784" t="s">
        <v>498</v>
      </c>
      <c r="AN784">
        <v>-101.227276</v>
      </c>
      <c r="AO784">
        <v>100</v>
      </c>
      <c r="AP784">
        <v>3200</v>
      </c>
      <c r="AQ784" t="s">
        <v>131</v>
      </c>
      <c r="AR784">
        <v>-23</v>
      </c>
      <c r="AS784">
        <v>14</v>
      </c>
      <c r="AT784">
        <v>-256</v>
      </c>
      <c r="BB784" t="str">
        <f t="shared" si="72"/>
        <v>1200</v>
      </c>
      <c r="BC784">
        <v>1</v>
      </c>
      <c r="BD784" t="str">
        <f t="shared" si="73"/>
        <v xml:space="preserve">N445JS  </v>
      </c>
      <c r="BE784">
        <v>7</v>
      </c>
      <c r="BG784">
        <v>0</v>
      </c>
      <c r="BH784">
        <v>0</v>
      </c>
      <c r="BI784">
        <v>0</v>
      </c>
      <c r="BJ784">
        <v>3000</v>
      </c>
      <c r="BK784">
        <v>-200</v>
      </c>
      <c r="BL784" t="s">
        <v>132</v>
      </c>
      <c r="BM784">
        <v>1</v>
      </c>
      <c r="BN784">
        <v>1</v>
      </c>
      <c r="BO784">
        <v>1</v>
      </c>
      <c r="BP784">
        <v>0</v>
      </c>
      <c r="BT784">
        <v>0</v>
      </c>
      <c r="BU784">
        <v>0</v>
      </c>
      <c r="CE784" t="str">
        <f>"15:45:18.522"</f>
        <v>15:45:18.522</v>
      </c>
      <c r="CF784">
        <v>522389288</v>
      </c>
      <c r="CS784">
        <v>0</v>
      </c>
      <c r="CT784">
        <v>2</v>
      </c>
      <c r="CU784">
        <v>0</v>
      </c>
      <c r="CV784">
        <v>2</v>
      </c>
      <c r="CW784">
        <v>0</v>
      </c>
      <c r="CX784">
        <v>6</v>
      </c>
      <c r="CY784">
        <v>7</v>
      </c>
      <c r="CZ784" t="s">
        <v>133</v>
      </c>
      <c r="DA784">
        <v>125</v>
      </c>
      <c r="DB784">
        <v>0</v>
      </c>
      <c r="DC784" t="s">
        <v>134</v>
      </c>
      <c r="DD784" t="s">
        <v>135</v>
      </c>
      <c r="DG784">
        <v>3899238</v>
      </c>
      <c r="DI784">
        <v>0</v>
      </c>
      <c r="DJ784">
        <v>0</v>
      </c>
      <c r="DK784">
        <v>1</v>
      </c>
      <c r="DL784">
        <v>0</v>
      </c>
      <c r="DM784">
        <v>0</v>
      </c>
      <c r="DN784">
        <v>0</v>
      </c>
      <c r="DO784">
        <v>0</v>
      </c>
      <c r="DP784">
        <v>0</v>
      </c>
      <c r="DQ784">
        <v>0</v>
      </c>
      <c r="DR784">
        <v>0</v>
      </c>
      <c r="DS784">
        <v>0</v>
      </c>
    </row>
    <row r="785" spans="1:123" x14ac:dyDescent="0.25">
      <c r="A785" t="str">
        <f>"04/17/2026 15:45:18.793"</f>
        <v>04/17/2026 15:45:18.793</v>
      </c>
      <c r="C785" t="str">
        <f t="shared" si="71"/>
        <v>FFDFD3C0</v>
      </c>
      <c r="D785" t="s">
        <v>139</v>
      </c>
      <c r="E785" t="str">
        <f>"28"</f>
        <v>28</v>
      </c>
      <c r="H785">
        <v>140</v>
      </c>
      <c r="I785" t="s">
        <v>140</v>
      </c>
      <c r="J785" t="s">
        <v>141</v>
      </c>
      <c r="K785">
        <v>0</v>
      </c>
      <c r="L785">
        <v>3</v>
      </c>
      <c r="M785">
        <v>0</v>
      </c>
      <c r="N785">
        <v>2</v>
      </c>
      <c r="O785">
        <v>1</v>
      </c>
      <c r="P785">
        <v>0</v>
      </c>
      <c r="Q785">
        <v>0</v>
      </c>
      <c r="R785" t="s">
        <v>127</v>
      </c>
      <c r="S785" t="str">
        <f>"15:45:18.516"</f>
        <v>15:45:18.516</v>
      </c>
      <c r="T785" t="str">
        <f>"15:45:18.416"</f>
        <v>15:45:18.416</v>
      </c>
      <c r="U785" t="str">
        <f t="shared" si="76"/>
        <v>A55E09</v>
      </c>
      <c r="V785">
        <v>0</v>
      </c>
      <c r="W785">
        <v>0</v>
      </c>
      <c r="X785">
        <v>2</v>
      </c>
      <c r="Y785">
        <v>0</v>
      </c>
      <c r="AA785">
        <v>0</v>
      </c>
      <c r="AB785">
        <v>9</v>
      </c>
      <c r="AC785">
        <v>3</v>
      </c>
      <c r="AD785">
        <v>0</v>
      </c>
      <c r="AE785">
        <v>9</v>
      </c>
      <c r="AF785" t="s">
        <v>128</v>
      </c>
      <c r="AG785">
        <v>0</v>
      </c>
      <c r="AH785">
        <v>0</v>
      </c>
      <c r="AI785">
        <v>1</v>
      </c>
      <c r="AJ785">
        <v>0</v>
      </c>
      <c r="AK785" t="s">
        <v>497</v>
      </c>
      <c r="AL785">
        <v>33.768431999999997</v>
      </c>
      <c r="AM785" t="s">
        <v>498</v>
      </c>
      <c r="AN785">
        <v>-101.227276</v>
      </c>
      <c r="AO785">
        <v>100</v>
      </c>
      <c r="AP785">
        <v>3200</v>
      </c>
      <c r="AQ785" t="s">
        <v>131</v>
      </c>
      <c r="AR785">
        <v>-23</v>
      </c>
      <c r="AS785">
        <v>14</v>
      </c>
      <c r="AT785">
        <v>-256</v>
      </c>
      <c r="BB785" t="str">
        <f t="shared" si="72"/>
        <v>1200</v>
      </c>
      <c r="BC785">
        <v>1</v>
      </c>
      <c r="BD785" t="str">
        <f t="shared" si="73"/>
        <v xml:space="preserve">N445JS  </v>
      </c>
      <c r="BE785">
        <v>7</v>
      </c>
      <c r="BG785">
        <v>0</v>
      </c>
      <c r="BH785">
        <v>0</v>
      </c>
      <c r="BI785">
        <v>0</v>
      </c>
      <c r="BJ785">
        <v>3000</v>
      </c>
      <c r="BK785">
        <v>-200</v>
      </c>
      <c r="BL785" t="s">
        <v>132</v>
      </c>
      <c r="BM785">
        <v>1</v>
      </c>
      <c r="BN785">
        <v>1</v>
      </c>
      <c r="BO785">
        <v>1</v>
      </c>
      <c r="BP785">
        <v>0</v>
      </c>
      <c r="BT785">
        <v>0</v>
      </c>
      <c r="BU785">
        <v>0</v>
      </c>
      <c r="CE785" t="str">
        <f>"15:45:18.522"</f>
        <v>15:45:18.522</v>
      </c>
      <c r="CF785">
        <v>522389288</v>
      </c>
      <c r="CS785">
        <v>0</v>
      </c>
      <c r="CT785">
        <v>2</v>
      </c>
      <c r="CU785">
        <v>0</v>
      </c>
      <c r="CV785">
        <v>2</v>
      </c>
      <c r="CW785">
        <v>0</v>
      </c>
      <c r="CX785">
        <v>6</v>
      </c>
      <c r="CY785">
        <v>7</v>
      </c>
      <c r="CZ785" t="s">
        <v>133</v>
      </c>
      <c r="DA785">
        <v>125</v>
      </c>
      <c r="DB785">
        <v>0</v>
      </c>
      <c r="DC785" t="s">
        <v>134</v>
      </c>
      <c r="DD785" t="s">
        <v>135</v>
      </c>
      <c r="DG785">
        <v>3899238</v>
      </c>
      <c r="DI785">
        <v>0</v>
      </c>
      <c r="DJ785">
        <v>0</v>
      </c>
      <c r="DK785">
        <v>1</v>
      </c>
      <c r="DL785">
        <v>0</v>
      </c>
      <c r="DM785">
        <v>0</v>
      </c>
      <c r="DN785">
        <v>0</v>
      </c>
      <c r="DO785">
        <v>0</v>
      </c>
      <c r="DP785">
        <v>0</v>
      </c>
      <c r="DQ785">
        <v>0</v>
      </c>
      <c r="DR785">
        <v>0</v>
      </c>
      <c r="DS785">
        <v>0</v>
      </c>
    </row>
    <row r="786" spans="1:123" x14ac:dyDescent="0.25">
      <c r="A786" t="str">
        <f>"04/17/2026 15:45:18.801"</f>
        <v>04/17/2026 15:45:18.801</v>
      </c>
      <c r="C786" t="str">
        <f t="shared" si="71"/>
        <v>FFDFD3C0</v>
      </c>
      <c r="D786" t="s">
        <v>124</v>
      </c>
      <c r="E786" t="str">
        <f>"03"</f>
        <v>03</v>
      </c>
      <c r="H786">
        <v>160</v>
      </c>
      <c r="I786" t="s">
        <v>125</v>
      </c>
      <c r="J786" t="s">
        <v>126</v>
      </c>
      <c r="K786">
        <v>0</v>
      </c>
      <c r="L786">
        <v>3</v>
      </c>
      <c r="M786">
        <v>0</v>
      </c>
      <c r="N786">
        <v>2</v>
      </c>
      <c r="O786">
        <v>1</v>
      </c>
      <c r="P786">
        <v>0</v>
      </c>
      <c r="Q786">
        <v>0</v>
      </c>
      <c r="R786" t="s">
        <v>127</v>
      </c>
      <c r="S786" t="str">
        <f>"15:45:18.516"</f>
        <v>15:45:18.516</v>
      </c>
      <c r="T786" t="str">
        <f>"15:45:18.416"</f>
        <v>15:45:18.416</v>
      </c>
      <c r="U786" t="str">
        <f t="shared" si="76"/>
        <v>A55E09</v>
      </c>
      <c r="V786">
        <v>0</v>
      </c>
      <c r="W786">
        <v>0</v>
      </c>
      <c r="X786">
        <v>2</v>
      </c>
      <c r="Y786">
        <v>0</v>
      </c>
      <c r="AA786">
        <v>0</v>
      </c>
      <c r="AB786">
        <v>9</v>
      </c>
      <c r="AC786">
        <v>3</v>
      </c>
      <c r="AD786">
        <v>0</v>
      </c>
      <c r="AE786">
        <v>9</v>
      </c>
      <c r="AF786" t="s">
        <v>128</v>
      </c>
      <c r="AG786">
        <v>0</v>
      </c>
      <c r="AH786">
        <v>0</v>
      </c>
      <c r="AI786">
        <v>1</v>
      </c>
      <c r="AJ786">
        <v>0</v>
      </c>
      <c r="AK786" t="s">
        <v>497</v>
      </c>
      <c r="AL786">
        <v>33.768431999999997</v>
      </c>
      <c r="AM786" t="s">
        <v>498</v>
      </c>
      <c r="AN786">
        <v>-101.227276</v>
      </c>
      <c r="AO786">
        <v>100</v>
      </c>
      <c r="AP786">
        <v>3200</v>
      </c>
      <c r="AQ786" t="s">
        <v>131</v>
      </c>
      <c r="AR786">
        <v>-23</v>
      </c>
      <c r="AS786">
        <v>14</v>
      </c>
      <c r="AT786">
        <v>-256</v>
      </c>
      <c r="BB786" t="str">
        <f t="shared" si="72"/>
        <v>1200</v>
      </c>
      <c r="BC786">
        <v>1</v>
      </c>
      <c r="BD786" t="str">
        <f t="shared" si="73"/>
        <v xml:space="preserve">N445JS  </v>
      </c>
      <c r="BE786">
        <v>7</v>
      </c>
      <c r="BG786">
        <v>0</v>
      </c>
      <c r="BH786">
        <v>0</v>
      </c>
      <c r="BI786">
        <v>0</v>
      </c>
      <c r="BJ786">
        <v>3000</v>
      </c>
      <c r="BK786">
        <v>-200</v>
      </c>
      <c r="BL786" t="s">
        <v>132</v>
      </c>
      <c r="BM786">
        <v>1</v>
      </c>
      <c r="BN786">
        <v>1</v>
      </c>
      <c r="BO786">
        <v>1</v>
      </c>
      <c r="BP786">
        <v>0</v>
      </c>
      <c r="BT786">
        <v>0</v>
      </c>
      <c r="BU786">
        <v>0</v>
      </c>
      <c r="CE786" t="str">
        <f>"15:45:18.522"</f>
        <v>15:45:18.522</v>
      </c>
      <c r="CF786">
        <v>522389288</v>
      </c>
      <c r="CS786">
        <v>0</v>
      </c>
      <c r="CT786">
        <v>2</v>
      </c>
      <c r="CU786">
        <v>0</v>
      </c>
      <c r="CV786">
        <v>2</v>
      </c>
      <c r="CW786">
        <v>0</v>
      </c>
      <c r="CX786">
        <v>6</v>
      </c>
      <c r="CY786">
        <v>7</v>
      </c>
      <c r="CZ786" t="s">
        <v>133</v>
      </c>
      <c r="DA786">
        <v>125</v>
      </c>
      <c r="DB786">
        <v>0</v>
      </c>
      <c r="DC786" t="s">
        <v>134</v>
      </c>
      <c r="DD786" t="s">
        <v>135</v>
      </c>
      <c r="DG786">
        <v>3899238</v>
      </c>
      <c r="DI786">
        <v>0</v>
      </c>
      <c r="DJ786">
        <v>0</v>
      </c>
      <c r="DK786">
        <v>1</v>
      </c>
      <c r="DL786">
        <v>0</v>
      </c>
      <c r="DM786">
        <v>0</v>
      </c>
      <c r="DN786">
        <v>0</v>
      </c>
      <c r="DO786">
        <v>0</v>
      </c>
      <c r="DP786">
        <v>0</v>
      </c>
      <c r="DQ786">
        <v>0</v>
      </c>
      <c r="DR786">
        <v>0</v>
      </c>
      <c r="DS786">
        <v>0</v>
      </c>
    </row>
    <row r="787" spans="1:123" x14ac:dyDescent="0.25">
      <c r="A787" t="str">
        <f>"04/17/2026 15:45:19.823"</f>
        <v>04/17/2026 15:45:19.823</v>
      </c>
      <c r="C787" t="str">
        <f t="shared" si="71"/>
        <v>FFDFD3C0</v>
      </c>
      <c r="D787" t="s">
        <v>136</v>
      </c>
      <c r="E787" t="str">
        <f>"0E"</f>
        <v>0E</v>
      </c>
      <c r="F787">
        <v>1014</v>
      </c>
      <c r="G787" t="s">
        <v>125</v>
      </c>
      <c r="J787" t="s">
        <v>137</v>
      </c>
      <c r="K787">
        <v>0</v>
      </c>
      <c r="L787">
        <v>3</v>
      </c>
      <c r="M787">
        <v>0</v>
      </c>
      <c r="N787">
        <v>2</v>
      </c>
      <c r="O787">
        <v>1</v>
      </c>
      <c r="P787">
        <v>0</v>
      </c>
      <c r="Q787">
        <v>0</v>
      </c>
      <c r="R787" t="s">
        <v>127</v>
      </c>
      <c r="S787" t="str">
        <f>"15:45:19.586"</f>
        <v>15:45:19.586</v>
      </c>
      <c r="T787" t="str">
        <f>"15:45:19.386"</f>
        <v>15:45:19.386</v>
      </c>
      <c r="U787" t="str">
        <f t="shared" si="76"/>
        <v>A55E09</v>
      </c>
      <c r="V787">
        <v>0</v>
      </c>
      <c r="W787">
        <v>0</v>
      </c>
      <c r="X787">
        <v>2</v>
      </c>
      <c r="Y787">
        <v>0</v>
      </c>
      <c r="AA787">
        <v>0</v>
      </c>
      <c r="AB787">
        <v>9</v>
      </c>
      <c r="AC787">
        <v>3</v>
      </c>
      <c r="AD787">
        <v>0</v>
      </c>
      <c r="AE787">
        <v>9</v>
      </c>
      <c r="AF787" t="s">
        <v>128</v>
      </c>
      <c r="AG787">
        <v>0</v>
      </c>
      <c r="AH787">
        <v>0</v>
      </c>
      <c r="AI787">
        <v>1</v>
      </c>
      <c r="AJ787">
        <v>0</v>
      </c>
      <c r="AK787" t="s">
        <v>499</v>
      </c>
      <c r="AL787">
        <v>33.768518</v>
      </c>
      <c r="AM787" t="s">
        <v>500</v>
      </c>
      <c r="AN787">
        <v>-101.227405</v>
      </c>
      <c r="AO787">
        <v>100</v>
      </c>
      <c r="AP787">
        <v>3200</v>
      </c>
      <c r="AQ787" t="s">
        <v>131</v>
      </c>
      <c r="AR787">
        <v>-24</v>
      </c>
      <c r="AS787">
        <v>10</v>
      </c>
      <c r="AT787">
        <v>-256</v>
      </c>
      <c r="BB787" t="str">
        <f t="shared" si="72"/>
        <v>1200</v>
      </c>
      <c r="BC787">
        <v>1</v>
      </c>
      <c r="BD787" t="str">
        <f t="shared" si="73"/>
        <v xml:space="preserve">N445JS  </v>
      </c>
      <c r="BE787">
        <v>7</v>
      </c>
      <c r="BG787">
        <v>0</v>
      </c>
      <c r="BH787">
        <v>0</v>
      </c>
      <c r="BI787">
        <v>0</v>
      </c>
      <c r="BJ787">
        <v>2975</v>
      </c>
      <c r="BK787">
        <v>-225</v>
      </c>
      <c r="BL787" t="s">
        <v>132</v>
      </c>
      <c r="BM787">
        <v>1</v>
      </c>
      <c r="BN787">
        <v>1</v>
      </c>
      <c r="BO787">
        <v>1</v>
      </c>
      <c r="BP787">
        <v>0</v>
      </c>
      <c r="BT787">
        <v>0</v>
      </c>
      <c r="BU787">
        <v>0</v>
      </c>
      <c r="CE787" t="str">
        <f>"15:45:19.587"</f>
        <v>15:45:19.587</v>
      </c>
      <c r="CF787">
        <v>587284926</v>
      </c>
      <c r="CS787">
        <v>0</v>
      </c>
      <c r="CT787">
        <v>2</v>
      </c>
      <c r="CU787">
        <v>0</v>
      </c>
      <c r="CV787">
        <v>2</v>
      </c>
      <c r="CW787">
        <v>0</v>
      </c>
      <c r="CX787">
        <v>5</v>
      </c>
      <c r="CY787">
        <v>7</v>
      </c>
      <c r="CZ787" t="s">
        <v>133</v>
      </c>
      <c r="DA787">
        <v>125</v>
      </c>
      <c r="DB787">
        <v>1</v>
      </c>
      <c r="DC787" t="s">
        <v>134</v>
      </c>
      <c r="DD787" t="s">
        <v>135</v>
      </c>
      <c r="DG787">
        <v>2922371</v>
      </c>
      <c r="DI787">
        <v>0</v>
      </c>
      <c r="DJ787">
        <v>0</v>
      </c>
      <c r="DK787">
        <v>0</v>
      </c>
      <c r="DL787">
        <v>0</v>
      </c>
      <c r="DM787">
        <v>0</v>
      </c>
      <c r="DN787">
        <v>0</v>
      </c>
      <c r="DO787">
        <v>0</v>
      </c>
      <c r="DP787">
        <v>0</v>
      </c>
      <c r="DQ787">
        <v>0</v>
      </c>
      <c r="DR787">
        <v>0</v>
      </c>
      <c r="DS787">
        <v>0</v>
      </c>
    </row>
    <row r="788" spans="1:123" x14ac:dyDescent="0.25">
      <c r="A788" t="str">
        <f>"04/17/2026 15:45:19.836"</f>
        <v>04/17/2026 15:45:19.836</v>
      </c>
      <c r="C788" t="str">
        <f t="shared" ref="C788:C822" si="77">"FFDFD3C0"</f>
        <v>FFDFD3C0</v>
      </c>
      <c r="D788" t="s">
        <v>136</v>
      </c>
      <c r="E788" t="str">
        <f>"0F"</f>
        <v>0F</v>
      </c>
      <c r="F788">
        <v>1015</v>
      </c>
      <c r="G788" t="s">
        <v>138</v>
      </c>
      <c r="J788" t="s">
        <v>137</v>
      </c>
      <c r="K788">
        <v>0</v>
      </c>
      <c r="L788">
        <v>3</v>
      </c>
      <c r="M788">
        <v>0</v>
      </c>
      <c r="N788">
        <v>2</v>
      </c>
      <c r="O788">
        <v>1</v>
      </c>
      <c r="P788">
        <v>0</v>
      </c>
      <c r="Q788">
        <v>0</v>
      </c>
      <c r="R788" t="s">
        <v>127</v>
      </c>
      <c r="S788" t="str">
        <f>"15:45:19.586"</f>
        <v>15:45:19.586</v>
      </c>
      <c r="T788" t="str">
        <f>"15:45:19.386"</f>
        <v>15:45:19.386</v>
      </c>
      <c r="U788" t="str">
        <f t="shared" si="76"/>
        <v>A55E09</v>
      </c>
      <c r="V788">
        <v>0</v>
      </c>
      <c r="W788">
        <v>0</v>
      </c>
      <c r="X788">
        <v>2</v>
      </c>
      <c r="Y788">
        <v>0</v>
      </c>
      <c r="AA788">
        <v>0</v>
      </c>
      <c r="AB788">
        <v>9</v>
      </c>
      <c r="AC788">
        <v>3</v>
      </c>
      <c r="AD788">
        <v>0</v>
      </c>
      <c r="AE788">
        <v>9</v>
      </c>
      <c r="AF788" t="s">
        <v>128</v>
      </c>
      <c r="AG788">
        <v>0</v>
      </c>
      <c r="AH788">
        <v>0</v>
      </c>
      <c r="AI788">
        <v>1</v>
      </c>
      <c r="AJ788">
        <v>0</v>
      </c>
      <c r="AK788" t="s">
        <v>499</v>
      </c>
      <c r="AL788">
        <v>33.768518</v>
      </c>
      <c r="AM788" t="s">
        <v>500</v>
      </c>
      <c r="AN788">
        <v>-101.227405</v>
      </c>
      <c r="AO788">
        <v>100</v>
      </c>
      <c r="AP788">
        <v>3200</v>
      </c>
      <c r="AQ788" t="s">
        <v>131</v>
      </c>
      <c r="AR788">
        <v>-24</v>
      </c>
      <c r="AS788">
        <v>10</v>
      </c>
      <c r="AT788">
        <v>-256</v>
      </c>
      <c r="BB788" t="str">
        <f t="shared" ref="BB788:BB822" si="78">"1200"</f>
        <v>1200</v>
      </c>
      <c r="BC788">
        <v>1</v>
      </c>
      <c r="BD788" t="str">
        <f t="shared" ref="BD788:BD822" si="79">"N445JS  "</f>
        <v xml:space="preserve">N445JS  </v>
      </c>
      <c r="BE788">
        <v>7</v>
      </c>
      <c r="BG788">
        <v>0</v>
      </c>
      <c r="BH788">
        <v>0</v>
      </c>
      <c r="BI788">
        <v>0</v>
      </c>
      <c r="BJ788">
        <v>2975</v>
      </c>
      <c r="BK788">
        <v>-225</v>
      </c>
      <c r="BL788" t="s">
        <v>132</v>
      </c>
      <c r="BM788">
        <v>1</v>
      </c>
      <c r="BN788">
        <v>1</v>
      </c>
      <c r="BO788">
        <v>1</v>
      </c>
      <c r="BP788">
        <v>0</v>
      </c>
      <c r="BT788">
        <v>0</v>
      </c>
      <c r="BU788">
        <v>0</v>
      </c>
      <c r="CE788" t="str">
        <f>"15:45:19.587"</f>
        <v>15:45:19.587</v>
      </c>
      <c r="CF788">
        <v>587284926</v>
      </c>
      <c r="CS788">
        <v>0</v>
      </c>
      <c r="CT788">
        <v>2</v>
      </c>
      <c r="CU788">
        <v>0</v>
      </c>
      <c r="CV788">
        <v>2</v>
      </c>
      <c r="CW788">
        <v>0</v>
      </c>
      <c r="CX788">
        <v>5</v>
      </c>
      <c r="CY788">
        <v>7</v>
      </c>
      <c r="CZ788" t="s">
        <v>133</v>
      </c>
      <c r="DA788">
        <v>125</v>
      </c>
      <c r="DB788">
        <v>1</v>
      </c>
      <c r="DC788" t="s">
        <v>134</v>
      </c>
      <c r="DD788" t="s">
        <v>135</v>
      </c>
      <c r="DG788">
        <v>2922371</v>
      </c>
      <c r="DI788">
        <v>0</v>
      </c>
      <c r="DJ788">
        <v>0</v>
      </c>
      <c r="DK788">
        <v>1</v>
      </c>
      <c r="DL788">
        <v>0</v>
      </c>
      <c r="DM788">
        <v>0</v>
      </c>
      <c r="DN788">
        <v>0</v>
      </c>
      <c r="DO788">
        <v>0</v>
      </c>
      <c r="DP788">
        <v>0</v>
      </c>
      <c r="DQ788">
        <v>0</v>
      </c>
      <c r="DR788">
        <v>0</v>
      </c>
      <c r="DS788">
        <v>0</v>
      </c>
    </row>
    <row r="789" spans="1:123" x14ac:dyDescent="0.25">
      <c r="A789" t="str">
        <f>"04/17/2026 15:45:19.845"</f>
        <v>04/17/2026 15:45:19.845</v>
      </c>
      <c r="C789" t="str">
        <f t="shared" si="77"/>
        <v>FFDFD3C0</v>
      </c>
      <c r="D789" t="s">
        <v>139</v>
      </c>
      <c r="E789" t="str">
        <f>"28"</f>
        <v>28</v>
      </c>
      <c r="H789">
        <v>140</v>
      </c>
      <c r="I789" t="s">
        <v>140</v>
      </c>
      <c r="J789" t="s">
        <v>141</v>
      </c>
      <c r="K789">
        <v>0</v>
      </c>
      <c r="L789">
        <v>3</v>
      </c>
      <c r="M789">
        <v>0</v>
      </c>
      <c r="N789">
        <v>2</v>
      </c>
      <c r="O789">
        <v>1</v>
      </c>
      <c r="P789">
        <v>0</v>
      </c>
      <c r="Q789">
        <v>0</v>
      </c>
      <c r="R789" t="s">
        <v>127</v>
      </c>
      <c r="S789" t="str">
        <f>"15:45:19.586"</f>
        <v>15:45:19.586</v>
      </c>
      <c r="T789" t="str">
        <f>"15:45:19.386"</f>
        <v>15:45:19.386</v>
      </c>
      <c r="U789" t="str">
        <f t="shared" si="76"/>
        <v>A55E09</v>
      </c>
      <c r="V789">
        <v>0</v>
      </c>
      <c r="W789">
        <v>0</v>
      </c>
      <c r="X789">
        <v>2</v>
      </c>
      <c r="Y789">
        <v>0</v>
      </c>
      <c r="AA789">
        <v>0</v>
      </c>
      <c r="AB789">
        <v>9</v>
      </c>
      <c r="AC789">
        <v>3</v>
      </c>
      <c r="AD789">
        <v>0</v>
      </c>
      <c r="AE789">
        <v>9</v>
      </c>
      <c r="AF789" t="s">
        <v>128</v>
      </c>
      <c r="AG789">
        <v>0</v>
      </c>
      <c r="AH789">
        <v>0</v>
      </c>
      <c r="AI789">
        <v>1</v>
      </c>
      <c r="AJ789">
        <v>0</v>
      </c>
      <c r="AK789" t="s">
        <v>499</v>
      </c>
      <c r="AL789">
        <v>33.768518</v>
      </c>
      <c r="AM789" t="s">
        <v>500</v>
      </c>
      <c r="AN789">
        <v>-101.227405</v>
      </c>
      <c r="AO789">
        <v>100</v>
      </c>
      <c r="AP789">
        <v>3200</v>
      </c>
      <c r="AQ789" t="s">
        <v>131</v>
      </c>
      <c r="AR789">
        <v>-24</v>
      </c>
      <c r="AS789">
        <v>10</v>
      </c>
      <c r="AT789">
        <v>-256</v>
      </c>
      <c r="BB789" t="str">
        <f t="shared" si="78"/>
        <v>1200</v>
      </c>
      <c r="BC789">
        <v>1</v>
      </c>
      <c r="BD789" t="str">
        <f t="shared" si="79"/>
        <v xml:space="preserve">N445JS  </v>
      </c>
      <c r="BE789">
        <v>7</v>
      </c>
      <c r="BG789">
        <v>0</v>
      </c>
      <c r="BH789">
        <v>0</v>
      </c>
      <c r="BI789">
        <v>0</v>
      </c>
      <c r="BJ789">
        <v>2975</v>
      </c>
      <c r="BK789">
        <v>-225</v>
      </c>
      <c r="BL789" t="s">
        <v>132</v>
      </c>
      <c r="BM789">
        <v>1</v>
      </c>
      <c r="BN789">
        <v>1</v>
      </c>
      <c r="BO789">
        <v>1</v>
      </c>
      <c r="BP789">
        <v>0</v>
      </c>
      <c r="BT789">
        <v>0</v>
      </c>
      <c r="BU789">
        <v>0</v>
      </c>
      <c r="CE789" t="str">
        <f>"15:45:19.587"</f>
        <v>15:45:19.587</v>
      </c>
      <c r="CF789">
        <v>587284926</v>
      </c>
      <c r="CS789">
        <v>0</v>
      </c>
      <c r="CT789">
        <v>2</v>
      </c>
      <c r="CU789">
        <v>0</v>
      </c>
      <c r="CV789">
        <v>2</v>
      </c>
      <c r="CW789">
        <v>0</v>
      </c>
      <c r="CX789">
        <v>5</v>
      </c>
      <c r="CY789">
        <v>7</v>
      </c>
      <c r="CZ789" t="s">
        <v>133</v>
      </c>
      <c r="DA789">
        <v>125</v>
      </c>
      <c r="DB789">
        <v>1</v>
      </c>
      <c r="DC789" t="s">
        <v>134</v>
      </c>
      <c r="DD789" t="s">
        <v>135</v>
      </c>
      <c r="DG789">
        <v>2922371</v>
      </c>
      <c r="DI789">
        <v>0</v>
      </c>
      <c r="DJ789">
        <v>0</v>
      </c>
      <c r="DK789">
        <v>1</v>
      </c>
      <c r="DL789">
        <v>0</v>
      </c>
      <c r="DM789">
        <v>0</v>
      </c>
      <c r="DN789">
        <v>0</v>
      </c>
      <c r="DO789">
        <v>0</v>
      </c>
      <c r="DP789">
        <v>0</v>
      </c>
      <c r="DQ789">
        <v>0</v>
      </c>
      <c r="DR789">
        <v>0</v>
      </c>
      <c r="DS789">
        <v>0</v>
      </c>
    </row>
    <row r="790" spans="1:123" x14ac:dyDescent="0.25">
      <c r="A790" t="str">
        <f>"04/17/2026 15:45:19.853"</f>
        <v>04/17/2026 15:45:19.853</v>
      </c>
      <c r="C790" t="str">
        <f t="shared" si="77"/>
        <v>FFDFD3C0</v>
      </c>
      <c r="D790" t="s">
        <v>124</v>
      </c>
      <c r="E790" t="str">
        <f>"03"</f>
        <v>03</v>
      </c>
      <c r="H790">
        <v>160</v>
      </c>
      <c r="I790" t="s">
        <v>125</v>
      </c>
      <c r="J790" t="s">
        <v>126</v>
      </c>
      <c r="K790">
        <v>0</v>
      </c>
      <c r="L790">
        <v>3</v>
      </c>
      <c r="M790">
        <v>0</v>
      </c>
      <c r="N790">
        <v>2</v>
      </c>
      <c r="O790">
        <v>1</v>
      </c>
      <c r="P790">
        <v>0</v>
      </c>
      <c r="Q790">
        <v>0</v>
      </c>
      <c r="R790" t="s">
        <v>127</v>
      </c>
      <c r="S790" t="str">
        <f>"15:45:19.586"</f>
        <v>15:45:19.586</v>
      </c>
      <c r="T790" t="str">
        <f>"15:45:19.386"</f>
        <v>15:45:19.386</v>
      </c>
      <c r="U790" t="str">
        <f t="shared" si="76"/>
        <v>A55E09</v>
      </c>
      <c r="V790">
        <v>0</v>
      </c>
      <c r="W790">
        <v>0</v>
      </c>
      <c r="X790">
        <v>2</v>
      </c>
      <c r="Y790">
        <v>0</v>
      </c>
      <c r="AA790">
        <v>0</v>
      </c>
      <c r="AB790">
        <v>9</v>
      </c>
      <c r="AC790">
        <v>3</v>
      </c>
      <c r="AD790">
        <v>0</v>
      </c>
      <c r="AE790">
        <v>9</v>
      </c>
      <c r="AF790" t="s">
        <v>128</v>
      </c>
      <c r="AG790">
        <v>0</v>
      </c>
      <c r="AH790">
        <v>0</v>
      </c>
      <c r="AI790">
        <v>1</v>
      </c>
      <c r="AJ790">
        <v>0</v>
      </c>
      <c r="AK790" t="s">
        <v>499</v>
      </c>
      <c r="AL790">
        <v>33.768518</v>
      </c>
      <c r="AM790" t="s">
        <v>500</v>
      </c>
      <c r="AN790">
        <v>-101.227405</v>
      </c>
      <c r="AO790">
        <v>100</v>
      </c>
      <c r="AP790">
        <v>3200</v>
      </c>
      <c r="AQ790" t="s">
        <v>131</v>
      </c>
      <c r="AR790">
        <v>-24</v>
      </c>
      <c r="AS790">
        <v>10</v>
      </c>
      <c r="AT790">
        <v>-256</v>
      </c>
      <c r="BB790" t="str">
        <f t="shared" si="78"/>
        <v>1200</v>
      </c>
      <c r="BC790">
        <v>1</v>
      </c>
      <c r="BD790" t="str">
        <f t="shared" si="79"/>
        <v xml:space="preserve">N445JS  </v>
      </c>
      <c r="BE790">
        <v>7</v>
      </c>
      <c r="BG790">
        <v>0</v>
      </c>
      <c r="BH790">
        <v>0</v>
      </c>
      <c r="BI790">
        <v>0</v>
      </c>
      <c r="BJ790">
        <v>2975</v>
      </c>
      <c r="BK790">
        <v>-225</v>
      </c>
      <c r="BL790" t="s">
        <v>132</v>
      </c>
      <c r="BM790">
        <v>1</v>
      </c>
      <c r="BN790">
        <v>1</v>
      </c>
      <c r="BO790">
        <v>1</v>
      </c>
      <c r="BP790">
        <v>0</v>
      </c>
      <c r="BT790">
        <v>0</v>
      </c>
      <c r="BU790">
        <v>0</v>
      </c>
      <c r="CE790" t="str">
        <f>"15:45:19.587"</f>
        <v>15:45:19.587</v>
      </c>
      <c r="CF790">
        <v>587284926</v>
      </c>
      <c r="CS790">
        <v>0</v>
      </c>
      <c r="CT790">
        <v>2</v>
      </c>
      <c r="CU790">
        <v>0</v>
      </c>
      <c r="CV790">
        <v>2</v>
      </c>
      <c r="CW790">
        <v>0</v>
      </c>
      <c r="CX790">
        <v>5</v>
      </c>
      <c r="CY790">
        <v>7</v>
      </c>
      <c r="CZ790" t="s">
        <v>133</v>
      </c>
      <c r="DA790">
        <v>125</v>
      </c>
      <c r="DB790">
        <v>1</v>
      </c>
      <c r="DC790" t="s">
        <v>134</v>
      </c>
      <c r="DD790" t="s">
        <v>135</v>
      </c>
      <c r="DG790">
        <v>2922371</v>
      </c>
      <c r="DI790">
        <v>0</v>
      </c>
      <c r="DJ790">
        <v>0</v>
      </c>
      <c r="DK790">
        <v>1</v>
      </c>
      <c r="DL790">
        <v>0</v>
      </c>
      <c r="DM790">
        <v>0</v>
      </c>
      <c r="DN790">
        <v>0</v>
      </c>
      <c r="DO790">
        <v>0</v>
      </c>
      <c r="DP790">
        <v>0</v>
      </c>
      <c r="DQ790">
        <v>0</v>
      </c>
      <c r="DR790">
        <v>0</v>
      </c>
      <c r="DS790">
        <v>0</v>
      </c>
    </row>
    <row r="791" spans="1:123" x14ac:dyDescent="0.25">
      <c r="A791" t="str">
        <f>"04/17/2026 15:45:20.838"</f>
        <v>04/17/2026 15:45:20.838</v>
      </c>
      <c r="C791" t="str">
        <f t="shared" si="77"/>
        <v>FFDFD3C0</v>
      </c>
      <c r="D791" t="s">
        <v>136</v>
      </c>
      <c r="E791" t="str">
        <f>"0F"</f>
        <v>0F</v>
      </c>
      <c r="F791">
        <v>1015</v>
      </c>
      <c r="G791" t="s">
        <v>138</v>
      </c>
      <c r="J791" t="s">
        <v>137</v>
      </c>
      <c r="K791">
        <v>0</v>
      </c>
      <c r="L791">
        <v>3</v>
      </c>
      <c r="M791">
        <v>0</v>
      </c>
      <c r="N791">
        <v>2</v>
      </c>
      <c r="O791">
        <v>1</v>
      </c>
      <c r="P791">
        <v>0</v>
      </c>
      <c r="Q791">
        <v>0</v>
      </c>
      <c r="R791" t="s">
        <v>127</v>
      </c>
      <c r="S791" t="str">
        <f>"15:45:20.555"</f>
        <v>15:45:20.555</v>
      </c>
      <c r="T791" t="str">
        <f>"15:45:20.255"</f>
        <v>15:45:20.255</v>
      </c>
      <c r="U791" t="str">
        <f t="shared" si="76"/>
        <v>A55E09</v>
      </c>
      <c r="V791">
        <v>0</v>
      </c>
      <c r="W791">
        <v>0</v>
      </c>
      <c r="X791">
        <v>2</v>
      </c>
      <c r="Y791">
        <v>0</v>
      </c>
      <c r="AA791">
        <v>0</v>
      </c>
      <c r="AB791">
        <v>9</v>
      </c>
      <c r="AC791">
        <v>3</v>
      </c>
      <c r="AD791">
        <v>0</v>
      </c>
      <c r="AE791">
        <v>9</v>
      </c>
      <c r="AF791" t="s">
        <v>128</v>
      </c>
      <c r="AG791">
        <v>0</v>
      </c>
      <c r="AH791">
        <v>0</v>
      </c>
      <c r="AI791">
        <v>1</v>
      </c>
      <c r="AJ791">
        <v>0</v>
      </c>
      <c r="AK791" t="s">
        <v>501</v>
      </c>
      <c r="AL791">
        <v>33.768538999999997</v>
      </c>
      <c r="AM791" t="s">
        <v>502</v>
      </c>
      <c r="AN791">
        <v>-101.227512</v>
      </c>
      <c r="AO791">
        <v>100</v>
      </c>
      <c r="AP791">
        <v>3200</v>
      </c>
      <c r="AQ791" t="s">
        <v>131</v>
      </c>
      <c r="AR791">
        <v>-25</v>
      </c>
      <c r="AS791">
        <v>6</v>
      </c>
      <c r="AT791">
        <v>-256</v>
      </c>
      <c r="BB791" t="str">
        <f t="shared" si="78"/>
        <v>1200</v>
      </c>
      <c r="BC791">
        <v>1</v>
      </c>
      <c r="BD791" t="str">
        <f t="shared" si="79"/>
        <v xml:space="preserve">N445JS  </v>
      </c>
      <c r="BE791">
        <v>7</v>
      </c>
      <c r="BG791">
        <v>0</v>
      </c>
      <c r="BH791">
        <v>0</v>
      </c>
      <c r="BI791">
        <v>0</v>
      </c>
      <c r="BJ791">
        <v>2975</v>
      </c>
      <c r="BK791">
        <v>-225</v>
      </c>
      <c r="BL791" t="s">
        <v>132</v>
      </c>
      <c r="BM791">
        <v>1</v>
      </c>
      <c r="BN791">
        <v>1</v>
      </c>
      <c r="BO791">
        <v>1</v>
      </c>
      <c r="BP791">
        <v>0</v>
      </c>
      <c r="BT791">
        <v>0</v>
      </c>
      <c r="BU791">
        <v>0</v>
      </c>
      <c r="CE791" t="str">
        <f>"15:45:20.562"</f>
        <v>15:45:20.562</v>
      </c>
      <c r="CF791">
        <v>562189344</v>
      </c>
      <c r="CS791">
        <v>0</v>
      </c>
      <c r="CT791">
        <v>2</v>
      </c>
      <c r="CU791">
        <v>0</v>
      </c>
      <c r="CV791">
        <v>2</v>
      </c>
      <c r="CW791">
        <v>0</v>
      </c>
      <c r="CX791">
        <v>5</v>
      </c>
      <c r="CY791">
        <v>7</v>
      </c>
      <c r="CZ791" t="s">
        <v>133</v>
      </c>
      <c r="DA791">
        <v>125</v>
      </c>
      <c r="DB791">
        <v>1</v>
      </c>
      <c r="DC791" t="s">
        <v>134</v>
      </c>
      <c r="DD791" t="s">
        <v>135</v>
      </c>
      <c r="DG791">
        <v>2923464</v>
      </c>
      <c r="DI791">
        <v>0</v>
      </c>
      <c r="DJ791">
        <v>0</v>
      </c>
      <c r="DK791">
        <v>0</v>
      </c>
      <c r="DL791">
        <v>0</v>
      </c>
      <c r="DM791">
        <v>0</v>
      </c>
      <c r="DN791">
        <v>0</v>
      </c>
      <c r="DO791">
        <v>0</v>
      </c>
      <c r="DP791">
        <v>0</v>
      </c>
      <c r="DQ791">
        <v>0</v>
      </c>
      <c r="DR791">
        <v>0</v>
      </c>
      <c r="DS791">
        <v>0</v>
      </c>
    </row>
    <row r="792" spans="1:123" x14ac:dyDescent="0.25">
      <c r="A792" t="str">
        <f>"04/17/2026 15:45:20.846"</f>
        <v>04/17/2026 15:45:20.846</v>
      </c>
      <c r="C792" t="str">
        <f t="shared" si="77"/>
        <v>FFDFD3C0</v>
      </c>
      <c r="D792" t="s">
        <v>139</v>
      </c>
      <c r="E792" t="str">
        <f>"28"</f>
        <v>28</v>
      </c>
      <c r="H792">
        <v>140</v>
      </c>
      <c r="I792" t="s">
        <v>140</v>
      </c>
      <c r="J792" t="s">
        <v>141</v>
      </c>
      <c r="K792">
        <v>0</v>
      </c>
      <c r="L792">
        <v>3</v>
      </c>
      <c r="M792">
        <v>0</v>
      </c>
      <c r="N792">
        <v>2</v>
      </c>
      <c r="O792">
        <v>1</v>
      </c>
      <c r="P792">
        <v>0</v>
      </c>
      <c r="Q792">
        <v>0</v>
      </c>
      <c r="R792" t="s">
        <v>127</v>
      </c>
      <c r="S792" t="str">
        <f>"15:45:20.555"</f>
        <v>15:45:20.555</v>
      </c>
      <c r="T792" t="str">
        <f>"15:45:20.255"</f>
        <v>15:45:20.255</v>
      </c>
      <c r="U792" t="str">
        <f t="shared" si="76"/>
        <v>A55E09</v>
      </c>
      <c r="V792">
        <v>0</v>
      </c>
      <c r="W792">
        <v>0</v>
      </c>
      <c r="X792">
        <v>2</v>
      </c>
      <c r="Y792">
        <v>0</v>
      </c>
      <c r="AA792">
        <v>0</v>
      </c>
      <c r="AB792">
        <v>9</v>
      </c>
      <c r="AC792">
        <v>3</v>
      </c>
      <c r="AD792">
        <v>0</v>
      </c>
      <c r="AE792">
        <v>9</v>
      </c>
      <c r="AF792" t="s">
        <v>128</v>
      </c>
      <c r="AG792">
        <v>0</v>
      </c>
      <c r="AH792">
        <v>0</v>
      </c>
      <c r="AI792">
        <v>1</v>
      </c>
      <c r="AJ792">
        <v>0</v>
      </c>
      <c r="AK792" t="s">
        <v>501</v>
      </c>
      <c r="AL792">
        <v>33.768538999999997</v>
      </c>
      <c r="AM792" t="s">
        <v>502</v>
      </c>
      <c r="AN792">
        <v>-101.227512</v>
      </c>
      <c r="AO792">
        <v>100</v>
      </c>
      <c r="AP792">
        <v>3200</v>
      </c>
      <c r="AQ792" t="s">
        <v>131</v>
      </c>
      <c r="AR792">
        <v>-25</v>
      </c>
      <c r="AS792">
        <v>6</v>
      </c>
      <c r="AT792">
        <v>-256</v>
      </c>
      <c r="BB792" t="str">
        <f t="shared" si="78"/>
        <v>1200</v>
      </c>
      <c r="BC792">
        <v>1</v>
      </c>
      <c r="BD792" t="str">
        <f t="shared" si="79"/>
        <v xml:space="preserve">N445JS  </v>
      </c>
      <c r="BE792">
        <v>7</v>
      </c>
      <c r="BG792">
        <v>0</v>
      </c>
      <c r="BH792">
        <v>0</v>
      </c>
      <c r="BI792">
        <v>0</v>
      </c>
      <c r="BJ792">
        <v>2975</v>
      </c>
      <c r="BK792">
        <v>-225</v>
      </c>
      <c r="BL792" t="s">
        <v>132</v>
      </c>
      <c r="BM792">
        <v>1</v>
      </c>
      <c r="BN792">
        <v>1</v>
      </c>
      <c r="BO792">
        <v>1</v>
      </c>
      <c r="BP792">
        <v>0</v>
      </c>
      <c r="BT792">
        <v>0</v>
      </c>
      <c r="BU792">
        <v>0</v>
      </c>
      <c r="CE792" t="str">
        <f>"15:45:20.562"</f>
        <v>15:45:20.562</v>
      </c>
      <c r="CF792">
        <v>562189344</v>
      </c>
      <c r="CS792">
        <v>0</v>
      </c>
      <c r="CT792">
        <v>2</v>
      </c>
      <c r="CU792">
        <v>0</v>
      </c>
      <c r="CV792">
        <v>2</v>
      </c>
      <c r="CW792">
        <v>0</v>
      </c>
      <c r="CX792">
        <v>5</v>
      </c>
      <c r="CY792">
        <v>7</v>
      </c>
      <c r="CZ792" t="s">
        <v>133</v>
      </c>
      <c r="DA792">
        <v>125</v>
      </c>
      <c r="DB792">
        <v>1</v>
      </c>
      <c r="DC792" t="s">
        <v>134</v>
      </c>
      <c r="DD792" t="s">
        <v>135</v>
      </c>
      <c r="DG792">
        <v>2923464</v>
      </c>
      <c r="DI792">
        <v>0</v>
      </c>
      <c r="DJ792">
        <v>0</v>
      </c>
      <c r="DK792">
        <v>1</v>
      </c>
      <c r="DL792">
        <v>0</v>
      </c>
      <c r="DM792">
        <v>0</v>
      </c>
      <c r="DN792">
        <v>0</v>
      </c>
      <c r="DO792">
        <v>0</v>
      </c>
      <c r="DP792">
        <v>0</v>
      </c>
      <c r="DQ792">
        <v>0</v>
      </c>
      <c r="DR792">
        <v>0</v>
      </c>
      <c r="DS792">
        <v>0</v>
      </c>
    </row>
    <row r="793" spans="1:123" x14ac:dyDescent="0.25">
      <c r="A793" t="str">
        <f>"04/17/2026 15:45:20.855"</f>
        <v>04/17/2026 15:45:20.855</v>
      </c>
      <c r="C793" t="str">
        <f t="shared" si="77"/>
        <v>FFDFD3C0</v>
      </c>
      <c r="D793" t="s">
        <v>124</v>
      </c>
      <c r="E793" t="str">
        <f>"03"</f>
        <v>03</v>
      </c>
      <c r="H793">
        <v>160</v>
      </c>
      <c r="I793" t="s">
        <v>125</v>
      </c>
      <c r="J793" t="s">
        <v>126</v>
      </c>
      <c r="K793">
        <v>0</v>
      </c>
      <c r="L793">
        <v>3</v>
      </c>
      <c r="M793">
        <v>0</v>
      </c>
      <c r="N793">
        <v>2</v>
      </c>
      <c r="O793">
        <v>1</v>
      </c>
      <c r="P793">
        <v>0</v>
      </c>
      <c r="Q793">
        <v>0</v>
      </c>
      <c r="R793" t="s">
        <v>127</v>
      </c>
      <c r="S793" t="str">
        <f>"15:45:20.555"</f>
        <v>15:45:20.555</v>
      </c>
      <c r="T793" t="str">
        <f>"15:45:20.255"</f>
        <v>15:45:20.255</v>
      </c>
      <c r="U793" t="str">
        <f t="shared" si="76"/>
        <v>A55E09</v>
      </c>
      <c r="V793">
        <v>0</v>
      </c>
      <c r="W793">
        <v>0</v>
      </c>
      <c r="X793">
        <v>2</v>
      </c>
      <c r="Y793">
        <v>0</v>
      </c>
      <c r="AA793">
        <v>0</v>
      </c>
      <c r="AB793">
        <v>9</v>
      </c>
      <c r="AC793">
        <v>3</v>
      </c>
      <c r="AD793">
        <v>0</v>
      </c>
      <c r="AE793">
        <v>9</v>
      </c>
      <c r="AF793" t="s">
        <v>128</v>
      </c>
      <c r="AG793">
        <v>0</v>
      </c>
      <c r="AH793">
        <v>0</v>
      </c>
      <c r="AI793">
        <v>1</v>
      </c>
      <c r="AJ793">
        <v>0</v>
      </c>
      <c r="AK793" t="s">
        <v>501</v>
      </c>
      <c r="AL793">
        <v>33.768538999999997</v>
      </c>
      <c r="AM793" t="s">
        <v>502</v>
      </c>
      <c r="AN793">
        <v>-101.227512</v>
      </c>
      <c r="AO793">
        <v>100</v>
      </c>
      <c r="AP793">
        <v>3200</v>
      </c>
      <c r="AQ793" t="s">
        <v>131</v>
      </c>
      <c r="AR793">
        <v>-25</v>
      </c>
      <c r="AS793">
        <v>6</v>
      </c>
      <c r="AT793">
        <v>-256</v>
      </c>
      <c r="BB793" t="str">
        <f t="shared" si="78"/>
        <v>1200</v>
      </c>
      <c r="BC793">
        <v>1</v>
      </c>
      <c r="BD793" t="str">
        <f t="shared" si="79"/>
        <v xml:space="preserve">N445JS  </v>
      </c>
      <c r="BE793">
        <v>7</v>
      </c>
      <c r="BG793">
        <v>0</v>
      </c>
      <c r="BH793">
        <v>0</v>
      </c>
      <c r="BI793">
        <v>0</v>
      </c>
      <c r="BJ793">
        <v>2975</v>
      </c>
      <c r="BK793">
        <v>-225</v>
      </c>
      <c r="BL793" t="s">
        <v>132</v>
      </c>
      <c r="BM793">
        <v>1</v>
      </c>
      <c r="BN793">
        <v>1</v>
      </c>
      <c r="BO793">
        <v>1</v>
      </c>
      <c r="BP793">
        <v>0</v>
      </c>
      <c r="BT793">
        <v>0</v>
      </c>
      <c r="BU793">
        <v>0</v>
      </c>
      <c r="CE793" t="str">
        <f>"15:45:20.562"</f>
        <v>15:45:20.562</v>
      </c>
      <c r="CF793">
        <v>562189344</v>
      </c>
      <c r="CS793">
        <v>0</v>
      </c>
      <c r="CT793">
        <v>2</v>
      </c>
      <c r="CU793">
        <v>0</v>
      </c>
      <c r="CV793">
        <v>2</v>
      </c>
      <c r="CW793">
        <v>0</v>
      </c>
      <c r="CX793">
        <v>5</v>
      </c>
      <c r="CY793">
        <v>7</v>
      </c>
      <c r="CZ793" t="s">
        <v>133</v>
      </c>
      <c r="DA793">
        <v>125</v>
      </c>
      <c r="DB793">
        <v>1</v>
      </c>
      <c r="DC793" t="s">
        <v>134</v>
      </c>
      <c r="DD793" t="s">
        <v>135</v>
      </c>
      <c r="DG793">
        <v>2923464</v>
      </c>
      <c r="DI793">
        <v>0</v>
      </c>
      <c r="DJ793">
        <v>0</v>
      </c>
      <c r="DK793">
        <v>1</v>
      </c>
      <c r="DL793">
        <v>0</v>
      </c>
      <c r="DM793">
        <v>0</v>
      </c>
      <c r="DN793">
        <v>0</v>
      </c>
      <c r="DO793">
        <v>0</v>
      </c>
      <c r="DP793">
        <v>0</v>
      </c>
      <c r="DQ793">
        <v>0</v>
      </c>
      <c r="DR793">
        <v>0</v>
      </c>
      <c r="DS793">
        <v>0</v>
      </c>
    </row>
    <row r="794" spans="1:123" x14ac:dyDescent="0.25">
      <c r="A794" t="str">
        <f>"04/17/2026 15:45:20.875"</f>
        <v>04/17/2026 15:45:20.875</v>
      </c>
      <c r="C794" t="str">
        <f t="shared" si="77"/>
        <v>FFDFD3C0</v>
      </c>
      <c r="D794" t="s">
        <v>136</v>
      </c>
      <c r="E794" t="str">
        <f>"0E"</f>
        <v>0E</v>
      </c>
      <c r="F794">
        <v>1014</v>
      </c>
      <c r="G794" t="s">
        <v>125</v>
      </c>
      <c r="J794" t="s">
        <v>137</v>
      </c>
      <c r="K794">
        <v>0</v>
      </c>
      <c r="L794">
        <v>3</v>
      </c>
      <c r="M794">
        <v>0</v>
      </c>
      <c r="N794">
        <v>2</v>
      </c>
      <c r="O794">
        <v>1</v>
      </c>
      <c r="P794">
        <v>0</v>
      </c>
      <c r="Q794">
        <v>0</v>
      </c>
      <c r="R794" t="s">
        <v>127</v>
      </c>
      <c r="S794" t="str">
        <f>"15:45:20.555"</f>
        <v>15:45:20.555</v>
      </c>
      <c r="T794" t="str">
        <f>"15:45:20.255"</f>
        <v>15:45:20.255</v>
      </c>
      <c r="U794" t="str">
        <f t="shared" si="76"/>
        <v>A55E09</v>
      </c>
      <c r="V794">
        <v>0</v>
      </c>
      <c r="W794">
        <v>0</v>
      </c>
      <c r="X794">
        <v>2</v>
      </c>
      <c r="Y794">
        <v>0</v>
      </c>
      <c r="AA794">
        <v>0</v>
      </c>
      <c r="AB794">
        <v>9</v>
      </c>
      <c r="AC794">
        <v>3</v>
      </c>
      <c r="AD794">
        <v>0</v>
      </c>
      <c r="AE794">
        <v>9</v>
      </c>
      <c r="AF794" t="s">
        <v>128</v>
      </c>
      <c r="AG794">
        <v>0</v>
      </c>
      <c r="AH794">
        <v>0</v>
      </c>
      <c r="AI794">
        <v>1</v>
      </c>
      <c r="AJ794">
        <v>0</v>
      </c>
      <c r="AK794" t="s">
        <v>501</v>
      </c>
      <c r="AL794">
        <v>33.768538999999997</v>
      </c>
      <c r="AM794" t="s">
        <v>502</v>
      </c>
      <c r="AN794">
        <v>-101.227512</v>
      </c>
      <c r="AO794">
        <v>100</v>
      </c>
      <c r="AP794">
        <v>3200</v>
      </c>
      <c r="AQ794" t="s">
        <v>131</v>
      </c>
      <c r="AR794">
        <v>-25</v>
      </c>
      <c r="AS794">
        <v>6</v>
      </c>
      <c r="AT794">
        <v>-256</v>
      </c>
      <c r="BB794" t="str">
        <f t="shared" si="78"/>
        <v>1200</v>
      </c>
      <c r="BC794">
        <v>1</v>
      </c>
      <c r="BD794" t="str">
        <f t="shared" si="79"/>
        <v xml:space="preserve">N445JS  </v>
      </c>
      <c r="BE794">
        <v>7</v>
      </c>
      <c r="BG794">
        <v>0</v>
      </c>
      <c r="BH794">
        <v>0</v>
      </c>
      <c r="BI794">
        <v>0</v>
      </c>
      <c r="BJ794">
        <v>2975</v>
      </c>
      <c r="BK794">
        <v>-225</v>
      </c>
      <c r="BL794" t="s">
        <v>132</v>
      </c>
      <c r="BM794">
        <v>1</v>
      </c>
      <c r="BN794">
        <v>1</v>
      </c>
      <c r="BO794">
        <v>1</v>
      </c>
      <c r="BP794">
        <v>0</v>
      </c>
      <c r="BT794">
        <v>0</v>
      </c>
      <c r="BU794">
        <v>0</v>
      </c>
      <c r="CE794" t="str">
        <f>"15:45:20.562"</f>
        <v>15:45:20.562</v>
      </c>
      <c r="CF794">
        <v>562189344</v>
      </c>
      <c r="CS794">
        <v>0</v>
      </c>
      <c r="CT794">
        <v>2</v>
      </c>
      <c r="CU794">
        <v>0</v>
      </c>
      <c r="CV794">
        <v>2</v>
      </c>
      <c r="CW794">
        <v>0</v>
      </c>
      <c r="CX794">
        <v>5</v>
      </c>
      <c r="CY794">
        <v>7</v>
      </c>
      <c r="CZ794" t="s">
        <v>133</v>
      </c>
      <c r="DA794">
        <v>125</v>
      </c>
      <c r="DB794">
        <v>1</v>
      </c>
      <c r="DC794" t="s">
        <v>134</v>
      </c>
      <c r="DD794" t="s">
        <v>135</v>
      </c>
      <c r="DG794">
        <v>2923464</v>
      </c>
      <c r="DI794">
        <v>0</v>
      </c>
      <c r="DJ794">
        <v>0</v>
      </c>
      <c r="DK794">
        <v>1</v>
      </c>
      <c r="DL794">
        <v>0</v>
      </c>
      <c r="DM794">
        <v>0</v>
      </c>
      <c r="DN794">
        <v>0</v>
      </c>
      <c r="DO794">
        <v>0</v>
      </c>
      <c r="DP794">
        <v>0</v>
      </c>
      <c r="DQ794">
        <v>0</v>
      </c>
      <c r="DR794">
        <v>0</v>
      </c>
      <c r="DS794">
        <v>0</v>
      </c>
    </row>
    <row r="795" spans="1:123" x14ac:dyDescent="0.25">
      <c r="A795" t="str">
        <f>"04/17/2026 15:45:22.427"</f>
        <v>04/17/2026 15:45:22.427</v>
      </c>
      <c r="C795" t="str">
        <f t="shared" si="77"/>
        <v>FFDFD3C0</v>
      </c>
      <c r="D795" t="s">
        <v>136</v>
      </c>
      <c r="E795" t="str">
        <f>"0E"</f>
        <v>0E</v>
      </c>
      <c r="F795">
        <v>1014</v>
      </c>
      <c r="G795" t="s">
        <v>125</v>
      </c>
      <c r="J795" t="s">
        <v>137</v>
      </c>
      <c r="K795">
        <v>0</v>
      </c>
      <c r="L795">
        <v>3</v>
      </c>
      <c r="M795">
        <v>0</v>
      </c>
      <c r="N795">
        <v>2</v>
      </c>
      <c r="O795">
        <v>1</v>
      </c>
      <c r="P795">
        <v>0</v>
      </c>
      <c r="Q795">
        <v>0</v>
      </c>
      <c r="R795" t="s">
        <v>127</v>
      </c>
      <c r="S795" t="str">
        <f>"15:45:22.164"</f>
        <v>15:45:22.164</v>
      </c>
      <c r="T795" t="str">
        <f>"15:45:21.964"</f>
        <v>15:45:21.964</v>
      </c>
      <c r="U795" t="str">
        <f t="shared" si="76"/>
        <v>A55E09</v>
      </c>
      <c r="V795">
        <v>0</v>
      </c>
      <c r="W795">
        <v>0</v>
      </c>
      <c r="X795">
        <v>2</v>
      </c>
      <c r="Y795">
        <v>0</v>
      </c>
      <c r="AA795">
        <v>0</v>
      </c>
      <c r="AB795">
        <v>9</v>
      </c>
      <c r="AC795">
        <v>3</v>
      </c>
      <c r="AD795">
        <v>0</v>
      </c>
      <c r="AE795">
        <v>9</v>
      </c>
      <c r="AF795" t="s">
        <v>128</v>
      </c>
      <c r="AG795">
        <v>0</v>
      </c>
      <c r="AH795">
        <v>0</v>
      </c>
      <c r="AI795">
        <v>1</v>
      </c>
      <c r="AJ795">
        <v>0</v>
      </c>
      <c r="AK795" t="s">
        <v>501</v>
      </c>
      <c r="AL795">
        <v>33.768538999999997</v>
      </c>
      <c r="AM795" t="s">
        <v>503</v>
      </c>
      <c r="AN795">
        <v>-101.227813</v>
      </c>
      <c r="AO795">
        <v>100</v>
      </c>
      <c r="AP795">
        <v>3200</v>
      </c>
      <c r="AQ795" t="s">
        <v>131</v>
      </c>
      <c r="AR795">
        <v>-24</v>
      </c>
      <c r="AS795">
        <v>0</v>
      </c>
      <c r="AT795">
        <v>0</v>
      </c>
      <c r="BB795" t="str">
        <f t="shared" si="78"/>
        <v>1200</v>
      </c>
      <c r="BC795">
        <v>1</v>
      </c>
      <c r="BD795" t="str">
        <f t="shared" si="79"/>
        <v xml:space="preserve">N445JS  </v>
      </c>
      <c r="BE795">
        <v>7</v>
      </c>
      <c r="BG795">
        <v>0</v>
      </c>
      <c r="BH795">
        <v>0</v>
      </c>
      <c r="BI795">
        <v>0</v>
      </c>
      <c r="BJ795">
        <v>2975</v>
      </c>
      <c r="BK795">
        <v>-225</v>
      </c>
      <c r="BL795" t="s">
        <v>132</v>
      </c>
      <c r="BM795">
        <v>1</v>
      </c>
      <c r="BN795">
        <v>1</v>
      </c>
      <c r="BO795">
        <v>1</v>
      </c>
      <c r="BP795">
        <v>0</v>
      </c>
      <c r="BT795">
        <v>0</v>
      </c>
      <c r="BU795">
        <v>0</v>
      </c>
      <c r="CE795" t="str">
        <f>"15:45:22.167"</f>
        <v>15:45:22.167</v>
      </c>
      <c r="CF795">
        <v>167032077</v>
      </c>
      <c r="CS795">
        <v>0</v>
      </c>
      <c r="CT795">
        <v>2</v>
      </c>
      <c r="CU795">
        <v>0</v>
      </c>
      <c r="CV795">
        <v>2</v>
      </c>
      <c r="CW795">
        <v>0</v>
      </c>
      <c r="CX795">
        <v>6</v>
      </c>
      <c r="CY795">
        <v>7</v>
      </c>
      <c r="CZ795" t="s">
        <v>133</v>
      </c>
      <c r="DA795">
        <v>125</v>
      </c>
      <c r="DB795">
        <v>0</v>
      </c>
      <c r="DC795" t="s">
        <v>134</v>
      </c>
      <c r="DD795" t="s">
        <v>135</v>
      </c>
      <c r="DG795">
        <v>3903288</v>
      </c>
      <c r="DI795">
        <v>0</v>
      </c>
      <c r="DJ795">
        <v>0</v>
      </c>
      <c r="DK795">
        <v>0</v>
      </c>
      <c r="DL795">
        <v>0</v>
      </c>
      <c r="DM795">
        <v>0</v>
      </c>
      <c r="DN795">
        <v>0</v>
      </c>
      <c r="DO795">
        <v>0</v>
      </c>
      <c r="DP795">
        <v>0</v>
      </c>
      <c r="DQ795">
        <v>0</v>
      </c>
      <c r="DR795">
        <v>0</v>
      </c>
      <c r="DS795">
        <v>0</v>
      </c>
    </row>
    <row r="796" spans="1:123" x14ac:dyDescent="0.25">
      <c r="A796" t="str">
        <f>"04/17/2026 15:45:22.441"</f>
        <v>04/17/2026 15:45:22.441</v>
      </c>
      <c r="C796" t="str">
        <f t="shared" si="77"/>
        <v>FFDFD3C0</v>
      </c>
      <c r="D796" t="s">
        <v>136</v>
      </c>
      <c r="E796" t="str">
        <f>"0F"</f>
        <v>0F</v>
      </c>
      <c r="F796">
        <v>1015</v>
      </c>
      <c r="G796" t="s">
        <v>138</v>
      </c>
      <c r="J796" t="s">
        <v>137</v>
      </c>
      <c r="K796">
        <v>0</v>
      </c>
      <c r="L796">
        <v>3</v>
      </c>
      <c r="M796">
        <v>0</v>
      </c>
      <c r="N796">
        <v>2</v>
      </c>
      <c r="O796">
        <v>1</v>
      </c>
      <c r="P796">
        <v>0</v>
      </c>
      <c r="Q796">
        <v>0</v>
      </c>
      <c r="R796" t="s">
        <v>127</v>
      </c>
      <c r="S796" t="str">
        <f>"15:45:22.164"</f>
        <v>15:45:22.164</v>
      </c>
      <c r="T796" t="str">
        <f>"15:45:21.964"</f>
        <v>15:45:21.964</v>
      </c>
      <c r="U796" t="str">
        <f t="shared" si="76"/>
        <v>A55E09</v>
      </c>
      <c r="V796">
        <v>0</v>
      </c>
      <c r="W796">
        <v>0</v>
      </c>
      <c r="X796">
        <v>2</v>
      </c>
      <c r="Y796">
        <v>0</v>
      </c>
      <c r="AA796">
        <v>0</v>
      </c>
      <c r="AB796">
        <v>9</v>
      </c>
      <c r="AC796">
        <v>3</v>
      </c>
      <c r="AD796">
        <v>0</v>
      </c>
      <c r="AE796">
        <v>9</v>
      </c>
      <c r="AF796" t="s">
        <v>128</v>
      </c>
      <c r="AG796">
        <v>0</v>
      </c>
      <c r="AH796">
        <v>0</v>
      </c>
      <c r="AI796">
        <v>1</v>
      </c>
      <c r="AJ796">
        <v>0</v>
      </c>
      <c r="AK796" t="s">
        <v>501</v>
      </c>
      <c r="AL796">
        <v>33.768538999999997</v>
      </c>
      <c r="AM796" t="s">
        <v>503</v>
      </c>
      <c r="AN796">
        <v>-101.227813</v>
      </c>
      <c r="AO796">
        <v>100</v>
      </c>
      <c r="AP796">
        <v>3200</v>
      </c>
      <c r="AQ796" t="s">
        <v>131</v>
      </c>
      <c r="AR796">
        <v>-24</v>
      </c>
      <c r="AS796">
        <v>0</v>
      </c>
      <c r="AT796">
        <v>0</v>
      </c>
      <c r="BB796" t="str">
        <f t="shared" si="78"/>
        <v>1200</v>
      </c>
      <c r="BC796">
        <v>1</v>
      </c>
      <c r="BD796" t="str">
        <f t="shared" si="79"/>
        <v xml:space="preserve">N445JS  </v>
      </c>
      <c r="BE796">
        <v>7</v>
      </c>
      <c r="BG796">
        <v>0</v>
      </c>
      <c r="BH796">
        <v>0</v>
      </c>
      <c r="BI796">
        <v>0</v>
      </c>
      <c r="BJ796">
        <v>2975</v>
      </c>
      <c r="BK796">
        <v>-225</v>
      </c>
      <c r="BL796" t="s">
        <v>132</v>
      </c>
      <c r="BM796">
        <v>1</v>
      </c>
      <c r="BN796">
        <v>1</v>
      </c>
      <c r="BO796">
        <v>1</v>
      </c>
      <c r="BP796">
        <v>0</v>
      </c>
      <c r="BT796">
        <v>0</v>
      </c>
      <c r="BU796">
        <v>0</v>
      </c>
      <c r="CE796" t="str">
        <f>"15:45:22.167"</f>
        <v>15:45:22.167</v>
      </c>
      <c r="CF796">
        <v>167032077</v>
      </c>
      <c r="CS796">
        <v>0</v>
      </c>
      <c r="CT796">
        <v>2</v>
      </c>
      <c r="CU796">
        <v>0</v>
      </c>
      <c r="CV796">
        <v>2</v>
      </c>
      <c r="CW796">
        <v>0</v>
      </c>
      <c r="CX796">
        <v>6</v>
      </c>
      <c r="CY796">
        <v>7</v>
      </c>
      <c r="CZ796" t="s">
        <v>133</v>
      </c>
      <c r="DA796">
        <v>125</v>
      </c>
      <c r="DB796">
        <v>0</v>
      </c>
      <c r="DC796" t="s">
        <v>134</v>
      </c>
      <c r="DD796" t="s">
        <v>135</v>
      </c>
      <c r="DG796">
        <v>3903288</v>
      </c>
      <c r="DI796">
        <v>0</v>
      </c>
      <c r="DJ796">
        <v>0</v>
      </c>
      <c r="DK796">
        <v>1</v>
      </c>
      <c r="DL796">
        <v>0</v>
      </c>
      <c r="DM796">
        <v>0</v>
      </c>
      <c r="DN796">
        <v>0</v>
      </c>
      <c r="DO796">
        <v>0</v>
      </c>
      <c r="DP796">
        <v>0</v>
      </c>
      <c r="DQ796">
        <v>0</v>
      </c>
      <c r="DR796">
        <v>0</v>
      </c>
      <c r="DS796">
        <v>0</v>
      </c>
    </row>
    <row r="797" spans="1:123" x14ac:dyDescent="0.25">
      <c r="A797" t="str">
        <f>"04/17/2026 15:45:22.450"</f>
        <v>04/17/2026 15:45:22.450</v>
      </c>
      <c r="C797" t="str">
        <f t="shared" si="77"/>
        <v>FFDFD3C0</v>
      </c>
      <c r="D797" t="s">
        <v>139</v>
      </c>
      <c r="E797" t="str">
        <f>"28"</f>
        <v>28</v>
      </c>
      <c r="H797">
        <v>140</v>
      </c>
      <c r="I797" t="s">
        <v>140</v>
      </c>
      <c r="J797" t="s">
        <v>141</v>
      </c>
      <c r="K797">
        <v>0</v>
      </c>
      <c r="L797">
        <v>3</v>
      </c>
      <c r="M797">
        <v>0</v>
      </c>
      <c r="N797">
        <v>2</v>
      </c>
      <c r="O797">
        <v>1</v>
      </c>
      <c r="P797">
        <v>0</v>
      </c>
      <c r="Q797">
        <v>0</v>
      </c>
      <c r="R797" t="s">
        <v>127</v>
      </c>
      <c r="S797" t="str">
        <f>"15:45:22.164"</f>
        <v>15:45:22.164</v>
      </c>
      <c r="T797" t="str">
        <f>"15:45:21.964"</f>
        <v>15:45:21.964</v>
      </c>
      <c r="U797" t="str">
        <f t="shared" si="76"/>
        <v>A55E09</v>
      </c>
      <c r="V797">
        <v>0</v>
      </c>
      <c r="W797">
        <v>0</v>
      </c>
      <c r="X797">
        <v>2</v>
      </c>
      <c r="Y797">
        <v>0</v>
      </c>
      <c r="AA797">
        <v>0</v>
      </c>
      <c r="AB797">
        <v>9</v>
      </c>
      <c r="AC797">
        <v>3</v>
      </c>
      <c r="AD797">
        <v>0</v>
      </c>
      <c r="AE797">
        <v>9</v>
      </c>
      <c r="AF797" t="s">
        <v>128</v>
      </c>
      <c r="AG797">
        <v>0</v>
      </c>
      <c r="AH797">
        <v>0</v>
      </c>
      <c r="AI797">
        <v>1</v>
      </c>
      <c r="AJ797">
        <v>0</v>
      </c>
      <c r="AK797" t="s">
        <v>501</v>
      </c>
      <c r="AL797">
        <v>33.768538999999997</v>
      </c>
      <c r="AM797" t="s">
        <v>503</v>
      </c>
      <c r="AN797">
        <v>-101.227813</v>
      </c>
      <c r="AO797">
        <v>100</v>
      </c>
      <c r="AP797">
        <v>3200</v>
      </c>
      <c r="AQ797" t="s">
        <v>131</v>
      </c>
      <c r="AR797">
        <v>-24</v>
      </c>
      <c r="AS797">
        <v>0</v>
      </c>
      <c r="AT797">
        <v>0</v>
      </c>
      <c r="BB797" t="str">
        <f t="shared" si="78"/>
        <v>1200</v>
      </c>
      <c r="BC797">
        <v>1</v>
      </c>
      <c r="BD797" t="str">
        <f t="shared" si="79"/>
        <v xml:space="preserve">N445JS  </v>
      </c>
      <c r="BE797">
        <v>7</v>
      </c>
      <c r="BG797">
        <v>0</v>
      </c>
      <c r="BH797">
        <v>0</v>
      </c>
      <c r="BI797">
        <v>0</v>
      </c>
      <c r="BJ797">
        <v>2975</v>
      </c>
      <c r="BK797">
        <v>-225</v>
      </c>
      <c r="BL797" t="s">
        <v>132</v>
      </c>
      <c r="BM797">
        <v>1</v>
      </c>
      <c r="BN797">
        <v>1</v>
      </c>
      <c r="BO797">
        <v>1</v>
      </c>
      <c r="BP797">
        <v>0</v>
      </c>
      <c r="BT797">
        <v>0</v>
      </c>
      <c r="BU797">
        <v>0</v>
      </c>
      <c r="CE797" t="str">
        <f>"15:45:22.167"</f>
        <v>15:45:22.167</v>
      </c>
      <c r="CF797">
        <v>167032077</v>
      </c>
      <c r="CS797">
        <v>0</v>
      </c>
      <c r="CT797">
        <v>2</v>
      </c>
      <c r="CU797">
        <v>0</v>
      </c>
      <c r="CV797">
        <v>2</v>
      </c>
      <c r="CW797">
        <v>0</v>
      </c>
      <c r="CX797">
        <v>6</v>
      </c>
      <c r="CY797">
        <v>7</v>
      </c>
      <c r="CZ797" t="s">
        <v>133</v>
      </c>
      <c r="DA797">
        <v>125</v>
      </c>
      <c r="DB797">
        <v>0</v>
      </c>
      <c r="DC797" t="s">
        <v>134</v>
      </c>
      <c r="DD797" t="s">
        <v>135</v>
      </c>
      <c r="DG797">
        <v>3903288</v>
      </c>
      <c r="DI797">
        <v>0</v>
      </c>
      <c r="DJ797">
        <v>0</v>
      </c>
      <c r="DK797">
        <v>1</v>
      </c>
      <c r="DL797">
        <v>0</v>
      </c>
      <c r="DM797">
        <v>0</v>
      </c>
      <c r="DN797">
        <v>0</v>
      </c>
      <c r="DO797">
        <v>0</v>
      </c>
      <c r="DP797">
        <v>0</v>
      </c>
      <c r="DQ797">
        <v>0</v>
      </c>
      <c r="DR797">
        <v>0</v>
      </c>
      <c r="DS797">
        <v>0</v>
      </c>
    </row>
    <row r="798" spans="1:123" x14ac:dyDescent="0.25">
      <c r="A798" t="str">
        <f>"04/17/2026 15:45:22.458"</f>
        <v>04/17/2026 15:45:22.458</v>
      </c>
      <c r="C798" t="str">
        <f t="shared" si="77"/>
        <v>FFDFD3C0</v>
      </c>
      <c r="D798" t="s">
        <v>124</v>
      </c>
      <c r="E798" t="str">
        <f>"03"</f>
        <v>03</v>
      </c>
      <c r="H798">
        <v>160</v>
      </c>
      <c r="I798" t="s">
        <v>125</v>
      </c>
      <c r="J798" t="s">
        <v>126</v>
      </c>
      <c r="K798">
        <v>0</v>
      </c>
      <c r="L798">
        <v>3</v>
      </c>
      <c r="M798">
        <v>0</v>
      </c>
      <c r="N798">
        <v>2</v>
      </c>
      <c r="O798">
        <v>1</v>
      </c>
      <c r="P798">
        <v>0</v>
      </c>
      <c r="Q798">
        <v>0</v>
      </c>
      <c r="R798" t="s">
        <v>127</v>
      </c>
      <c r="S798" t="str">
        <f>"15:45:22.164"</f>
        <v>15:45:22.164</v>
      </c>
      <c r="T798" t="str">
        <f>"15:45:21.964"</f>
        <v>15:45:21.964</v>
      </c>
      <c r="U798" t="str">
        <f t="shared" si="76"/>
        <v>A55E09</v>
      </c>
      <c r="V798">
        <v>0</v>
      </c>
      <c r="W798">
        <v>0</v>
      </c>
      <c r="X798">
        <v>2</v>
      </c>
      <c r="Y798">
        <v>0</v>
      </c>
      <c r="AA798">
        <v>0</v>
      </c>
      <c r="AB798">
        <v>9</v>
      </c>
      <c r="AC798">
        <v>3</v>
      </c>
      <c r="AD798">
        <v>0</v>
      </c>
      <c r="AE798">
        <v>9</v>
      </c>
      <c r="AF798" t="s">
        <v>128</v>
      </c>
      <c r="AG798">
        <v>0</v>
      </c>
      <c r="AH798">
        <v>0</v>
      </c>
      <c r="AI798">
        <v>1</v>
      </c>
      <c r="AJ798">
        <v>0</v>
      </c>
      <c r="AK798" t="s">
        <v>501</v>
      </c>
      <c r="AL798">
        <v>33.768538999999997</v>
      </c>
      <c r="AM798" t="s">
        <v>503</v>
      </c>
      <c r="AN798">
        <v>-101.227813</v>
      </c>
      <c r="AO798">
        <v>100</v>
      </c>
      <c r="AP798">
        <v>3200</v>
      </c>
      <c r="AQ798" t="s">
        <v>131</v>
      </c>
      <c r="AR798">
        <v>-24</v>
      </c>
      <c r="AS798">
        <v>0</v>
      </c>
      <c r="AT798">
        <v>0</v>
      </c>
      <c r="BB798" t="str">
        <f t="shared" si="78"/>
        <v>1200</v>
      </c>
      <c r="BC798">
        <v>1</v>
      </c>
      <c r="BD798" t="str">
        <f t="shared" si="79"/>
        <v xml:space="preserve">N445JS  </v>
      </c>
      <c r="BE798">
        <v>7</v>
      </c>
      <c r="BG798">
        <v>0</v>
      </c>
      <c r="BH798">
        <v>0</v>
      </c>
      <c r="BI798">
        <v>0</v>
      </c>
      <c r="BJ798">
        <v>2975</v>
      </c>
      <c r="BK798">
        <v>-225</v>
      </c>
      <c r="BL798" t="s">
        <v>132</v>
      </c>
      <c r="BM798">
        <v>1</v>
      </c>
      <c r="BN798">
        <v>1</v>
      </c>
      <c r="BO798">
        <v>1</v>
      </c>
      <c r="BP798">
        <v>0</v>
      </c>
      <c r="BT798">
        <v>0</v>
      </c>
      <c r="BU798">
        <v>0</v>
      </c>
      <c r="CE798" t="str">
        <f>"15:45:22.167"</f>
        <v>15:45:22.167</v>
      </c>
      <c r="CF798">
        <v>167032077</v>
      </c>
      <c r="CS798">
        <v>0</v>
      </c>
      <c r="CT798">
        <v>2</v>
      </c>
      <c r="CU798">
        <v>0</v>
      </c>
      <c r="CV798">
        <v>2</v>
      </c>
      <c r="CW798">
        <v>0</v>
      </c>
      <c r="CX798">
        <v>6</v>
      </c>
      <c r="CY798">
        <v>7</v>
      </c>
      <c r="CZ798" t="s">
        <v>133</v>
      </c>
      <c r="DA798">
        <v>125</v>
      </c>
      <c r="DB798">
        <v>0</v>
      </c>
      <c r="DC798" t="s">
        <v>134</v>
      </c>
      <c r="DD798" t="s">
        <v>135</v>
      </c>
      <c r="DG798">
        <v>3903288</v>
      </c>
      <c r="DI798">
        <v>0</v>
      </c>
      <c r="DJ798">
        <v>0</v>
      </c>
      <c r="DK798">
        <v>1</v>
      </c>
      <c r="DL798">
        <v>0</v>
      </c>
      <c r="DM798">
        <v>0</v>
      </c>
      <c r="DN798">
        <v>0</v>
      </c>
      <c r="DO798">
        <v>0</v>
      </c>
      <c r="DP798">
        <v>0</v>
      </c>
      <c r="DQ798">
        <v>0</v>
      </c>
      <c r="DR798">
        <v>0</v>
      </c>
      <c r="DS798">
        <v>0</v>
      </c>
    </row>
    <row r="799" spans="1:123" x14ac:dyDescent="0.25">
      <c r="A799" t="str">
        <f>"04/17/2026 15:45:23.452"</f>
        <v>04/17/2026 15:45:23.452</v>
      </c>
      <c r="C799" t="str">
        <f t="shared" si="77"/>
        <v>FFDFD3C0</v>
      </c>
      <c r="D799" t="s">
        <v>139</v>
      </c>
      <c r="E799" t="str">
        <f>"28"</f>
        <v>28</v>
      </c>
      <c r="H799">
        <v>140</v>
      </c>
      <c r="I799" t="s">
        <v>140</v>
      </c>
      <c r="J799" t="s">
        <v>141</v>
      </c>
      <c r="K799">
        <v>0</v>
      </c>
      <c r="L799">
        <v>3</v>
      </c>
      <c r="M799">
        <v>0</v>
      </c>
      <c r="N799">
        <v>2</v>
      </c>
      <c r="O799">
        <v>1</v>
      </c>
      <c r="P799">
        <v>0</v>
      </c>
      <c r="Q799">
        <v>0</v>
      </c>
      <c r="R799" t="s">
        <v>127</v>
      </c>
      <c r="S799" t="str">
        <f>"15:45:23.211"</f>
        <v>15:45:23.211</v>
      </c>
      <c r="T799" t="str">
        <f>"15:45:22.811"</f>
        <v>15:45:22.811</v>
      </c>
      <c r="U799" t="str">
        <f t="shared" si="76"/>
        <v>A55E09</v>
      </c>
      <c r="V799">
        <v>0</v>
      </c>
      <c r="W799">
        <v>0</v>
      </c>
      <c r="X799">
        <v>2</v>
      </c>
      <c r="Y799">
        <v>0</v>
      </c>
      <c r="AA799">
        <v>0</v>
      </c>
      <c r="AB799">
        <v>9</v>
      </c>
      <c r="AC799">
        <v>3</v>
      </c>
      <c r="AD799">
        <v>0</v>
      </c>
      <c r="AE799">
        <v>9</v>
      </c>
      <c r="AF799" t="s">
        <v>128</v>
      </c>
      <c r="AG799">
        <v>0</v>
      </c>
      <c r="AH799">
        <v>0</v>
      </c>
      <c r="AI799">
        <v>1</v>
      </c>
      <c r="AJ799">
        <v>0</v>
      </c>
      <c r="AK799" t="s">
        <v>499</v>
      </c>
      <c r="AL799">
        <v>33.768518</v>
      </c>
      <c r="AM799" t="s">
        <v>504</v>
      </c>
      <c r="AN799">
        <v>-101.22792</v>
      </c>
      <c r="AO799">
        <v>100</v>
      </c>
      <c r="AP799">
        <v>3200</v>
      </c>
      <c r="AQ799" t="s">
        <v>131</v>
      </c>
      <c r="AR799">
        <v>-24</v>
      </c>
      <c r="AS799">
        <v>-2</v>
      </c>
      <c r="AT799">
        <v>-64</v>
      </c>
      <c r="BB799" t="str">
        <f t="shared" si="78"/>
        <v>1200</v>
      </c>
      <c r="BC799">
        <v>1</v>
      </c>
      <c r="BD799" t="str">
        <f t="shared" si="79"/>
        <v xml:space="preserve">N445JS  </v>
      </c>
      <c r="BE799">
        <v>7</v>
      </c>
      <c r="BG799">
        <v>0</v>
      </c>
      <c r="BH799">
        <v>0</v>
      </c>
      <c r="BI799">
        <v>0</v>
      </c>
      <c r="BJ799">
        <v>2975</v>
      </c>
      <c r="BK799">
        <v>-225</v>
      </c>
      <c r="BL799" t="s">
        <v>132</v>
      </c>
      <c r="BM799">
        <v>1</v>
      </c>
      <c r="BN799">
        <v>1</v>
      </c>
      <c r="BO799">
        <v>1</v>
      </c>
      <c r="BP799">
        <v>0</v>
      </c>
      <c r="BT799">
        <v>0</v>
      </c>
      <c r="BU799">
        <v>0</v>
      </c>
      <c r="CE799" t="str">
        <f>"15:45:23.217"</f>
        <v>15:45:23.217</v>
      </c>
      <c r="CF799">
        <v>216929169</v>
      </c>
      <c r="CS799">
        <v>0</v>
      </c>
      <c r="CT799">
        <v>2</v>
      </c>
      <c r="CU799">
        <v>0</v>
      </c>
      <c r="CV799">
        <v>2</v>
      </c>
      <c r="CW799">
        <v>0</v>
      </c>
      <c r="CX799">
        <v>5</v>
      </c>
      <c r="CY799">
        <v>7</v>
      </c>
      <c r="CZ799" t="s">
        <v>133</v>
      </c>
      <c r="DA799">
        <v>125</v>
      </c>
      <c r="DB799">
        <v>0</v>
      </c>
      <c r="DC799" t="s">
        <v>134</v>
      </c>
      <c r="DD799" t="s">
        <v>135</v>
      </c>
      <c r="DG799">
        <v>3904390</v>
      </c>
      <c r="DI799">
        <v>0</v>
      </c>
      <c r="DJ799">
        <v>0</v>
      </c>
      <c r="DK799">
        <v>0</v>
      </c>
      <c r="DL799">
        <v>0</v>
      </c>
      <c r="DM799">
        <v>0</v>
      </c>
      <c r="DN799">
        <v>0</v>
      </c>
      <c r="DO799">
        <v>0</v>
      </c>
      <c r="DP799">
        <v>0</v>
      </c>
      <c r="DQ799">
        <v>0</v>
      </c>
      <c r="DR799">
        <v>0</v>
      </c>
      <c r="DS799">
        <v>0</v>
      </c>
    </row>
    <row r="800" spans="1:123" x14ac:dyDescent="0.25">
      <c r="A800" t="str">
        <f>"04/17/2026 15:45:23.460"</f>
        <v>04/17/2026 15:45:23.460</v>
      </c>
      <c r="C800" t="str">
        <f t="shared" si="77"/>
        <v>FFDFD3C0</v>
      </c>
      <c r="D800" t="s">
        <v>124</v>
      </c>
      <c r="E800" t="str">
        <f>"03"</f>
        <v>03</v>
      </c>
      <c r="H800">
        <v>160</v>
      </c>
      <c r="I800" t="s">
        <v>125</v>
      </c>
      <c r="J800" t="s">
        <v>126</v>
      </c>
      <c r="K800">
        <v>0</v>
      </c>
      <c r="L800">
        <v>3</v>
      </c>
      <c r="M800">
        <v>0</v>
      </c>
      <c r="N800">
        <v>2</v>
      </c>
      <c r="O800">
        <v>1</v>
      </c>
      <c r="P800">
        <v>0</v>
      </c>
      <c r="Q800">
        <v>0</v>
      </c>
      <c r="R800" t="s">
        <v>127</v>
      </c>
      <c r="S800" t="str">
        <f>"15:45:23.211"</f>
        <v>15:45:23.211</v>
      </c>
      <c r="T800" t="str">
        <f>"15:45:22.811"</f>
        <v>15:45:22.811</v>
      </c>
      <c r="U800" t="str">
        <f t="shared" si="76"/>
        <v>A55E09</v>
      </c>
      <c r="V800">
        <v>0</v>
      </c>
      <c r="W800">
        <v>0</v>
      </c>
      <c r="X800">
        <v>2</v>
      </c>
      <c r="Y800">
        <v>0</v>
      </c>
      <c r="AA800">
        <v>0</v>
      </c>
      <c r="AB800">
        <v>9</v>
      </c>
      <c r="AC800">
        <v>3</v>
      </c>
      <c r="AD800">
        <v>0</v>
      </c>
      <c r="AE800">
        <v>9</v>
      </c>
      <c r="AF800" t="s">
        <v>128</v>
      </c>
      <c r="AG800">
        <v>0</v>
      </c>
      <c r="AH800">
        <v>0</v>
      </c>
      <c r="AI800">
        <v>1</v>
      </c>
      <c r="AJ800">
        <v>0</v>
      </c>
      <c r="AK800" t="s">
        <v>499</v>
      </c>
      <c r="AL800">
        <v>33.768518</v>
      </c>
      <c r="AM800" t="s">
        <v>504</v>
      </c>
      <c r="AN800">
        <v>-101.22792</v>
      </c>
      <c r="AO800">
        <v>100</v>
      </c>
      <c r="AP800">
        <v>3200</v>
      </c>
      <c r="AQ800" t="s">
        <v>131</v>
      </c>
      <c r="AR800">
        <v>-24</v>
      </c>
      <c r="AS800">
        <v>-2</v>
      </c>
      <c r="AT800">
        <v>-64</v>
      </c>
      <c r="BB800" t="str">
        <f t="shared" si="78"/>
        <v>1200</v>
      </c>
      <c r="BC800">
        <v>1</v>
      </c>
      <c r="BD800" t="str">
        <f t="shared" si="79"/>
        <v xml:space="preserve">N445JS  </v>
      </c>
      <c r="BE800">
        <v>7</v>
      </c>
      <c r="BG800">
        <v>0</v>
      </c>
      <c r="BH800">
        <v>0</v>
      </c>
      <c r="BI800">
        <v>0</v>
      </c>
      <c r="BJ800">
        <v>2975</v>
      </c>
      <c r="BK800">
        <v>-225</v>
      </c>
      <c r="BL800" t="s">
        <v>132</v>
      </c>
      <c r="BM800">
        <v>1</v>
      </c>
      <c r="BN800">
        <v>1</v>
      </c>
      <c r="BO800">
        <v>1</v>
      </c>
      <c r="BP800">
        <v>0</v>
      </c>
      <c r="BT800">
        <v>0</v>
      </c>
      <c r="BU800">
        <v>0</v>
      </c>
      <c r="CE800" t="str">
        <f>"15:45:23.217"</f>
        <v>15:45:23.217</v>
      </c>
      <c r="CF800">
        <v>216929169</v>
      </c>
      <c r="CS800">
        <v>0</v>
      </c>
      <c r="CT800">
        <v>2</v>
      </c>
      <c r="CU800">
        <v>0</v>
      </c>
      <c r="CV800">
        <v>2</v>
      </c>
      <c r="CW800">
        <v>0</v>
      </c>
      <c r="CX800">
        <v>5</v>
      </c>
      <c r="CY800">
        <v>7</v>
      </c>
      <c r="CZ800" t="s">
        <v>133</v>
      </c>
      <c r="DA800">
        <v>125</v>
      </c>
      <c r="DB800">
        <v>0</v>
      </c>
      <c r="DC800" t="s">
        <v>134</v>
      </c>
      <c r="DD800" t="s">
        <v>135</v>
      </c>
      <c r="DG800">
        <v>3904390</v>
      </c>
      <c r="DI800">
        <v>0</v>
      </c>
      <c r="DJ800">
        <v>0</v>
      </c>
      <c r="DK800">
        <v>1</v>
      </c>
      <c r="DL800">
        <v>0</v>
      </c>
      <c r="DM800">
        <v>0</v>
      </c>
      <c r="DN800">
        <v>0</v>
      </c>
      <c r="DO800">
        <v>0</v>
      </c>
      <c r="DP800">
        <v>0</v>
      </c>
      <c r="DQ800">
        <v>0</v>
      </c>
      <c r="DR800">
        <v>0</v>
      </c>
      <c r="DS800">
        <v>0</v>
      </c>
    </row>
    <row r="801" spans="1:123" x14ac:dyDescent="0.25">
      <c r="A801" t="str">
        <f>"04/17/2026 15:45:23.479"</f>
        <v>04/17/2026 15:45:23.479</v>
      </c>
      <c r="C801" t="str">
        <f t="shared" si="77"/>
        <v>FFDFD3C0</v>
      </c>
      <c r="D801" t="s">
        <v>136</v>
      </c>
      <c r="E801" t="str">
        <f>"0E"</f>
        <v>0E</v>
      </c>
      <c r="F801">
        <v>1014</v>
      </c>
      <c r="G801" t="s">
        <v>125</v>
      </c>
      <c r="J801" t="s">
        <v>137</v>
      </c>
      <c r="K801">
        <v>0</v>
      </c>
      <c r="L801">
        <v>3</v>
      </c>
      <c r="M801">
        <v>0</v>
      </c>
      <c r="N801">
        <v>2</v>
      </c>
      <c r="O801">
        <v>1</v>
      </c>
      <c r="P801">
        <v>0</v>
      </c>
      <c r="Q801">
        <v>0</v>
      </c>
      <c r="R801" t="s">
        <v>127</v>
      </c>
      <c r="S801" t="str">
        <f>"15:45:23.211"</f>
        <v>15:45:23.211</v>
      </c>
      <c r="T801" t="str">
        <f>"15:45:22.811"</f>
        <v>15:45:22.811</v>
      </c>
      <c r="U801" t="str">
        <f t="shared" si="76"/>
        <v>A55E09</v>
      </c>
      <c r="V801">
        <v>0</v>
      </c>
      <c r="W801">
        <v>0</v>
      </c>
      <c r="X801">
        <v>2</v>
      </c>
      <c r="Y801">
        <v>0</v>
      </c>
      <c r="AA801">
        <v>0</v>
      </c>
      <c r="AB801">
        <v>9</v>
      </c>
      <c r="AC801">
        <v>3</v>
      </c>
      <c r="AD801">
        <v>0</v>
      </c>
      <c r="AE801">
        <v>9</v>
      </c>
      <c r="AF801" t="s">
        <v>128</v>
      </c>
      <c r="AG801">
        <v>0</v>
      </c>
      <c r="AH801">
        <v>0</v>
      </c>
      <c r="AI801">
        <v>1</v>
      </c>
      <c r="AJ801">
        <v>0</v>
      </c>
      <c r="AK801" t="s">
        <v>499</v>
      </c>
      <c r="AL801">
        <v>33.768518</v>
      </c>
      <c r="AM801" t="s">
        <v>504</v>
      </c>
      <c r="AN801">
        <v>-101.22792</v>
      </c>
      <c r="AO801">
        <v>100</v>
      </c>
      <c r="AP801">
        <v>3200</v>
      </c>
      <c r="AQ801" t="s">
        <v>131</v>
      </c>
      <c r="AR801">
        <v>-24</v>
      </c>
      <c r="AS801">
        <v>-2</v>
      </c>
      <c r="AT801">
        <v>-64</v>
      </c>
      <c r="BB801" t="str">
        <f t="shared" si="78"/>
        <v>1200</v>
      </c>
      <c r="BC801">
        <v>1</v>
      </c>
      <c r="BD801" t="str">
        <f t="shared" si="79"/>
        <v xml:space="preserve">N445JS  </v>
      </c>
      <c r="BE801">
        <v>7</v>
      </c>
      <c r="BG801">
        <v>0</v>
      </c>
      <c r="BH801">
        <v>0</v>
      </c>
      <c r="BI801">
        <v>0</v>
      </c>
      <c r="BJ801">
        <v>2975</v>
      </c>
      <c r="BK801">
        <v>-225</v>
      </c>
      <c r="BL801" t="s">
        <v>132</v>
      </c>
      <c r="BM801">
        <v>1</v>
      </c>
      <c r="BN801">
        <v>1</v>
      </c>
      <c r="BO801">
        <v>1</v>
      </c>
      <c r="BP801">
        <v>0</v>
      </c>
      <c r="BT801">
        <v>0</v>
      </c>
      <c r="BU801">
        <v>0</v>
      </c>
      <c r="CE801" t="str">
        <f>"15:45:23.217"</f>
        <v>15:45:23.217</v>
      </c>
      <c r="CF801">
        <v>216929169</v>
      </c>
      <c r="CS801">
        <v>0</v>
      </c>
      <c r="CT801">
        <v>2</v>
      </c>
      <c r="CU801">
        <v>0</v>
      </c>
      <c r="CV801">
        <v>2</v>
      </c>
      <c r="CW801">
        <v>0</v>
      </c>
      <c r="CX801">
        <v>5</v>
      </c>
      <c r="CY801">
        <v>7</v>
      </c>
      <c r="CZ801" t="s">
        <v>133</v>
      </c>
      <c r="DA801">
        <v>125</v>
      </c>
      <c r="DB801">
        <v>0</v>
      </c>
      <c r="DC801" t="s">
        <v>134</v>
      </c>
      <c r="DD801" t="s">
        <v>135</v>
      </c>
      <c r="DG801">
        <v>3904390</v>
      </c>
      <c r="DI801">
        <v>0</v>
      </c>
      <c r="DJ801">
        <v>0</v>
      </c>
      <c r="DK801">
        <v>1</v>
      </c>
      <c r="DL801">
        <v>0</v>
      </c>
      <c r="DM801">
        <v>0</v>
      </c>
      <c r="DN801">
        <v>0</v>
      </c>
      <c r="DO801">
        <v>0</v>
      </c>
      <c r="DP801">
        <v>0</v>
      </c>
      <c r="DQ801">
        <v>0</v>
      </c>
      <c r="DR801">
        <v>0</v>
      </c>
      <c r="DS801">
        <v>0</v>
      </c>
    </row>
    <row r="802" spans="1:123" x14ac:dyDescent="0.25">
      <c r="A802" t="str">
        <f>"04/17/2026 15:45:23.493"</f>
        <v>04/17/2026 15:45:23.493</v>
      </c>
      <c r="C802" t="str">
        <f t="shared" si="77"/>
        <v>FFDFD3C0</v>
      </c>
      <c r="D802" t="s">
        <v>136</v>
      </c>
      <c r="E802" t="str">
        <f>"0F"</f>
        <v>0F</v>
      </c>
      <c r="F802">
        <v>1015</v>
      </c>
      <c r="G802" t="s">
        <v>138</v>
      </c>
      <c r="J802" t="s">
        <v>137</v>
      </c>
      <c r="K802">
        <v>0</v>
      </c>
      <c r="L802">
        <v>3</v>
      </c>
      <c r="M802">
        <v>0</v>
      </c>
      <c r="N802">
        <v>2</v>
      </c>
      <c r="O802">
        <v>1</v>
      </c>
      <c r="P802">
        <v>0</v>
      </c>
      <c r="Q802">
        <v>0</v>
      </c>
      <c r="R802" t="s">
        <v>127</v>
      </c>
      <c r="S802" t="str">
        <f>"15:45:23.211"</f>
        <v>15:45:23.211</v>
      </c>
      <c r="T802" t="str">
        <f>"15:45:22.811"</f>
        <v>15:45:22.811</v>
      </c>
      <c r="U802" t="str">
        <f t="shared" si="76"/>
        <v>A55E09</v>
      </c>
      <c r="V802">
        <v>0</v>
      </c>
      <c r="W802">
        <v>0</v>
      </c>
      <c r="X802">
        <v>2</v>
      </c>
      <c r="Y802">
        <v>0</v>
      </c>
      <c r="AA802">
        <v>0</v>
      </c>
      <c r="AB802">
        <v>9</v>
      </c>
      <c r="AC802">
        <v>3</v>
      </c>
      <c r="AD802">
        <v>0</v>
      </c>
      <c r="AE802">
        <v>9</v>
      </c>
      <c r="AF802" t="s">
        <v>128</v>
      </c>
      <c r="AG802">
        <v>0</v>
      </c>
      <c r="AH802">
        <v>0</v>
      </c>
      <c r="AI802">
        <v>1</v>
      </c>
      <c r="AJ802">
        <v>0</v>
      </c>
      <c r="AK802" t="s">
        <v>499</v>
      </c>
      <c r="AL802">
        <v>33.768518</v>
      </c>
      <c r="AM802" t="s">
        <v>504</v>
      </c>
      <c r="AN802">
        <v>-101.22792</v>
      </c>
      <c r="AO802">
        <v>100</v>
      </c>
      <c r="AP802">
        <v>3200</v>
      </c>
      <c r="AQ802" t="s">
        <v>131</v>
      </c>
      <c r="AR802">
        <v>-24</v>
      </c>
      <c r="AS802">
        <v>-2</v>
      </c>
      <c r="AT802">
        <v>-64</v>
      </c>
      <c r="BB802" t="str">
        <f t="shared" si="78"/>
        <v>1200</v>
      </c>
      <c r="BC802">
        <v>1</v>
      </c>
      <c r="BD802" t="str">
        <f t="shared" si="79"/>
        <v xml:space="preserve">N445JS  </v>
      </c>
      <c r="BE802">
        <v>7</v>
      </c>
      <c r="BG802">
        <v>0</v>
      </c>
      <c r="BH802">
        <v>0</v>
      </c>
      <c r="BI802">
        <v>0</v>
      </c>
      <c r="BJ802">
        <v>2975</v>
      </c>
      <c r="BK802">
        <v>-225</v>
      </c>
      <c r="BL802" t="s">
        <v>132</v>
      </c>
      <c r="BM802">
        <v>1</v>
      </c>
      <c r="BN802">
        <v>1</v>
      </c>
      <c r="BO802">
        <v>1</v>
      </c>
      <c r="BP802">
        <v>0</v>
      </c>
      <c r="BT802">
        <v>0</v>
      </c>
      <c r="BU802">
        <v>0</v>
      </c>
      <c r="CE802" t="str">
        <f>"15:45:23.217"</f>
        <v>15:45:23.217</v>
      </c>
      <c r="CF802">
        <v>216929169</v>
      </c>
      <c r="CS802">
        <v>0</v>
      </c>
      <c r="CT802">
        <v>2</v>
      </c>
      <c r="CU802">
        <v>0</v>
      </c>
      <c r="CV802">
        <v>2</v>
      </c>
      <c r="CW802">
        <v>0</v>
      </c>
      <c r="CX802">
        <v>5</v>
      </c>
      <c r="CY802">
        <v>7</v>
      </c>
      <c r="CZ802" t="s">
        <v>133</v>
      </c>
      <c r="DA802">
        <v>125</v>
      </c>
      <c r="DB802">
        <v>0</v>
      </c>
      <c r="DC802" t="s">
        <v>134</v>
      </c>
      <c r="DD802" t="s">
        <v>135</v>
      </c>
      <c r="DG802">
        <v>3904390</v>
      </c>
      <c r="DI802">
        <v>0</v>
      </c>
      <c r="DJ802">
        <v>0</v>
      </c>
      <c r="DK802">
        <v>1</v>
      </c>
      <c r="DL802">
        <v>0</v>
      </c>
      <c r="DM802">
        <v>0</v>
      </c>
      <c r="DN802">
        <v>0</v>
      </c>
      <c r="DO802">
        <v>0</v>
      </c>
      <c r="DP802">
        <v>0</v>
      </c>
      <c r="DQ802">
        <v>0</v>
      </c>
      <c r="DR802">
        <v>0</v>
      </c>
      <c r="DS802">
        <v>0</v>
      </c>
    </row>
    <row r="803" spans="1:123" x14ac:dyDescent="0.25">
      <c r="A803" t="str">
        <f>"04/17/2026 15:45:24.945"</f>
        <v>04/17/2026 15:45:24.945</v>
      </c>
      <c r="C803" t="str">
        <f t="shared" si="77"/>
        <v>FFDFD3C0</v>
      </c>
      <c r="D803" t="s">
        <v>136</v>
      </c>
      <c r="E803" t="str">
        <f>"0F"</f>
        <v>0F</v>
      </c>
      <c r="F803">
        <v>1015</v>
      </c>
      <c r="G803" t="s">
        <v>138</v>
      </c>
      <c r="J803" t="s">
        <v>137</v>
      </c>
      <c r="K803">
        <v>0</v>
      </c>
      <c r="L803">
        <v>3</v>
      </c>
      <c r="M803">
        <v>0</v>
      </c>
      <c r="N803">
        <v>2</v>
      </c>
      <c r="O803">
        <v>1</v>
      </c>
      <c r="P803">
        <v>0</v>
      </c>
      <c r="Q803">
        <v>0</v>
      </c>
      <c r="R803" t="s">
        <v>127</v>
      </c>
      <c r="S803" t="str">
        <f>"15:45:24.695"</f>
        <v>15:45:24.695</v>
      </c>
      <c r="T803" t="str">
        <f>"15:45:24.295"</f>
        <v>15:45:24.295</v>
      </c>
      <c r="U803" t="str">
        <f t="shared" si="76"/>
        <v>A55E09</v>
      </c>
      <c r="V803">
        <v>0</v>
      </c>
      <c r="W803">
        <v>0</v>
      </c>
      <c r="X803">
        <v>2</v>
      </c>
      <c r="Y803">
        <v>0</v>
      </c>
      <c r="AA803">
        <v>0</v>
      </c>
      <c r="AB803">
        <v>9</v>
      </c>
      <c r="AC803">
        <v>3</v>
      </c>
      <c r="AD803">
        <v>0</v>
      </c>
      <c r="AE803">
        <v>9</v>
      </c>
      <c r="AF803" t="s">
        <v>128</v>
      </c>
      <c r="AG803">
        <v>0</v>
      </c>
      <c r="AH803">
        <v>0</v>
      </c>
      <c r="AI803">
        <v>1</v>
      </c>
      <c r="AJ803">
        <v>0</v>
      </c>
      <c r="AK803" t="s">
        <v>505</v>
      </c>
      <c r="AL803">
        <v>33.768497000000004</v>
      </c>
      <c r="AM803" t="s">
        <v>506</v>
      </c>
      <c r="AN803">
        <v>-101.22813499999999</v>
      </c>
      <c r="AO803">
        <v>100</v>
      </c>
      <c r="AP803">
        <v>3200</v>
      </c>
      <c r="AQ803" t="s">
        <v>131</v>
      </c>
      <c r="AR803">
        <v>-25</v>
      </c>
      <c r="AS803">
        <v>-5</v>
      </c>
      <c r="AT803">
        <v>-128</v>
      </c>
      <c r="BB803" t="str">
        <f t="shared" si="78"/>
        <v>1200</v>
      </c>
      <c r="BC803">
        <v>1</v>
      </c>
      <c r="BD803" t="str">
        <f t="shared" si="79"/>
        <v xml:space="preserve">N445JS  </v>
      </c>
      <c r="BE803">
        <v>7</v>
      </c>
      <c r="BG803">
        <v>0</v>
      </c>
      <c r="BH803">
        <v>0</v>
      </c>
      <c r="BI803">
        <v>0</v>
      </c>
      <c r="BJ803">
        <v>2975</v>
      </c>
      <c r="BK803">
        <v>-225</v>
      </c>
      <c r="BL803" t="s">
        <v>132</v>
      </c>
      <c r="BM803">
        <v>1</v>
      </c>
      <c r="BN803">
        <v>1</v>
      </c>
      <c r="BO803">
        <v>1</v>
      </c>
      <c r="BP803">
        <v>0</v>
      </c>
      <c r="BT803">
        <v>0</v>
      </c>
      <c r="BU803">
        <v>0</v>
      </c>
      <c r="CE803" t="str">
        <f>"15:45:24.702"</f>
        <v>15:45:24.702</v>
      </c>
      <c r="CF803">
        <v>701783635</v>
      </c>
      <c r="CS803">
        <v>0</v>
      </c>
      <c r="CT803">
        <v>2</v>
      </c>
      <c r="CU803">
        <v>0</v>
      </c>
      <c r="CV803">
        <v>2</v>
      </c>
      <c r="CW803">
        <v>0</v>
      </c>
      <c r="CX803">
        <v>6</v>
      </c>
      <c r="CY803">
        <v>7</v>
      </c>
      <c r="CZ803" t="s">
        <v>133</v>
      </c>
      <c r="DA803">
        <v>125</v>
      </c>
      <c r="DB803">
        <v>0</v>
      </c>
      <c r="DC803" t="s">
        <v>134</v>
      </c>
      <c r="DD803" t="s">
        <v>135</v>
      </c>
      <c r="DG803">
        <v>3906048</v>
      </c>
      <c r="DI803">
        <v>0</v>
      </c>
      <c r="DJ803">
        <v>0</v>
      </c>
      <c r="DK803">
        <v>0</v>
      </c>
      <c r="DL803">
        <v>0</v>
      </c>
      <c r="DM803">
        <v>0</v>
      </c>
      <c r="DN803">
        <v>0</v>
      </c>
      <c r="DO803">
        <v>0</v>
      </c>
      <c r="DP803">
        <v>0</v>
      </c>
      <c r="DQ803">
        <v>0</v>
      </c>
      <c r="DR803">
        <v>0</v>
      </c>
      <c r="DS803">
        <v>0</v>
      </c>
    </row>
    <row r="804" spans="1:123" x14ac:dyDescent="0.25">
      <c r="A804" t="str">
        <f>"04/17/2026 15:45:24.955"</f>
        <v>04/17/2026 15:45:24.955</v>
      </c>
      <c r="C804" t="str">
        <f t="shared" si="77"/>
        <v>FFDFD3C0</v>
      </c>
      <c r="D804" t="s">
        <v>139</v>
      </c>
      <c r="E804" t="str">
        <f>"28"</f>
        <v>28</v>
      </c>
      <c r="H804">
        <v>140</v>
      </c>
      <c r="I804" t="s">
        <v>140</v>
      </c>
      <c r="J804" t="s">
        <v>141</v>
      </c>
      <c r="K804">
        <v>0</v>
      </c>
      <c r="L804">
        <v>3</v>
      </c>
      <c r="M804">
        <v>0</v>
      </c>
      <c r="N804">
        <v>2</v>
      </c>
      <c r="O804">
        <v>1</v>
      </c>
      <c r="P804">
        <v>0</v>
      </c>
      <c r="Q804">
        <v>0</v>
      </c>
      <c r="R804" t="s">
        <v>127</v>
      </c>
      <c r="S804" t="str">
        <f>"15:45:24.695"</f>
        <v>15:45:24.695</v>
      </c>
      <c r="T804" t="str">
        <f>"15:45:24.295"</f>
        <v>15:45:24.295</v>
      </c>
      <c r="U804" t="str">
        <f t="shared" si="76"/>
        <v>A55E09</v>
      </c>
      <c r="V804">
        <v>0</v>
      </c>
      <c r="W804">
        <v>0</v>
      </c>
      <c r="X804">
        <v>2</v>
      </c>
      <c r="Y804">
        <v>0</v>
      </c>
      <c r="AA804">
        <v>0</v>
      </c>
      <c r="AB804">
        <v>9</v>
      </c>
      <c r="AC804">
        <v>3</v>
      </c>
      <c r="AD804">
        <v>0</v>
      </c>
      <c r="AE804">
        <v>9</v>
      </c>
      <c r="AF804" t="s">
        <v>128</v>
      </c>
      <c r="AG804">
        <v>0</v>
      </c>
      <c r="AH804">
        <v>0</v>
      </c>
      <c r="AI804">
        <v>1</v>
      </c>
      <c r="AJ804">
        <v>0</v>
      </c>
      <c r="AK804" t="s">
        <v>505</v>
      </c>
      <c r="AL804">
        <v>33.768497000000004</v>
      </c>
      <c r="AM804" t="s">
        <v>506</v>
      </c>
      <c r="AN804">
        <v>-101.22813499999999</v>
      </c>
      <c r="AO804">
        <v>100</v>
      </c>
      <c r="AP804">
        <v>3200</v>
      </c>
      <c r="AQ804" t="s">
        <v>131</v>
      </c>
      <c r="AR804">
        <v>-25</v>
      </c>
      <c r="AS804">
        <v>-5</v>
      </c>
      <c r="AT804">
        <v>-128</v>
      </c>
      <c r="BB804" t="str">
        <f t="shared" si="78"/>
        <v>1200</v>
      </c>
      <c r="BC804">
        <v>1</v>
      </c>
      <c r="BD804" t="str">
        <f t="shared" si="79"/>
        <v xml:space="preserve">N445JS  </v>
      </c>
      <c r="BE804">
        <v>7</v>
      </c>
      <c r="BG804">
        <v>0</v>
      </c>
      <c r="BH804">
        <v>0</v>
      </c>
      <c r="BI804">
        <v>0</v>
      </c>
      <c r="BJ804">
        <v>2975</v>
      </c>
      <c r="BK804">
        <v>-225</v>
      </c>
      <c r="BL804" t="s">
        <v>132</v>
      </c>
      <c r="BM804">
        <v>1</v>
      </c>
      <c r="BN804">
        <v>1</v>
      </c>
      <c r="BO804">
        <v>1</v>
      </c>
      <c r="BP804">
        <v>0</v>
      </c>
      <c r="BT804">
        <v>0</v>
      </c>
      <c r="BU804">
        <v>0</v>
      </c>
      <c r="CE804" t="str">
        <f>"15:45:24.702"</f>
        <v>15:45:24.702</v>
      </c>
      <c r="CF804">
        <v>701783635</v>
      </c>
      <c r="CS804">
        <v>0</v>
      </c>
      <c r="CT804">
        <v>2</v>
      </c>
      <c r="CU804">
        <v>0</v>
      </c>
      <c r="CV804">
        <v>2</v>
      </c>
      <c r="CW804">
        <v>0</v>
      </c>
      <c r="CX804">
        <v>6</v>
      </c>
      <c r="CY804">
        <v>7</v>
      </c>
      <c r="CZ804" t="s">
        <v>133</v>
      </c>
      <c r="DA804">
        <v>125</v>
      </c>
      <c r="DB804">
        <v>0</v>
      </c>
      <c r="DC804" t="s">
        <v>134</v>
      </c>
      <c r="DD804" t="s">
        <v>135</v>
      </c>
      <c r="DG804">
        <v>3906048</v>
      </c>
      <c r="DI804">
        <v>0</v>
      </c>
      <c r="DJ804">
        <v>0</v>
      </c>
      <c r="DK804">
        <v>1</v>
      </c>
      <c r="DL804">
        <v>0</v>
      </c>
      <c r="DM804">
        <v>0</v>
      </c>
      <c r="DN804">
        <v>0</v>
      </c>
      <c r="DO804">
        <v>0</v>
      </c>
      <c r="DP804">
        <v>0</v>
      </c>
      <c r="DQ804">
        <v>0</v>
      </c>
      <c r="DR804">
        <v>0</v>
      </c>
      <c r="DS804">
        <v>0</v>
      </c>
    </row>
    <row r="805" spans="1:123" x14ac:dyDescent="0.25">
      <c r="A805" t="str">
        <f>"04/17/2026 15:45:24.962"</f>
        <v>04/17/2026 15:45:24.962</v>
      </c>
      <c r="C805" t="str">
        <f t="shared" si="77"/>
        <v>FFDFD3C0</v>
      </c>
      <c r="D805" t="s">
        <v>124</v>
      </c>
      <c r="E805" t="str">
        <f>"03"</f>
        <v>03</v>
      </c>
      <c r="H805">
        <v>160</v>
      </c>
      <c r="I805" t="s">
        <v>125</v>
      </c>
      <c r="J805" t="s">
        <v>126</v>
      </c>
      <c r="K805">
        <v>0</v>
      </c>
      <c r="L805">
        <v>3</v>
      </c>
      <c r="M805">
        <v>0</v>
      </c>
      <c r="N805">
        <v>2</v>
      </c>
      <c r="O805">
        <v>1</v>
      </c>
      <c r="P805">
        <v>0</v>
      </c>
      <c r="Q805">
        <v>0</v>
      </c>
      <c r="R805" t="s">
        <v>127</v>
      </c>
      <c r="S805" t="str">
        <f>"15:45:24.695"</f>
        <v>15:45:24.695</v>
      </c>
      <c r="T805" t="str">
        <f>"15:45:24.295"</f>
        <v>15:45:24.295</v>
      </c>
      <c r="U805" t="str">
        <f t="shared" si="76"/>
        <v>A55E09</v>
      </c>
      <c r="V805">
        <v>0</v>
      </c>
      <c r="W805">
        <v>0</v>
      </c>
      <c r="X805">
        <v>2</v>
      </c>
      <c r="Y805">
        <v>0</v>
      </c>
      <c r="AA805">
        <v>0</v>
      </c>
      <c r="AB805">
        <v>9</v>
      </c>
      <c r="AC805">
        <v>3</v>
      </c>
      <c r="AD805">
        <v>0</v>
      </c>
      <c r="AE805">
        <v>9</v>
      </c>
      <c r="AF805" t="s">
        <v>128</v>
      </c>
      <c r="AG805">
        <v>0</v>
      </c>
      <c r="AH805">
        <v>0</v>
      </c>
      <c r="AI805">
        <v>1</v>
      </c>
      <c r="AJ805">
        <v>0</v>
      </c>
      <c r="AK805" t="s">
        <v>505</v>
      </c>
      <c r="AL805">
        <v>33.768497000000004</v>
      </c>
      <c r="AM805" t="s">
        <v>506</v>
      </c>
      <c r="AN805">
        <v>-101.22813499999999</v>
      </c>
      <c r="AO805">
        <v>100</v>
      </c>
      <c r="AP805">
        <v>3200</v>
      </c>
      <c r="AQ805" t="s">
        <v>131</v>
      </c>
      <c r="AR805">
        <v>-25</v>
      </c>
      <c r="AS805">
        <v>-5</v>
      </c>
      <c r="AT805">
        <v>-128</v>
      </c>
      <c r="BB805" t="str">
        <f t="shared" si="78"/>
        <v>1200</v>
      </c>
      <c r="BC805">
        <v>1</v>
      </c>
      <c r="BD805" t="str">
        <f t="shared" si="79"/>
        <v xml:space="preserve">N445JS  </v>
      </c>
      <c r="BE805">
        <v>7</v>
      </c>
      <c r="BG805">
        <v>0</v>
      </c>
      <c r="BH805">
        <v>0</v>
      </c>
      <c r="BI805">
        <v>0</v>
      </c>
      <c r="BJ805">
        <v>2975</v>
      </c>
      <c r="BK805">
        <v>-225</v>
      </c>
      <c r="BL805" t="s">
        <v>132</v>
      </c>
      <c r="BM805">
        <v>1</v>
      </c>
      <c r="BN805">
        <v>1</v>
      </c>
      <c r="BO805">
        <v>1</v>
      </c>
      <c r="BP805">
        <v>0</v>
      </c>
      <c r="BT805">
        <v>0</v>
      </c>
      <c r="BU805">
        <v>0</v>
      </c>
      <c r="CE805" t="str">
        <f>"15:45:24.702"</f>
        <v>15:45:24.702</v>
      </c>
      <c r="CF805">
        <v>701783635</v>
      </c>
      <c r="CS805">
        <v>0</v>
      </c>
      <c r="CT805">
        <v>2</v>
      </c>
      <c r="CU805">
        <v>0</v>
      </c>
      <c r="CV805">
        <v>2</v>
      </c>
      <c r="CW805">
        <v>0</v>
      </c>
      <c r="CX805">
        <v>6</v>
      </c>
      <c r="CY805">
        <v>7</v>
      </c>
      <c r="CZ805" t="s">
        <v>133</v>
      </c>
      <c r="DA805">
        <v>125</v>
      </c>
      <c r="DB805">
        <v>0</v>
      </c>
      <c r="DC805" t="s">
        <v>134</v>
      </c>
      <c r="DD805" t="s">
        <v>135</v>
      </c>
      <c r="DG805">
        <v>3906048</v>
      </c>
      <c r="DI805">
        <v>0</v>
      </c>
      <c r="DJ805">
        <v>0</v>
      </c>
      <c r="DK805">
        <v>1</v>
      </c>
      <c r="DL805">
        <v>0</v>
      </c>
      <c r="DM805">
        <v>0</v>
      </c>
      <c r="DN805">
        <v>0</v>
      </c>
      <c r="DO805">
        <v>0</v>
      </c>
      <c r="DP805">
        <v>0</v>
      </c>
      <c r="DQ805">
        <v>0</v>
      </c>
      <c r="DR805">
        <v>0</v>
      </c>
      <c r="DS805">
        <v>0</v>
      </c>
    </row>
    <row r="806" spans="1:123" x14ac:dyDescent="0.25">
      <c r="A806" t="str">
        <f>"04/17/2026 15:45:24.982"</f>
        <v>04/17/2026 15:45:24.982</v>
      </c>
      <c r="C806" t="str">
        <f t="shared" si="77"/>
        <v>FFDFD3C0</v>
      </c>
      <c r="D806" t="s">
        <v>136</v>
      </c>
      <c r="E806" t="str">
        <f>"0E"</f>
        <v>0E</v>
      </c>
      <c r="F806">
        <v>1014</v>
      </c>
      <c r="G806" t="s">
        <v>125</v>
      </c>
      <c r="J806" t="s">
        <v>137</v>
      </c>
      <c r="K806">
        <v>0</v>
      </c>
      <c r="L806">
        <v>3</v>
      </c>
      <c r="M806">
        <v>0</v>
      </c>
      <c r="N806">
        <v>2</v>
      </c>
      <c r="O806">
        <v>1</v>
      </c>
      <c r="P806">
        <v>0</v>
      </c>
      <c r="Q806">
        <v>0</v>
      </c>
      <c r="R806" t="s">
        <v>127</v>
      </c>
      <c r="S806" t="str">
        <f>"15:45:24.695"</f>
        <v>15:45:24.695</v>
      </c>
      <c r="T806" t="str">
        <f>"15:45:24.295"</f>
        <v>15:45:24.295</v>
      </c>
      <c r="U806" t="str">
        <f t="shared" si="76"/>
        <v>A55E09</v>
      </c>
      <c r="V806">
        <v>0</v>
      </c>
      <c r="W806">
        <v>0</v>
      </c>
      <c r="X806">
        <v>2</v>
      </c>
      <c r="Y806">
        <v>0</v>
      </c>
      <c r="AA806">
        <v>0</v>
      </c>
      <c r="AB806">
        <v>9</v>
      </c>
      <c r="AC806">
        <v>3</v>
      </c>
      <c r="AD806">
        <v>0</v>
      </c>
      <c r="AE806">
        <v>9</v>
      </c>
      <c r="AF806" t="s">
        <v>128</v>
      </c>
      <c r="AG806">
        <v>0</v>
      </c>
      <c r="AH806">
        <v>0</v>
      </c>
      <c r="AI806">
        <v>1</v>
      </c>
      <c r="AJ806">
        <v>0</v>
      </c>
      <c r="AK806" t="s">
        <v>505</v>
      </c>
      <c r="AL806">
        <v>33.768497000000004</v>
      </c>
      <c r="AM806" t="s">
        <v>506</v>
      </c>
      <c r="AN806">
        <v>-101.22813499999999</v>
      </c>
      <c r="AO806">
        <v>100</v>
      </c>
      <c r="AP806">
        <v>3200</v>
      </c>
      <c r="AQ806" t="s">
        <v>131</v>
      </c>
      <c r="AR806">
        <v>-25</v>
      </c>
      <c r="AS806">
        <v>-5</v>
      </c>
      <c r="AT806">
        <v>-128</v>
      </c>
      <c r="BB806" t="str">
        <f t="shared" si="78"/>
        <v>1200</v>
      </c>
      <c r="BC806">
        <v>1</v>
      </c>
      <c r="BD806" t="str">
        <f t="shared" si="79"/>
        <v xml:space="preserve">N445JS  </v>
      </c>
      <c r="BE806">
        <v>7</v>
      </c>
      <c r="BG806">
        <v>0</v>
      </c>
      <c r="BH806">
        <v>0</v>
      </c>
      <c r="BI806">
        <v>0</v>
      </c>
      <c r="BJ806">
        <v>2975</v>
      </c>
      <c r="BK806">
        <v>-225</v>
      </c>
      <c r="BL806" t="s">
        <v>132</v>
      </c>
      <c r="BM806">
        <v>1</v>
      </c>
      <c r="BN806">
        <v>1</v>
      </c>
      <c r="BO806">
        <v>1</v>
      </c>
      <c r="BP806">
        <v>0</v>
      </c>
      <c r="BT806">
        <v>0</v>
      </c>
      <c r="BU806">
        <v>0</v>
      </c>
      <c r="CE806" t="str">
        <f>"15:45:24.702"</f>
        <v>15:45:24.702</v>
      </c>
      <c r="CF806">
        <v>701783635</v>
      </c>
      <c r="CS806">
        <v>0</v>
      </c>
      <c r="CT806">
        <v>2</v>
      </c>
      <c r="CU806">
        <v>0</v>
      </c>
      <c r="CV806">
        <v>2</v>
      </c>
      <c r="CW806">
        <v>0</v>
      </c>
      <c r="CX806">
        <v>6</v>
      </c>
      <c r="CY806">
        <v>7</v>
      </c>
      <c r="CZ806" t="s">
        <v>133</v>
      </c>
      <c r="DA806">
        <v>125</v>
      </c>
      <c r="DB806">
        <v>0</v>
      </c>
      <c r="DC806" t="s">
        <v>134</v>
      </c>
      <c r="DD806" t="s">
        <v>135</v>
      </c>
      <c r="DG806">
        <v>3906048</v>
      </c>
      <c r="DI806">
        <v>0</v>
      </c>
      <c r="DJ806">
        <v>0</v>
      </c>
      <c r="DK806">
        <v>1</v>
      </c>
      <c r="DL806">
        <v>0</v>
      </c>
      <c r="DM806">
        <v>0</v>
      </c>
      <c r="DN806">
        <v>0</v>
      </c>
      <c r="DO806">
        <v>0</v>
      </c>
      <c r="DP806">
        <v>0</v>
      </c>
      <c r="DQ806">
        <v>0</v>
      </c>
      <c r="DR806">
        <v>0</v>
      </c>
      <c r="DS806">
        <v>0</v>
      </c>
    </row>
    <row r="807" spans="1:123" x14ac:dyDescent="0.25">
      <c r="A807" t="str">
        <f>"04/17/2026 15:45:26.083"</f>
        <v>04/17/2026 15:45:26.083</v>
      </c>
      <c r="C807" t="str">
        <f t="shared" si="77"/>
        <v>FFDFD3C0</v>
      </c>
      <c r="D807" t="s">
        <v>136</v>
      </c>
      <c r="E807" t="str">
        <f>"0E"</f>
        <v>0E</v>
      </c>
      <c r="F807">
        <v>1014</v>
      </c>
      <c r="G807" t="s">
        <v>125</v>
      </c>
      <c r="J807" t="s">
        <v>137</v>
      </c>
      <c r="K807">
        <v>0</v>
      </c>
      <c r="L807">
        <v>3</v>
      </c>
      <c r="M807">
        <v>0</v>
      </c>
      <c r="N807">
        <v>2</v>
      </c>
      <c r="O807">
        <v>1</v>
      </c>
      <c r="P807">
        <v>0</v>
      </c>
      <c r="Q807">
        <v>0</v>
      </c>
      <c r="R807" t="s">
        <v>127</v>
      </c>
      <c r="S807" t="str">
        <f t="shared" ref="S807:T810" si="80">"15:45:25.805"</f>
        <v>15:45:25.805</v>
      </c>
      <c r="T807" t="str">
        <f t="shared" si="80"/>
        <v>15:45:25.805</v>
      </c>
      <c r="U807" t="str">
        <f t="shared" si="76"/>
        <v>A55E09</v>
      </c>
      <c r="V807">
        <v>0</v>
      </c>
      <c r="W807">
        <v>0</v>
      </c>
      <c r="X807">
        <v>2</v>
      </c>
      <c r="Y807">
        <v>0</v>
      </c>
      <c r="AA807">
        <v>0</v>
      </c>
      <c r="AB807">
        <v>9</v>
      </c>
      <c r="AC807">
        <v>3</v>
      </c>
      <c r="AD807">
        <v>0</v>
      </c>
      <c r="AE807">
        <v>9</v>
      </c>
      <c r="AF807" t="s">
        <v>128</v>
      </c>
      <c r="AG807">
        <v>0</v>
      </c>
      <c r="AH807">
        <v>0</v>
      </c>
      <c r="AI807">
        <v>1</v>
      </c>
      <c r="AJ807">
        <v>0</v>
      </c>
      <c r="AK807" t="s">
        <v>507</v>
      </c>
      <c r="AL807">
        <v>33.768453999999998</v>
      </c>
      <c r="AM807" t="s">
        <v>508</v>
      </c>
      <c r="AN807">
        <v>-101.22824199999999</v>
      </c>
      <c r="AO807">
        <v>100</v>
      </c>
      <c r="AP807">
        <v>3200</v>
      </c>
      <c r="AQ807" t="s">
        <v>131</v>
      </c>
      <c r="AR807">
        <v>-26</v>
      </c>
      <c r="AS807">
        <v>-9</v>
      </c>
      <c r="AT807">
        <v>-64</v>
      </c>
      <c r="BB807" t="str">
        <f t="shared" si="78"/>
        <v>1200</v>
      </c>
      <c r="BC807">
        <v>1</v>
      </c>
      <c r="BD807" t="str">
        <f t="shared" si="79"/>
        <v xml:space="preserve">N445JS  </v>
      </c>
      <c r="BE807">
        <v>7</v>
      </c>
      <c r="BG807">
        <v>0</v>
      </c>
      <c r="BH807">
        <v>0</v>
      </c>
      <c r="BI807">
        <v>0</v>
      </c>
      <c r="BJ807">
        <v>2975</v>
      </c>
      <c r="BK807">
        <v>-225</v>
      </c>
      <c r="BL807" t="s">
        <v>132</v>
      </c>
      <c r="BM807">
        <v>1</v>
      </c>
      <c r="BN807">
        <v>1</v>
      </c>
      <c r="BO807">
        <v>1</v>
      </c>
      <c r="BP807">
        <v>0</v>
      </c>
      <c r="BT807">
        <v>0</v>
      </c>
      <c r="BU807">
        <v>0</v>
      </c>
      <c r="CE807" t="str">
        <f>"15:45:25.812"</f>
        <v>15:45:25.812</v>
      </c>
      <c r="CF807">
        <v>811674836</v>
      </c>
      <c r="CS807">
        <v>0</v>
      </c>
      <c r="CT807">
        <v>2</v>
      </c>
      <c r="CU807">
        <v>0</v>
      </c>
      <c r="CV807">
        <v>2</v>
      </c>
      <c r="CW807">
        <v>0</v>
      </c>
      <c r="CX807">
        <v>6</v>
      </c>
      <c r="CY807">
        <v>7</v>
      </c>
      <c r="CZ807" t="s">
        <v>133</v>
      </c>
      <c r="DA807">
        <v>125</v>
      </c>
      <c r="DB807">
        <v>0</v>
      </c>
      <c r="DC807" t="s">
        <v>134</v>
      </c>
      <c r="DD807" t="s">
        <v>135</v>
      </c>
      <c r="DG807">
        <v>3907348</v>
      </c>
      <c r="DI807">
        <v>0</v>
      </c>
      <c r="DJ807">
        <v>0</v>
      </c>
      <c r="DK807">
        <v>0</v>
      </c>
      <c r="DL807">
        <v>0</v>
      </c>
      <c r="DM807">
        <v>0</v>
      </c>
      <c r="DN807">
        <v>0</v>
      </c>
      <c r="DO807">
        <v>0</v>
      </c>
      <c r="DP807">
        <v>0</v>
      </c>
      <c r="DQ807">
        <v>0</v>
      </c>
      <c r="DR807">
        <v>0</v>
      </c>
      <c r="DS807">
        <v>0</v>
      </c>
    </row>
    <row r="808" spans="1:123" x14ac:dyDescent="0.25">
      <c r="A808" t="str">
        <f>"04/17/2026 15:45:26.097"</f>
        <v>04/17/2026 15:45:26.097</v>
      </c>
      <c r="C808" t="str">
        <f t="shared" si="77"/>
        <v>FFDFD3C0</v>
      </c>
      <c r="D808" t="s">
        <v>136</v>
      </c>
      <c r="E808" t="str">
        <f>"0F"</f>
        <v>0F</v>
      </c>
      <c r="F808">
        <v>1015</v>
      </c>
      <c r="G808" t="s">
        <v>138</v>
      </c>
      <c r="J808" t="s">
        <v>137</v>
      </c>
      <c r="K808">
        <v>0</v>
      </c>
      <c r="L808">
        <v>3</v>
      </c>
      <c r="M808">
        <v>0</v>
      </c>
      <c r="N808">
        <v>2</v>
      </c>
      <c r="O808">
        <v>1</v>
      </c>
      <c r="P808">
        <v>0</v>
      </c>
      <c r="Q808">
        <v>0</v>
      </c>
      <c r="R808" t="s">
        <v>127</v>
      </c>
      <c r="S808" t="str">
        <f t="shared" si="80"/>
        <v>15:45:25.805</v>
      </c>
      <c r="T808" t="str">
        <f t="shared" si="80"/>
        <v>15:45:25.805</v>
      </c>
      <c r="U808" t="str">
        <f t="shared" si="76"/>
        <v>A55E09</v>
      </c>
      <c r="V808">
        <v>0</v>
      </c>
      <c r="W808">
        <v>0</v>
      </c>
      <c r="X808">
        <v>2</v>
      </c>
      <c r="Y808">
        <v>0</v>
      </c>
      <c r="AA808">
        <v>0</v>
      </c>
      <c r="AB808">
        <v>9</v>
      </c>
      <c r="AC808">
        <v>3</v>
      </c>
      <c r="AD808">
        <v>0</v>
      </c>
      <c r="AE808">
        <v>9</v>
      </c>
      <c r="AF808" t="s">
        <v>128</v>
      </c>
      <c r="AG808">
        <v>0</v>
      </c>
      <c r="AH808">
        <v>0</v>
      </c>
      <c r="AI808">
        <v>1</v>
      </c>
      <c r="AJ808">
        <v>0</v>
      </c>
      <c r="AK808" t="s">
        <v>507</v>
      </c>
      <c r="AL808">
        <v>33.768453999999998</v>
      </c>
      <c r="AM808" t="s">
        <v>508</v>
      </c>
      <c r="AN808">
        <v>-101.22824199999999</v>
      </c>
      <c r="AO808">
        <v>100</v>
      </c>
      <c r="AP808">
        <v>3200</v>
      </c>
      <c r="AQ808" t="s">
        <v>131</v>
      </c>
      <c r="AR808">
        <v>-26</v>
      </c>
      <c r="AS808">
        <v>-9</v>
      </c>
      <c r="AT808">
        <v>-64</v>
      </c>
      <c r="BB808" t="str">
        <f t="shared" si="78"/>
        <v>1200</v>
      </c>
      <c r="BC808">
        <v>1</v>
      </c>
      <c r="BD808" t="str">
        <f t="shared" si="79"/>
        <v xml:space="preserve">N445JS  </v>
      </c>
      <c r="BE808">
        <v>7</v>
      </c>
      <c r="BG808">
        <v>0</v>
      </c>
      <c r="BH808">
        <v>0</v>
      </c>
      <c r="BI808">
        <v>0</v>
      </c>
      <c r="BJ808">
        <v>2975</v>
      </c>
      <c r="BK808">
        <v>-225</v>
      </c>
      <c r="BL808" t="s">
        <v>132</v>
      </c>
      <c r="BM808">
        <v>1</v>
      </c>
      <c r="BN808">
        <v>1</v>
      </c>
      <c r="BO808">
        <v>1</v>
      </c>
      <c r="BP808">
        <v>0</v>
      </c>
      <c r="BT808">
        <v>0</v>
      </c>
      <c r="BU808">
        <v>0</v>
      </c>
      <c r="CE808" t="str">
        <f>"15:45:25.812"</f>
        <v>15:45:25.812</v>
      </c>
      <c r="CF808">
        <v>811674836</v>
      </c>
      <c r="CS808">
        <v>0</v>
      </c>
      <c r="CT808">
        <v>2</v>
      </c>
      <c r="CU808">
        <v>0</v>
      </c>
      <c r="CV808">
        <v>2</v>
      </c>
      <c r="CW808">
        <v>0</v>
      </c>
      <c r="CX808">
        <v>6</v>
      </c>
      <c r="CY808">
        <v>7</v>
      </c>
      <c r="CZ808" t="s">
        <v>133</v>
      </c>
      <c r="DA808">
        <v>125</v>
      </c>
      <c r="DB808">
        <v>0</v>
      </c>
      <c r="DC808" t="s">
        <v>134</v>
      </c>
      <c r="DD808" t="s">
        <v>135</v>
      </c>
      <c r="DG808">
        <v>3907348</v>
      </c>
      <c r="DI808">
        <v>0</v>
      </c>
      <c r="DJ808">
        <v>0</v>
      </c>
      <c r="DK808">
        <v>1</v>
      </c>
      <c r="DL808">
        <v>0</v>
      </c>
      <c r="DM808">
        <v>0</v>
      </c>
      <c r="DN808">
        <v>0</v>
      </c>
      <c r="DO808">
        <v>0</v>
      </c>
      <c r="DP808">
        <v>0</v>
      </c>
      <c r="DQ808">
        <v>0</v>
      </c>
      <c r="DR808">
        <v>0</v>
      </c>
      <c r="DS808">
        <v>0</v>
      </c>
    </row>
    <row r="809" spans="1:123" x14ac:dyDescent="0.25">
      <c r="A809" t="str">
        <f>"04/17/2026 15:45:26.106"</f>
        <v>04/17/2026 15:45:26.106</v>
      </c>
      <c r="C809" t="str">
        <f t="shared" si="77"/>
        <v>FFDFD3C0</v>
      </c>
      <c r="D809" t="s">
        <v>139</v>
      </c>
      <c r="E809" t="str">
        <f>"28"</f>
        <v>28</v>
      </c>
      <c r="H809">
        <v>140</v>
      </c>
      <c r="I809" t="s">
        <v>140</v>
      </c>
      <c r="J809" t="s">
        <v>141</v>
      </c>
      <c r="K809">
        <v>0</v>
      </c>
      <c r="L809">
        <v>3</v>
      </c>
      <c r="M809">
        <v>0</v>
      </c>
      <c r="N809">
        <v>2</v>
      </c>
      <c r="O809">
        <v>1</v>
      </c>
      <c r="P809">
        <v>0</v>
      </c>
      <c r="Q809">
        <v>0</v>
      </c>
      <c r="R809" t="s">
        <v>127</v>
      </c>
      <c r="S809" t="str">
        <f t="shared" si="80"/>
        <v>15:45:25.805</v>
      </c>
      <c r="T809" t="str">
        <f t="shared" si="80"/>
        <v>15:45:25.805</v>
      </c>
      <c r="U809" t="str">
        <f t="shared" si="76"/>
        <v>A55E09</v>
      </c>
      <c r="V809">
        <v>0</v>
      </c>
      <c r="W809">
        <v>0</v>
      </c>
      <c r="X809">
        <v>2</v>
      </c>
      <c r="Y809">
        <v>0</v>
      </c>
      <c r="AA809">
        <v>0</v>
      </c>
      <c r="AB809">
        <v>9</v>
      </c>
      <c r="AC809">
        <v>3</v>
      </c>
      <c r="AD809">
        <v>0</v>
      </c>
      <c r="AE809">
        <v>9</v>
      </c>
      <c r="AF809" t="s">
        <v>128</v>
      </c>
      <c r="AG809">
        <v>0</v>
      </c>
      <c r="AH809">
        <v>0</v>
      </c>
      <c r="AI809">
        <v>1</v>
      </c>
      <c r="AJ809">
        <v>0</v>
      </c>
      <c r="AK809" t="s">
        <v>507</v>
      </c>
      <c r="AL809">
        <v>33.768453999999998</v>
      </c>
      <c r="AM809" t="s">
        <v>508</v>
      </c>
      <c r="AN809">
        <v>-101.22824199999999</v>
      </c>
      <c r="AO809">
        <v>100</v>
      </c>
      <c r="AP809">
        <v>3200</v>
      </c>
      <c r="AQ809" t="s">
        <v>131</v>
      </c>
      <c r="AR809">
        <v>-26</v>
      </c>
      <c r="AS809">
        <v>-9</v>
      </c>
      <c r="AT809">
        <v>-64</v>
      </c>
      <c r="BB809" t="str">
        <f t="shared" si="78"/>
        <v>1200</v>
      </c>
      <c r="BC809">
        <v>1</v>
      </c>
      <c r="BD809" t="str">
        <f t="shared" si="79"/>
        <v xml:space="preserve">N445JS  </v>
      </c>
      <c r="BE809">
        <v>7</v>
      </c>
      <c r="BG809">
        <v>0</v>
      </c>
      <c r="BH809">
        <v>0</v>
      </c>
      <c r="BI809">
        <v>0</v>
      </c>
      <c r="BJ809">
        <v>2975</v>
      </c>
      <c r="BK809">
        <v>-225</v>
      </c>
      <c r="BL809" t="s">
        <v>132</v>
      </c>
      <c r="BM809">
        <v>1</v>
      </c>
      <c r="BN809">
        <v>1</v>
      </c>
      <c r="BO809">
        <v>1</v>
      </c>
      <c r="BP809">
        <v>0</v>
      </c>
      <c r="BT809">
        <v>0</v>
      </c>
      <c r="BU809">
        <v>0</v>
      </c>
      <c r="CE809" t="str">
        <f>"15:45:25.812"</f>
        <v>15:45:25.812</v>
      </c>
      <c r="CF809">
        <v>811674836</v>
      </c>
      <c r="CS809">
        <v>0</v>
      </c>
      <c r="CT809">
        <v>2</v>
      </c>
      <c r="CU809">
        <v>0</v>
      </c>
      <c r="CV809">
        <v>2</v>
      </c>
      <c r="CW809">
        <v>0</v>
      </c>
      <c r="CX809">
        <v>6</v>
      </c>
      <c r="CY809">
        <v>7</v>
      </c>
      <c r="CZ809" t="s">
        <v>133</v>
      </c>
      <c r="DA809">
        <v>125</v>
      </c>
      <c r="DB809">
        <v>0</v>
      </c>
      <c r="DC809" t="s">
        <v>134</v>
      </c>
      <c r="DD809" t="s">
        <v>135</v>
      </c>
      <c r="DG809">
        <v>3907348</v>
      </c>
      <c r="DI809">
        <v>0</v>
      </c>
      <c r="DJ809">
        <v>0</v>
      </c>
      <c r="DK809">
        <v>1</v>
      </c>
      <c r="DL809">
        <v>0</v>
      </c>
      <c r="DM809">
        <v>0</v>
      </c>
      <c r="DN809">
        <v>0</v>
      </c>
      <c r="DO809">
        <v>0</v>
      </c>
      <c r="DP809">
        <v>0</v>
      </c>
      <c r="DQ809">
        <v>0</v>
      </c>
      <c r="DR809">
        <v>0</v>
      </c>
      <c r="DS809">
        <v>0</v>
      </c>
    </row>
    <row r="810" spans="1:123" x14ac:dyDescent="0.25">
      <c r="A810" t="str">
        <f>"04/17/2026 15:45:26.114"</f>
        <v>04/17/2026 15:45:26.114</v>
      </c>
      <c r="C810" t="str">
        <f t="shared" si="77"/>
        <v>FFDFD3C0</v>
      </c>
      <c r="D810" t="s">
        <v>124</v>
      </c>
      <c r="E810" t="str">
        <f>"03"</f>
        <v>03</v>
      </c>
      <c r="H810">
        <v>160</v>
      </c>
      <c r="I810" t="s">
        <v>125</v>
      </c>
      <c r="J810" t="s">
        <v>126</v>
      </c>
      <c r="K810">
        <v>0</v>
      </c>
      <c r="L810">
        <v>3</v>
      </c>
      <c r="M810">
        <v>0</v>
      </c>
      <c r="N810">
        <v>2</v>
      </c>
      <c r="O810">
        <v>1</v>
      </c>
      <c r="P810">
        <v>0</v>
      </c>
      <c r="Q810">
        <v>0</v>
      </c>
      <c r="R810" t="s">
        <v>127</v>
      </c>
      <c r="S810" t="str">
        <f t="shared" si="80"/>
        <v>15:45:25.805</v>
      </c>
      <c r="T810" t="str">
        <f t="shared" si="80"/>
        <v>15:45:25.805</v>
      </c>
      <c r="U810" t="str">
        <f t="shared" si="76"/>
        <v>A55E09</v>
      </c>
      <c r="V810">
        <v>0</v>
      </c>
      <c r="W810">
        <v>0</v>
      </c>
      <c r="X810">
        <v>2</v>
      </c>
      <c r="Y810">
        <v>0</v>
      </c>
      <c r="AA810">
        <v>0</v>
      </c>
      <c r="AB810">
        <v>9</v>
      </c>
      <c r="AC810">
        <v>3</v>
      </c>
      <c r="AD810">
        <v>0</v>
      </c>
      <c r="AE810">
        <v>9</v>
      </c>
      <c r="AF810" t="s">
        <v>128</v>
      </c>
      <c r="AG810">
        <v>0</v>
      </c>
      <c r="AH810">
        <v>0</v>
      </c>
      <c r="AI810">
        <v>1</v>
      </c>
      <c r="AJ810">
        <v>0</v>
      </c>
      <c r="AK810" t="s">
        <v>507</v>
      </c>
      <c r="AL810">
        <v>33.768453999999998</v>
      </c>
      <c r="AM810" t="s">
        <v>508</v>
      </c>
      <c r="AN810">
        <v>-101.22824199999999</v>
      </c>
      <c r="AO810">
        <v>100</v>
      </c>
      <c r="AP810">
        <v>3200</v>
      </c>
      <c r="AQ810" t="s">
        <v>131</v>
      </c>
      <c r="AR810">
        <v>-26</v>
      </c>
      <c r="AS810">
        <v>-9</v>
      </c>
      <c r="AT810">
        <v>-64</v>
      </c>
      <c r="BB810" t="str">
        <f t="shared" si="78"/>
        <v>1200</v>
      </c>
      <c r="BC810">
        <v>1</v>
      </c>
      <c r="BD810" t="str">
        <f t="shared" si="79"/>
        <v xml:space="preserve">N445JS  </v>
      </c>
      <c r="BE810">
        <v>7</v>
      </c>
      <c r="BG810">
        <v>0</v>
      </c>
      <c r="BH810">
        <v>0</v>
      </c>
      <c r="BI810">
        <v>0</v>
      </c>
      <c r="BJ810">
        <v>2975</v>
      </c>
      <c r="BK810">
        <v>-225</v>
      </c>
      <c r="BL810" t="s">
        <v>132</v>
      </c>
      <c r="BM810">
        <v>1</v>
      </c>
      <c r="BN810">
        <v>1</v>
      </c>
      <c r="BO810">
        <v>1</v>
      </c>
      <c r="BP810">
        <v>0</v>
      </c>
      <c r="BT810">
        <v>0</v>
      </c>
      <c r="BU810">
        <v>0</v>
      </c>
      <c r="CE810" t="str">
        <f>"15:45:25.812"</f>
        <v>15:45:25.812</v>
      </c>
      <c r="CF810">
        <v>811674836</v>
      </c>
      <c r="CS810">
        <v>0</v>
      </c>
      <c r="CT810">
        <v>2</v>
      </c>
      <c r="CU810">
        <v>0</v>
      </c>
      <c r="CV810">
        <v>2</v>
      </c>
      <c r="CW810">
        <v>0</v>
      </c>
      <c r="CX810">
        <v>6</v>
      </c>
      <c r="CY810">
        <v>7</v>
      </c>
      <c r="CZ810" t="s">
        <v>133</v>
      </c>
      <c r="DA810">
        <v>125</v>
      </c>
      <c r="DB810">
        <v>0</v>
      </c>
      <c r="DC810" t="s">
        <v>134</v>
      </c>
      <c r="DD810" t="s">
        <v>135</v>
      </c>
      <c r="DG810">
        <v>3907348</v>
      </c>
      <c r="DI810">
        <v>0</v>
      </c>
      <c r="DJ810">
        <v>0</v>
      </c>
      <c r="DK810">
        <v>1</v>
      </c>
      <c r="DL810">
        <v>0</v>
      </c>
      <c r="DM810">
        <v>0</v>
      </c>
      <c r="DN810">
        <v>0</v>
      </c>
      <c r="DO810">
        <v>0</v>
      </c>
      <c r="DP810">
        <v>0</v>
      </c>
      <c r="DQ810">
        <v>0</v>
      </c>
      <c r="DR810">
        <v>0</v>
      </c>
      <c r="DS810">
        <v>0</v>
      </c>
    </row>
    <row r="811" spans="1:123" x14ac:dyDescent="0.25">
      <c r="A811" t="str">
        <f>"04/17/2026 15:45:27.335"</f>
        <v>04/17/2026 15:45:27.335</v>
      </c>
      <c r="C811" t="str">
        <f t="shared" si="77"/>
        <v>FFDFD3C0</v>
      </c>
      <c r="D811" t="s">
        <v>136</v>
      </c>
      <c r="E811" t="str">
        <f>"0E"</f>
        <v>0E</v>
      </c>
      <c r="F811">
        <v>1014</v>
      </c>
      <c r="G811" t="s">
        <v>125</v>
      </c>
      <c r="J811" t="s">
        <v>137</v>
      </c>
      <c r="K811">
        <v>0</v>
      </c>
      <c r="L811">
        <v>3</v>
      </c>
      <c r="M811">
        <v>0</v>
      </c>
      <c r="N811">
        <v>2</v>
      </c>
      <c r="O811">
        <v>1</v>
      </c>
      <c r="P811">
        <v>0</v>
      </c>
      <c r="Q811">
        <v>0</v>
      </c>
      <c r="R811" t="s">
        <v>127</v>
      </c>
      <c r="S811" t="str">
        <f>"15:45:27.070"</f>
        <v>15:45:27.070</v>
      </c>
      <c r="T811" t="str">
        <f>"15:45:26.770"</f>
        <v>15:45:26.770</v>
      </c>
      <c r="U811" t="str">
        <f t="shared" si="76"/>
        <v>A55E09</v>
      </c>
      <c r="V811">
        <v>0</v>
      </c>
      <c r="W811">
        <v>0</v>
      </c>
      <c r="X811">
        <v>2</v>
      </c>
      <c r="Y811">
        <v>0</v>
      </c>
      <c r="AA811">
        <v>0</v>
      </c>
      <c r="AB811">
        <v>9</v>
      </c>
      <c r="AC811">
        <v>3</v>
      </c>
      <c r="AD811">
        <v>0</v>
      </c>
      <c r="AE811">
        <v>9</v>
      </c>
      <c r="AF811" t="s">
        <v>128</v>
      </c>
      <c r="AG811">
        <v>0</v>
      </c>
      <c r="AH811">
        <v>0</v>
      </c>
      <c r="AI811">
        <v>1</v>
      </c>
      <c r="AJ811">
        <v>0</v>
      </c>
      <c r="AK811" t="s">
        <v>509</v>
      </c>
      <c r="AL811">
        <v>33.768411</v>
      </c>
      <c r="AM811" t="s">
        <v>510</v>
      </c>
      <c r="AN811">
        <v>-101.228478</v>
      </c>
      <c r="AO811">
        <v>100</v>
      </c>
      <c r="AP811">
        <v>3200</v>
      </c>
      <c r="AQ811" t="s">
        <v>131</v>
      </c>
      <c r="AR811">
        <v>-26</v>
      </c>
      <c r="AS811">
        <v>-11</v>
      </c>
      <c r="AT811">
        <v>0</v>
      </c>
      <c r="BB811" t="str">
        <f t="shared" si="78"/>
        <v>1200</v>
      </c>
      <c r="BC811">
        <v>1</v>
      </c>
      <c r="BD811" t="str">
        <f t="shared" si="79"/>
        <v xml:space="preserve">N445JS  </v>
      </c>
      <c r="BE811">
        <v>7</v>
      </c>
      <c r="BG811">
        <v>0</v>
      </c>
      <c r="BH811">
        <v>0</v>
      </c>
      <c r="BI811">
        <v>0</v>
      </c>
      <c r="BJ811">
        <v>2975</v>
      </c>
      <c r="BK811">
        <v>-225</v>
      </c>
      <c r="BL811" t="s">
        <v>132</v>
      </c>
      <c r="BM811">
        <v>1</v>
      </c>
      <c r="BN811">
        <v>1</v>
      </c>
      <c r="BO811">
        <v>1</v>
      </c>
      <c r="BP811">
        <v>0</v>
      </c>
      <c r="BT811">
        <v>0</v>
      </c>
      <c r="BU811">
        <v>0</v>
      </c>
      <c r="CE811" t="str">
        <f>"15:45:27.072"</f>
        <v>15:45:27.072</v>
      </c>
      <c r="CF811">
        <v>71551332</v>
      </c>
      <c r="CS811">
        <v>0</v>
      </c>
      <c r="CT811">
        <v>2</v>
      </c>
      <c r="CU811">
        <v>0</v>
      </c>
      <c r="CV811">
        <v>2</v>
      </c>
      <c r="CW811">
        <v>0</v>
      </c>
      <c r="CX811">
        <v>5</v>
      </c>
      <c r="CY811">
        <v>7</v>
      </c>
      <c r="CZ811" t="s">
        <v>133</v>
      </c>
      <c r="DA811">
        <v>125</v>
      </c>
      <c r="DB811">
        <v>1</v>
      </c>
      <c r="DC811" t="s">
        <v>134</v>
      </c>
      <c r="DD811" t="s">
        <v>135</v>
      </c>
      <c r="DG811">
        <v>2930679</v>
      </c>
      <c r="DI811">
        <v>0</v>
      </c>
      <c r="DJ811">
        <v>0</v>
      </c>
      <c r="DK811">
        <v>0</v>
      </c>
      <c r="DL811">
        <v>0</v>
      </c>
      <c r="DM811">
        <v>0</v>
      </c>
      <c r="DN811">
        <v>0</v>
      </c>
      <c r="DO811">
        <v>0</v>
      </c>
      <c r="DP811">
        <v>0</v>
      </c>
      <c r="DQ811">
        <v>0</v>
      </c>
      <c r="DR811">
        <v>0</v>
      </c>
      <c r="DS811">
        <v>0</v>
      </c>
    </row>
    <row r="812" spans="1:123" x14ac:dyDescent="0.25">
      <c r="A812" t="str">
        <f>"04/17/2026 15:45:27.350"</f>
        <v>04/17/2026 15:45:27.350</v>
      </c>
      <c r="C812" t="str">
        <f t="shared" si="77"/>
        <v>FFDFD3C0</v>
      </c>
      <c r="D812" t="s">
        <v>136</v>
      </c>
      <c r="E812" t="str">
        <f>"0F"</f>
        <v>0F</v>
      </c>
      <c r="F812">
        <v>1015</v>
      </c>
      <c r="G812" t="s">
        <v>138</v>
      </c>
      <c r="J812" t="s">
        <v>137</v>
      </c>
      <c r="K812">
        <v>0</v>
      </c>
      <c r="L812">
        <v>3</v>
      </c>
      <c r="M812">
        <v>0</v>
      </c>
      <c r="N812">
        <v>2</v>
      </c>
      <c r="O812">
        <v>1</v>
      </c>
      <c r="P812">
        <v>0</v>
      </c>
      <c r="Q812">
        <v>0</v>
      </c>
      <c r="R812" t="s">
        <v>127</v>
      </c>
      <c r="S812" t="str">
        <f>"15:45:27.070"</f>
        <v>15:45:27.070</v>
      </c>
      <c r="T812" t="str">
        <f>"15:45:26.770"</f>
        <v>15:45:26.770</v>
      </c>
      <c r="U812" t="str">
        <f t="shared" si="76"/>
        <v>A55E09</v>
      </c>
      <c r="V812">
        <v>0</v>
      </c>
      <c r="W812">
        <v>0</v>
      </c>
      <c r="X812">
        <v>2</v>
      </c>
      <c r="Y812">
        <v>0</v>
      </c>
      <c r="AA812">
        <v>0</v>
      </c>
      <c r="AB812">
        <v>9</v>
      </c>
      <c r="AC812">
        <v>3</v>
      </c>
      <c r="AD812">
        <v>0</v>
      </c>
      <c r="AE812">
        <v>9</v>
      </c>
      <c r="AF812" t="s">
        <v>128</v>
      </c>
      <c r="AG812">
        <v>0</v>
      </c>
      <c r="AH812">
        <v>0</v>
      </c>
      <c r="AI812">
        <v>1</v>
      </c>
      <c r="AJ812">
        <v>0</v>
      </c>
      <c r="AK812" t="s">
        <v>509</v>
      </c>
      <c r="AL812">
        <v>33.768411</v>
      </c>
      <c r="AM812" t="s">
        <v>510</v>
      </c>
      <c r="AN812">
        <v>-101.228478</v>
      </c>
      <c r="AO812">
        <v>100</v>
      </c>
      <c r="AP812">
        <v>3200</v>
      </c>
      <c r="AQ812" t="s">
        <v>131</v>
      </c>
      <c r="AR812">
        <v>-26</v>
      </c>
      <c r="AS812">
        <v>-11</v>
      </c>
      <c r="AT812">
        <v>0</v>
      </c>
      <c r="BB812" t="str">
        <f t="shared" si="78"/>
        <v>1200</v>
      </c>
      <c r="BC812">
        <v>1</v>
      </c>
      <c r="BD812" t="str">
        <f t="shared" si="79"/>
        <v xml:space="preserve">N445JS  </v>
      </c>
      <c r="BE812">
        <v>7</v>
      </c>
      <c r="BG812">
        <v>0</v>
      </c>
      <c r="BH812">
        <v>0</v>
      </c>
      <c r="BI812">
        <v>0</v>
      </c>
      <c r="BJ812">
        <v>2975</v>
      </c>
      <c r="BK812">
        <v>-225</v>
      </c>
      <c r="BL812" t="s">
        <v>132</v>
      </c>
      <c r="BM812">
        <v>1</v>
      </c>
      <c r="BN812">
        <v>1</v>
      </c>
      <c r="BO812">
        <v>1</v>
      </c>
      <c r="BP812">
        <v>0</v>
      </c>
      <c r="BT812">
        <v>0</v>
      </c>
      <c r="BU812">
        <v>0</v>
      </c>
      <c r="CE812" t="str">
        <f>"15:45:27.072"</f>
        <v>15:45:27.072</v>
      </c>
      <c r="CF812">
        <v>71551332</v>
      </c>
      <c r="CS812">
        <v>0</v>
      </c>
      <c r="CT812">
        <v>2</v>
      </c>
      <c r="CU812">
        <v>0</v>
      </c>
      <c r="CV812">
        <v>2</v>
      </c>
      <c r="CW812">
        <v>0</v>
      </c>
      <c r="CX812">
        <v>5</v>
      </c>
      <c r="CY812">
        <v>7</v>
      </c>
      <c r="CZ812" t="s">
        <v>133</v>
      </c>
      <c r="DA812">
        <v>125</v>
      </c>
      <c r="DB812">
        <v>1</v>
      </c>
      <c r="DC812" t="s">
        <v>134</v>
      </c>
      <c r="DD812" t="s">
        <v>135</v>
      </c>
      <c r="DG812">
        <v>2930679</v>
      </c>
      <c r="DI812">
        <v>0</v>
      </c>
      <c r="DJ812">
        <v>0</v>
      </c>
      <c r="DK812">
        <v>1</v>
      </c>
      <c r="DL812">
        <v>0</v>
      </c>
      <c r="DM812">
        <v>0</v>
      </c>
      <c r="DN812">
        <v>0</v>
      </c>
      <c r="DO812">
        <v>0</v>
      </c>
      <c r="DP812">
        <v>0</v>
      </c>
      <c r="DQ812">
        <v>0</v>
      </c>
      <c r="DR812">
        <v>0</v>
      </c>
      <c r="DS812">
        <v>0</v>
      </c>
    </row>
    <row r="813" spans="1:123" x14ac:dyDescent="0.25">
      <c r="A813" t="str">
        <f>"04/17/2026 15:45:27.359"</f>
        <v>04/17/2026 15:45:27.359</v>
      </c>
      <c r="C813" t="str">
        <f t="shared" si="77"/>
        <v>FFDFD3C0</v>
      </c>
      <c r="D813" t="s">
        <v>139</v>
      </c>
      <c r="E813" t="str">
        <f>"28"</f>
        <v>28</v>
      </c>
      <c r="H813">
        <v>140</v>
      </c>
      <c r="I813" t="s">
        <v>140</v>
      </c>
      <c r="J813" t="s">
        <v>141</v>
      </c>
      <c r="K813">
        <v>0</v>
      </c>
      <c r="L813">
        <v>3</v>
      </c>
      <c r="M813">
        <v>0</v>
      </c>
      <c r="N813">
        <v>2</v>
      </c>
      <c r="O813">
        <v>1</v>
      </c>
      <c r="P813">
        <v>0</v>
      </c>
      <c r="Q813">
        <v>0</v>
      </c>
      <c r="R813" t="s">
        <v>127</v>
      </c>
      <c r="S813" t="str">
        <f>"15:45:27.070"</f>
        <v>15:45:27.070</v>
      </c>
      <c r="T813" t="str">
        <f>"15:45:26.770"</f>
        <v>15:45:26.770</v>
      </c>
      <c r="U813" t="str">
        <f t="shared" si="76"/>
        <v>A55E09</v>
      </c>
      <c r="V813">
        <v>0</v>
      </c>
      <c r="W813">
        <v>0</v>
      </c>
      <c r="X813">
        <v>2</v>
      </c>
      <c r="Y813">
        <v>0</v>
      </c>
      <c r="AA813">
        <v>0</v>
      </c>
      <c r="AB813">
        <v>9</v>
      </c>
      <c r="AC813">
        <v>3</v>
      </c>
      <c r="AD813">
        <v>0</v>
      </c>
      <c r="AE813">
        <v>9</v>
      </c>
      <c r="AF813" t="s">
        <v>128</v>
      </c>
      <c r="AG813">
        <v>0</v>
      </c>
      <c r="AH813">
        <v>0</v>
      </c>
      <c r="AI813">
        <v>1</v>
      </c>
      <c r="AJ813">
        <v>0</v>
      </c>
      <c r="AK813" t="s">
        <v>509</v>
      </c>
      <c r="AL813">
        <v>33.768411</v>
      </c>
      <c r="AM813" t="s">
        <v>510</v>
      </c>
      <c r="AN813">
        <v>-101.228478</v>
      </c>
      <c r="AO813">
        <v>100</v>
      </c>
      <c r="AP813">
        <v>3200</v>
      </c>
      <c r="AQ813" t="s">
        <v>131</v>
      </c>
      <c r="AR813">
        <v>-26</v>
      </c>
      <c r="AS813">
        <v>-11</v>
      </c>
      <c r="AT813">
        <v>0</v>
      </c>
      <c r="BB813" t="str">
        <f t="shared" si="78"/>
        <v>1200</v>
      </c>
      <c r="BC813">
        <v>1</v>
      </c>
      <c r="BD813" t="str">
        <f t="shared" si="79"/>
        <v xml:space="preserve">N445JS  </v>
      </c>
      <c r="BE813">
        <v>7</v>
      </c>
      <c r="BG813">
        <v>0</v>
      </c>
      <c r="BH813">
        <v>0</v>
      </c>
      <c r="BI813">
        <v>0</v>
      </c>
      <c r="BJ813">
        <v>2975</v>
      </c>
      <c r="BK813">
        <v>-225</v>
      </c>
      <c r="BL813" t="s">
        <v>132</v>
      </c>
      <c r="BM813">
        <v>1</v>
      </c>
      <c r="BN813">
        <v>1</v>
      </c>
      <c r="BO813">
        <v>1</v>
      </c>
      <c r="BP813">
        <v>0</v>
      </c>
      <c r="BT813">
        <v>0</v>
      </c>
      <c r="BU813">
        <v>0</v>
      </c>
      <c r="CE813" t="str">
        <f>"15:45:27.072"</f>
        <v>15:45:27.072</v>
      </c>
      <c r="CF813">
        <v>71551332</v>
      </c>
      <c r="CS813">
        <v>0</v>
      </c>
      <c r="CT813">
        <v>2</v>
      </c>
      <c r="CU813">
        <v>0</v>
      </c>
      <c r="CV813">
        <v>2</v>
      </c>
      <c r="CW813">
        <v>0</v>
      </c>
      <c r="CX813">
        <v>5</v>
      </c>
      <c r="CY813">
        <v>7</v>
      </c>
      <c r="CZ813" t="s">
        <v>133</v>
      </c>
      <c r="DA813">
        <v>125</v>
      </c>
      <c r="DB813">
        <v>1</v>
      </c>
      <c r="DC813" t="s">
        <v>134</v>
      </c>
      <c r="DD813" t="s">
        <v>135</v>
      </c>
      <c r="DG813">
        <v>2930679</v>
      </c>
      <c r="DI813">
        <v>0</v>
      </c>
      <c r="DJ813">
        <v>0</v>
      </c>
      <c r="DK813">
        <v>1</v>
      </c>
      <c r="DL813">
        <v>0</v>
      </c>
      <c r="DM813">
        <v>0</v>
      </c>
      <c r="DN813">
        <v>0</v>
      </c>
      <c r="DO813">
        <v>0</v>
      </c>
      <c r="DP813">
        <v>0</v>
      </c>
      <c r="DQ813">
        <v>0</v>
      </c>
      <c r="DR813">
        <v>0</v>
      </c>
      <c r="DS813">
        <v>0</v>
      </c>
    </row>
    <row r="814" spans="1:123" x14ac:dyDescent="0.25">
      <c r="A814" t="str">
        <f>"04/17/2026 15:45:27.367"</f>
        <v>04/17/2026 15:45:27.367</v>
      </c>
      <c r="C814" t="str">
        <f t="shared" si="77"/>
        <v>FFDFD3C0</v>
      </c>
      <c r="D814" t="s">
        <v>124</v>
      </c>
      <c r="E814" t="str">
        <f>"03"</f>
        <v>03</v>
      </c>
      <c r="H814">
        <v>160</v>
      </c>
      <c r="I814" t="s">
        <v>125</v>
      </c>
      <c r="J814" t="s">
        <v>126</v>
      </c>
      <c r="K814">
        <v>0</v>
      </c>
      <c r="L814">
        <v>3</v>
      </c>
      <c r="M814">
        <v>0</v>
      </c>
      <c r="N814">
        <v>2</v>
      </c>
      <c r="O814">
        <v>1</v>
      </c>
      <c r="P814">
        <v>0</v>
      </c>
      <c r="Q814">
        <v>0</v>
      </c>
      <c r="R814" t="s">
        <v>127</v>
      </c>
      <c r="S814" t="str">
        <f>"15:45:27.070"</f>
        <v>15:45:27.070</v>
      </c>
      <c r="T814" t="str">
        <f>"15:45:26.770"</f>
        <v>15:45:26.770</v>
      </c>
      <c r="U814" t="str">
        <f t="shared" si="76"/>
        <v>A55E09</v>
      </c>
      <c r="V814">
        <v>0</v>
      </c>
      <c r="W814">
        <v>0</v>
      </c>
      <c r="X814">
        <v>2</v>
      </c>
      <c r="Y814">
        <v>0</v>
      </c>
      <c r="AA814">
        <v>0</v>
      </c>
      <c r="AB814">
        <v>9</v>
      </c>
      <c r="AC814">
        <v>3</v>
      </c>
      <c r="AD814">
        <v>0</v>
      </c>
      <c r="AE814">
        <v>9</v>
      </c>
      <c r="AF814" t="s">
        <v>128</v>
      </c>
      <c r="AG814">
        <v>0</v>
      </c>
      <c r="AH814">
        <v>0</v>
      </c>
      <c r="AI814">
        <v>1</v>
      </c>
      <c r="AJ814">
        <v>0</v>
      </c>
      <c r="AK814" t="s">
        <v>509</v>
      </c>
      <c r="AL814">
        <v>33.768411</v>
      </c>
      <c r="AM814" t="s">
        <v>510</v>
      </c>
      <c r="AN814">
        <v>-101.228478</v>
      </c>
      <c r="AO814">
        <v>100</v>
      </c>
      <c r="AP814">
        <v>3200</v>
      </c>
      <c r="AQ814" t="s">
        <v>131</v>
      </c>
      <c r="AR814">
        <v>-26</v>
      </c>
      <c r="AS814">
        <v>-11</v>
      </c>
      <c r="AT814">
        <v>0</v>
      </c>
      <c r="BB814" t="str">
        <f t="shared" si="78"/>
        <v>1200</v>
      </c>
      <c r="BC814">
        <v>1</v>
      </c>
      <c r="BD814" t="str">
        <f t="shared" si="79"/>
        <v xml:space="preserve">N445JS  </v>
      </c>
      <c r="BE814">
        <v>7</v>
      </c>
      <c r="BG814">
        <v>0</v>
      </c>
      <c r="BH814">
        <v>0</v>
      </c>
      <c r="BI814">
        <v>0</v>
      </c>
      <c r="BJ814">
        <v>2975</v>
      </c>
      <c r="BK814">
        <v>-225</v>
      </c>
      <c r="BL814" t="s">
        <v>132</v>
      </c>
      <c r="BM814">
        <v>1</v>
      </c>
      <c r="BN814">
        <v>1</v>
      </c>
      <c r="BO814">
        <v>1</v>
      </c>
      <c r="BP814">
        <v>0</v>
      </c>
      <c r="BT814">
        <v>0</v>
      </c>
      <c r="BU814">
        <v>0</v>
      </c>
      <c r="CE814" t="str">
        <f>"15:45:27.072"</f>
        <v>15:45:27.072</v>
      </c>
      <c r="CF814">
        <v>71551332</v>
      </c>
      <c r="CS814">
        <v>0</v>
      </c>
      <c r="CT814">
        <v>2</v>
      </c>
      <c r="CU814">
        <v>0</v>
      </c>
      <c r="CV814">
        <v>2</v>
      </c>
      <c r="CW814">
        <v>0</v>
      </c>
      <c r="CX814">
        <v>5</v>
      </c>
      <c r="CY814">
        <v>7</v>
      </c>
      <c r="CZ814" t="s">
        <v>133</v>
      </c>
      <c r="DA814">
        <v>125</v>
      </c>
      <c r="DB814">
        <v>1</v>
      </c>
      <c r="DC814" t="s">
        <v>134</v>
      </c>
      <c r="DD814" t="s">
        <v>135</v>
      </c>
      <c r="DG814">
        <v>2930679</v>
      </c>
      <c r="DI814">
        <v>0</v>
      </c>
      <c r="DJ814">
        <v>0</v>
      </c>
      <c r="DK814">
        <v>1</v>
      </c>
      <c r="DL814">
        <v>0</v>
      </c>
      <c r="DM814">
        <v>0</v>
      </c>
      <c r="DN814">
        <v>0</v>
      </c>
      <c r="DO814">
        <v>0</v>
      </c>
      <c r="DP814">
        <v>0</v>
      </c>
      <c r="DQ814">
        <v>0</v>
      </c>
      <c r="DR814">
        <v>0</v>
      </c>
      <c r="DS814">
        <v>0</v>
      </c>
    </row>
    <row r="815" spans="1:123" x14ac:dyDescent="0.25">
      <c r="A815" t="str">
        <f>"04/17/2026 15:45:28.437"</f>
        <v>04/17/2026 15:45:28.437</v>
      </c>
      <c r="C815" t="str">
        <f t="shared" si="77"/>
        <v>FFDFD3C0</v>
      </c>
      <c r="D815" t="s">
        <v>136</v>
      </c>
      <c r="E815" t="str">
        <f>"0E"</f>
        <v>0E</v>
      </c>
      <c r="F815">
        <v>1014</v>
      </c>
      <c r="G815" t="s">
        <v>125</v>
      </c>
      <c r="J815" t="s">
        <v>137</v>
      </c>
      <c r="K815">
        <v>0</v>
      </c>
      <c r="L815">
        <v>3</v>
      </c>
      <c r="M815">
        <v>0</v>
      </c>
      <c r="N815">
        <v>2</v>
      </c>
      <c r="O815">
        <v>1</v>
      </c>
      <c r="P815">
        <v>0</v>
      </c>
      <c r="Q815">
        <v>0</v>
      </c>
      <c r="R815" t="s">
        <v>127</v>
      </c>
      <c r="S815" t="str">
        <f>"15:45:28.164"</f>
        <v>15:45:28.164</v>
      </c>
      <c r="T815" t="str">
        <f>"15:45:27.664"</f>
        <v>15:45:27.664</v>
      </c>
      <c r="U815" t="str">
        <f t="shared" si="76"/>
        <v>A55E09</v>
      </c>
      <c r="V815">
        <v>0</v>
      </c>
      <c r="W815">
        <v>0</v>
      </c>
      <c r="X815">
        <v>2</v>
      </c>
      <c r="Y815">
        <v>0</v>
      </c>
      <c r="AA815">
        <v>0</v>
      </c>
      <c r="AB815">
        <v>9</v>
      </c>
      <c r="AC815">
        <v>3</v>
      </c>
      <c r="AD815">
        <v>0</v>
      </c>
      <c r="AE815">
        <v>9</v>
      </c>
      <c r="AF815" t="s">
        <v>128</v>
      </c>
      <c r="AG815">
        <v>0</v>
      </c>
      <c r="AH815">
        <v>0</v>
      </c>
      <c r="AI815">
        <v>1</v>
      </c>
      <c r="AJ815">
        <v>0</v>
      </c>
      <c r="AK815" t="s">
        <v>511</v>
      </c>
      <c r="AL815">
        <v>33.768303000000003</v>
      </c>
      <c r="AM815" t="s">
        <v>512</v>
      </c>
      <c r="AN815">
        <v>-101.228585</v>
      </c>
      <c r="AO815">
        <v>100</v>
      </c>
      <c r="AP815">
        <v>3200</v>
      </c>
      <c r="AQ815" t="s">
        <v>131</v>
      </c>
      <c r="AR815">
        <v>-26</v>
      </c>
      <c r="AS815">
        <v>-12</v>
      </c>
      <c r="AT815">
        <v>-192</v>
      </c>
      <c r="BB815" t="str">
        <f t="shared" si="78"/>
        <v>1200</v>
      </c>
      <c r="BC815">
        <v>1</v>
      </c>
      <c r="BD815" t="str">
        <f t="shared" si="79"/>
        <v xml:space="preserve">N445JS  </v>
      </c>
      <c r="BE815">
        <v>7</v>
      </c>
      <c r="BG815">
        <v>0</v>
      </c>
      <c r="BH815">
        <v>0</v>
      </c>
      <c r="BI815">
        <v>0</v>
      </c>
      <c r="BJ815">
        <v>2975</v>
      </c>
      <c r="BK815">
        <v>-225</v>
      </c>
      <c r="BL815" t="s">
        <v>132</v>
      </c>
      <c r="BM815">
        <v>1</v>
      </c>
      <c r="BN815">
        <v>1</v>
      </c>
      <c r="BO815">
        <v>1</v>
      </c>
      <c r="BP815">
        <v>0</v>
      </c>
      <c r="BT815">
        <v>0</v>
      </c>
      <c r="BU815">
        <v>0</v>
      </c>
      <c r="CE815" t="str">
        <f>"15:45:28.166"</f>
        <v>15:45:28.166</v>
      </c>
      <c r="CF815">
        <v>166444009</v>
      </c>
      <c r="CS815">
        <v>0</v>
      </c>
      <c r="CT815">
        <v>2</v>
      </c>
      <c r="CU815">
        <v>0</v>
      </c>
      <c r="CV815">
        <v>2</v>
      </c>
      <c r="CW815">
        <v>0</v>
      </c>
      <c r="CX815">
        <v>5</v>
      </c>
      <c r="CY815">
        <v>7</v>
      </c>
      <c r="CZ815" t="s">
        <v>133</v>
      </c>
      <c r="DA815">
        <v>125</v>
      </c>
      <c r="DB815">
        <v>0</v>
      </c>
      <c r="DC815" t="s">
        <v>134</v>
      </c>
      <c r="DD815" t="s">
        <v>135</v>
      </c>
      <c r="DG815">
        <v>3909860</v>
      </c>
      <c r="DI815">
        <v>0</v>
      </c>
      <c r="DJ815">
        <v>0</v>
      </c>
      <c r="DK815">
        <v>0</v>
      </c>
      <c r="DL815">
        <v>0</v>
      </c>
      <c r="DM815">
        <v>0</v>
      </c>
      <c r="DN815">
        <v>0</v>
      </c>
      <c r="DO815">
        <v>0</v>
      </c>
      <c r="DP815">
        <v>0</v>
      </c>
      <c r="DQ815">
        <v>0</v>
      </c>
      <c r="DR815">
        <v>0</v>
      </c>
      <c r="DS815">
        <v>0</v>
      </c>
    </row>
    <row r="816" spans="1:123" x14ac:dyDescent="0.25">
      <c r="A816" t="str">
        <f>"04/17/2026 15:45:28.451"</f>
        <v>04/17/2026 15:45:28.451</v>
      </c>
      <c r="C816" t="str">
        <f t="shared" si="77"/>
        <v>FFDFD3C0</v>
      </c>
      <c r="D816" t="s">
        <v>136</v>
      </c>
      <c r="E816" t="str">
        <f>"0F"</f>
        <v>0F</v>
      </c>
      <c r="F816">
        <v>1015</v>
      </c>
      <c r="G816" t="s">
        <v>138</v>
      </c>
      <c r="J816" t="s">
        <v>137</v>
      </c>
      <c r="K816">
        <v>0</v>
      </c>
      <c r="L816">
        <v>3</v>
      </c>
      <c r="M816">
        <v>0</v>
      </c>
      <c r="N816">
        <v>2</v>
      </c>
      <c r="O816">
        <v>1</v>
      </c>
      <c r="P816">
        <v>0</v>
      </c>
      <c r="Q816">
        <v>0</v>
      </c>
      <c r="R816" t="s">
        <v>127</v>
      </c>
      <c r="S816" t="str">
        <f>"15:45:28.164"</f>
        <v>15:45:28.164</v>
      </c>
      <c r="T816" t="str">
        <f>"15:45:27.664"</f>
        <v>15:45:27.664</v>
      </c>
      <c r="U816" t="str">
        <f t="shared" si="76"/>
        <v>A55E09</v>
      </c>
      <c r="V816">
        <v>0</v>
      </c>
      <c r="W816">
        <v>0</v>
      </c>
      <c r="X816">
        <v>2</v>
      </c>
      <c r="Y816">
        <v>0</v>
      </c>
      <c r="AA816">
        <v>0</v>
      </c>
      <c r="AB816">
        <v>9</v>
      </c>
      <c r="AC816">
        <v>3</v>
      </c>
      <c r="AD816">
        <v>0</v>
      </c>
      <c r="AE816">
        <v>9</v>
      </c>
      <c r="AF816" t="s">
        <v>128</v>
      </c>
      <c r="AG816">
        <v>0</v>
      </c>
      <c r="AH816">
        <v>0</v>
      </c>
      <c r="AI816">
        <v>1</v>
      </c>
      <c r="AJ816">
        <v>0</v>
      </c>
      <c r="AK816" t="s">
        <v>511</v>
      </c>
      <c r="AL816">
        <v>33.768303000000003</v>
      </c>
      <c r="AM816" t="s">
        <v>512</v>
      </c>
      <c r="AN816">
        <v>-101.228585</v>
      </c>
      <c r="AO816">
        <v>100</v>
      </c>
      <c r="AP816">
        <v>3200</v>
      </c>
      <c r="AQ816" t="s">
        <v>131</v>
      </c>
      <c r="AR816">
        <v>-26</v>
      </c>
      <c r="AS816">
        <v>-12</v>
      </c>
      <c r="AT816">
        <v>-192</v>
      </c>
      <c r="BB816" t="str">
        <f t="shared" si="78"/>
        <v>1200</v>
      </c>
      <c r="BC816">
        <v>1</v>
      </c>
      <c r="BD816" t="str">
        <f t="shared" si="79"/>
        <v xml:space="preserve">N445JS  </v>
      </c>
      <c r="BE816">
        <v>7</v>
      </c>
      <c r="BG816">
        <v>0</v>
      </c>
      <c r="BH816">
        <v>0</v>
      </c>
      <c r="BI816">
        <v>0</v>
      </c>
      <c r="BJ816">
        <v>2975</v>
      </c>
      <c r="BK816">
        <v>-225</v>
      </c>
      <c r="BL816" t="s">
        <v>132</v>
      </c>
      <c r="BM816">
        <v>1</v>
      </c>
      <c r="BN816">
        <v>1</v>
      </c>
      <c r="BO816">
        <v>1</v>
      </c>
      <c r="BP816">
        <v>0</v>
      </c>
      <c r="BT816">
        <v>0</v>
      </c>
      <c r="BU816">
        <v>0</v>
      </c>
      <c r="CE816" t="str">
        <f>"15:45:28.166"</f>
        <v>15:45:28.166</v>
      </c>
      <c r="CF816">
        <v>166444009</v>
      </c>
      <c r="CS816">
        <v>0</v>
      </c>
      <c r="CT816">
        <v>2</v>
      </c>
      <c r="CU816">
        <v>0</v>
      </c>
      <c r="CV816">
        <v>2</v>
      </c>
      <c r="CW816">
        <v>0</v>
      </c>
      <c r="CX816">
        <v>5</v>
      </c>
      <c r="CY816">
        <v>7</v>
      </c>
      <c r="CZ816" t="s">
        <v>133</v>
      </c>
      <c r="DA816">
        <v>125</v>
      </c>
      <c r="DB816">
        <v>0</v>
      </c>
      <c r="DC816" t="s">
        <v>134</v>
      </c>
      <c r="DD816" t="s">
        <v>135</v>
      </c>
      <c r="DG816">
        <v>3909860</v>
      </c>
      <c r="DI816">
        <v>0</v>
      </c>
      <c r="DJ816">
        <v>0</v>
      </c>
      <c r="DK816">
        <v>1</v>
      </c>
      <c r="DL816">
        <v>0</v>
      </c>
      <c r="DM816">
        <v>0</v>
      </c>
      <c r="DN816">
        <v>0</v>
      </c>
      <c r="DO816">
        <v>0</v>
      </c>
      <c r="DP816">
        <v>0</v>
      </c>
      <c r="DQ816">
        <v>0</v>
      </c>
      <c r="DR816">
        <v>0</v>
      </c>
      <c r="DS816">
        <v>0</v>
      </c>
    </row>
    <row r="817" spans="1:123" x14ac:dyDescent="0.25">
      <c r="A817" t="str">
        <f>"04/17/2026 15:45:28.461"</f>
        <v>04/17/2026 15:45:28.461</v>
      </c>
      <c r="C817" t="str">
        <f t="shared" si="77"/>
        <v>FFDFD3C0</v>
      </c>
      <c r="D817" t="s">
        <v>139</v>
      </c>
      <c r="E817" t="str">
        <f>"28"</f>
        <v>28</v>
      </c>
      <c r="H817">
        <v>140</v>
      </c>
      <c r="I817" t="s">
        <v>140</v>
      </c>
      <c r="J817" t="s">
        <v>141</v>
      </c>
      <c r="K817">
        <v>0</v>
      </c>
      <c r="L817">
        <v>3</v>
      </c>
      <c r="M817">
        <v>0</v>
      </c>
      <c r="N817">
        <v>2</v>
      </c>
      <c r="O817">
        <v>1</v>
      </c>
      <c r="P817">
        <v>0</v>
      </c>
      <c r="Q817">
        <v>0</v>
      </c>
      <c r="R817" t="s">
        <v>127</v>
      </c>
      <c r="S817" t="str">
        <f>"15:45:28.164"</f>
        <v>15:45:28.164</v>
      </c>
      <c r="T817" t="str">
        <f>"15:45:27.664"</f>
        <v>15:45:27.664</v>
      </c>
      <c r="U817" t="str">
        <f t="shared" si="76"/>
        <v>A55E09</v>
      </c>
      <c r="V817">
        <v>0</v>
      </c>
      <c r="W817">
        <v>0</v>
      </c>
      <c r="X817">
        <v>2</v>
      </c>
      <c r="Y817">
        <v>0</v>
      </c>
      <c r="AA817">
        <v>0</v>
      </c>
      <c r="AB817">
        <v>9</v>
      </c>
      <c r="AC817">
        <v>3</v>
      </c>
      <c r="AD817">
        <v>0</v>
      </c>
      <c r="AE817">
        <v>9</v>
      </c>
      <c r="AF817" t="s">
        <v>128</v>
      </c>
      <c r="AG817">
        <v>0</v>
      </c>
      <c r="AH817">
        <v>0</v>
      </c>
      <c r="AI817">
        <v>1</v>
      </c>
      <c r="AJ817">
        <v>0</v>
      </c>
      <c r="AK817" t="s">
        <v>511</v>
      </c>
      <c r="AL817">
        <v>33.768303000000003</v>
      </c>
      <c r="AM817" t="s">
        <v>512</v>
      </c>
      <c r="AN817">
        <v>-101.228585</v>
      </c>
      <c r="AO817">
        <v>100</v>
      </c>
      <c r="AP817">
        <v>3200</v>
      </c>
      <c r="AQ817" t="s">
        <v>131</v>
      </c>
      <c r="AR817">
        <v>-26</v>
      </c>
      <c r="AS817">
        <v>-12</v>
      </c>
      <c r="AT817">
        <v>-192</v>
      </c>
      <c r="BB817" t="str">
        <f t="shared" si="78"/>
        <v>1200</v>
      </c>
      <c r="BC817">
        <v>1</v>
      </c>
      <c r="BD817" t="str">
        <f t="shared" si="79"/>
        <v xml:space="preserve">N445JS  </v>
      </c>
      <c r="BE817">
        <v>7</v>
      </c>
      <c r="BG817">
        <v>0</v>
      </c>
      <c r="BH817">
        <v>0</v>
      </c>
      <c r="BI817">
        <v>0</v>
      </c>
      <c r="BJ817">
        <v>2975</v>
      </c>
      <c r="BK817">
        <v>-225</v>
      </c>
      <c r="BL817" t="s">
        <v>132</v>
      </c>
      <c r="BM817">
        <v>1</v>
      </c>
      <c r="BN817">
        <v>1</v>
      </c>
      <c r="BO817">
        <v>1</v>
      </c>
      <c r="BP817">
        <v>0</v>
      </c>
      <c r="BT817">
        <v>0</v>
      </c>
      <c r="BU817">
        <v>0</v>
      </c>
      <c r="CE817" t="str">
        <f>"15:45:28.166"</f>
        <v>15:45:28.166</v>
      </c>
      <c r="CF817">
        <v>166444009</v>
      </c>
      <c r="CS817">
        <v>0</v>
      </c>
      <c r="CT817">
        <v>2</v>
      </c>
      <c r="CU817">
        <v>0</v>
      </c>
      <c r="CV817">
        <v>2</v>
      </c>
      <c r="CW817">
        <v>0</v>
      </c>
      <c r="CX817">
        <v>5</v>
      </c>
      <c r="CY817">
        <v>7</v>
      </c>
      <c r="CZ817" t="s">
        <v>133</v>
      </c>
      <c r="DA817">
        <v>125</v>
      </c>
      <c r="DB817">
        <v>0</v>
      </c>
      <c r="DC817" t="s">
        <v>134</v>
      </c>
      <c r="DD817" t="s">
        <v>135</v>
      </c>
      <c r="DG817">
        <v>3909860</v>
      </c>
      <c r="DI817">
        <v>0</v>
      </c>
      <c r="DJ817">
        <v>0</v>
      </c>
      <c r="DK817">
        <v>1</v>
      </c>
      <c r="DL817">
        <v>0</v>
      </c>
      <c r="DM817">
        <v>0</v>
      </c>
      <c r="DN817">
        <v>0</v>
      </c>
      <c r="DO817">
        <v>0</v>
      </c>
      <c r="DP817">
        <v>0</v>
      </c>
      <c r="DQ817">
        <v>0</v>
      </c>
      <c r="DR817">
        <v>0</v>
      </c>
      <c r="DS817">
        <v>0</v>
      </c>
    </row>
    <row r="818" spans="1:123" x14ac:dyDescent="0.25">
      <c r="A818" t="str">
        <f>"04/17/2026 15:45:28.468"</f>
        <v>04/17/2026 15:45:28.468</v>
      </c>
      <c r="C818" t="str">
        <f t="shared" si="77"/>
        <v>FFDFD3C0</v>
      </c>
      <c r="D818" t="s">
        <v>124</v>
      </c>
      <c r="E818" t="str">
        <f>"03"</f>
        <v>03</v>
      </c>
      <c r="H818">
        <v>160</v>
      </c>
      <c r="I818" t="s">
        <v>125</v>
      </c>
      <c r="J818" t="s">
        <v>126</v>
      </c>
      <c r="K818">
        <v>0</v>
      </c>
      <c r="L818">
        <v>3</v>
      </c>
      <c r="M818">
        <v>0</v>
      </c>
      <c r="N818">
        <v>2</v>
      </c>
      <c r="O818">
        <v>1</v>
      </c>
      <c r="P818">
        <v>0</v>
      </c>
      <c r="Q818">
        <v>0</v>
      </c>
      <c r="R818" t="s">
        <v>127</v>
      </c>
      <c r="S818" t="str">
        <f>"15:45:28.164"</f>
        <v>15:45:28.164</v>
      </c>
      <c r="T818" t="str">
        <f>"15:45:27.664"</f>
        <v>15:45:27.664</v>
      </c>
      <c r="U818" t="str">
        <f t="shared" si="76"/>
        <v>A55E09</v>
      </c>
      <c r="V818">
        <v>0</v>
      </c>
      <c r="W818">
        <v>0</v>
      </c>
      <c r="X818">
        <v>2</v>
      </c>
      <c r="Y818">
        <v>0</v>
      </c>
      <c r="AA818">
        <v>0</v>
      </c>
      <c r="AB818">
        <v>9</v>
      </c>
      <c r="AC818">
        <v>3</v>
      </c>
      <c r="AD818">
        <v>0</v>
      </c>
      <c r="AE818">
        <v>9</v>
      </c>
      <c r="AF818" t="s">
        <v>128</v>
      </c>
      <c r="AG818">
        <v>0</v>
      </c>
      <c r="AH818">
        <v>0</v>
      </c>
      <c r="AI818">
        <v>1</v>
      </c>
      <c r="AJ818">
        <v>0</v>
      </c>
      <c r="AK818" t="s">
        <v>511</v>
      </c>
      <c r="AL818">
        <v>33.768303000000003</v>
      </c>
      <c r="AM818" t="s">
        <v>512</v>
      </c>
      <c r="AN818">
        <v>-101.228585</v>
      </c>
      <c r="AO818">
        <v>100</v>
      </c>
      <c r="AP818">
        <v>3200</v>
      </c>
      <c r="AQ818" t="s">
        <v>131</v>
      </c>
      <c r="AR818">
        <v>-26</v>
      </c>
      <c r="AS818">
        <v>-12</v>
      </c>
      <c r="AT818">
        <v>-192</v>
      </c>
      <c r="BB818" t="str">
        <f t="shared" si="78"/>
        <v>1200</v>
      </c>
      <c r="BC818">
        <v>1</v>
      </c>
      <c r="BD818" t="str">
        <f t="shared" si="79"/>
        <v xml:space="preserve">N445JS  </v>
      </c>
      <c r="BE818">
        <v>7</v>
      </c>
      <c r="BG818">
        <v>0</v>
      </c>
      <c r="BH818">
        <v>0</v>
      </c>
      <c r="BI818">
        <v>0</v>
      </c>
      <c r="BJ818">
        <v>2975</v>
      </c>
      <c r="BK818">
        <v>-225</v>
      </c>
      <c r="BL818" t="s">
        <v>132</v>
      </c>
      <c r="BM818">
        <v>1</v>
      </c>
      <c r="BN818">
        <v>1</v>
      </c>
      <c r="BO818">
        <v>1</v>
      </c>
      <c r="BP818">
        <v>0</v>
      </c>
      <c r="BT818">
        <v>0</v>
      </c>
      <c r="BU818">
        <v>0</v>
      </c>
      <c r="CE818" t="str">
        <f>"15:45:28.166"</f>
        <v>15:45:28.166</v>
      </c>
      <c r="CF818">
        <v>166444009</v>
      </c>
      <c r="CS818">
        <v>0</v>
      </c>
      <c r="CT818">
        <v>2</v>
      </c>
      <c r="CU818">
        <v>0</v>
      </c>
      <c r="CV818">
        <v>2</v>
      </c>
      <c r="CW818">
        <v>0</v>
      </c>
      <c r="CX818">
        <v>5</v>
      </c>
      <c r="CY818">
        <v>7</v>
      </c>
      <c r="CZ818" t="s">
        <v>133</v>
      </c>
      <c r="DA818">
        <v>125</v>
      </c>
      <c r="DB818">
        <v>0</v>
      </c>
      <c r="DC818" t="s">
        <v>134</v>
      </c>
      <c r="DD818" t="s">
        <v>135</v>
      </c>
      <c r="DG818">
        <v>3909860</v>
      </c>
      <c r="DI818">
        <v>0</v>
      </c>
      <c r="DJ818">
        <v>0</v>
      </c>
      <c r="DK818">
        <v>1</v>
      </c>
      <c r="DL818">
        <v>0</v>
      </c>
      <c r="DM818">
        <v>0</v>
      </c>
      <c r="DN818">
        <v>0</v>
      </c>
      <c r="DO818">
        <v>0</v>
      </c>
      <c r="DP818">
        <v>0</v>
      </c>
      <c r="DQ818">
        <v>0</v>
      </c>
      <c r="DR818">
        <v>0</v>
      </c>
      <c r="DS818">
        <v>0</v>
      </c>
    </row>
    <row r="819" spans="1:123" x14ac:dyDescent="0.25">
      <c r="A819" t="str">
        <f>"04/17/2026 15:45:30.064"</f>
        <v>04/17/2026 15:45:30.064</v>
      </c>
      <c r="C819" t="str">
        <f t="shared" si="77"/>
        <v>FFDFD3C0</v>
      </c>
      <c r="D819" t="s">
        <v>139</v>
      </c>
      <c r="E819" t="str">
        <f>"28"</f>
        <v>28</v>
      </c>
      <c r="H819">
        <v>140</v>
      </c>
      <c r="I819" t="s">
        <v>140</v>
      </c>
      <c r="J819" t="s">
        <v>141</v>
      </c>
      <c r="K819">
        <v>0</v>
      </c>
      <c r="L819">
        <v>3</v>
      </c>
      <c r="M819">
        <v>0</v>
      </c>
      <c r="N819">
        <v>2</v>
      </c>
      <c r="O819">
        <v>1</v>
      </c>
      <c r="P819">
        <v>0</v>
      </c>
      <c r="Q819">
        <v>0</v>
      </c>
      <c r="R819" t="s">
        <v>127</v>
      </c>
      <c r="S819" t="str">
        <f>"15:45:29.797"</f>
        <v>15:45:29.797</v>
      </c>
      <c r="T819" t="str">
        <f>"15:45:29.297"</f>
        <v>15:45:29.297</v>
      </c>
      <c r="U819" t="str">
        <f t="shared" si="76"/>
        <v>A55E09</v>
      </c>
      <c r="V819">
        <v>0</v>
      </c>
      <c r="W819">
        <v>0</v>
      </c>
      <c r="X819">
        <v>2</v>
      </c>
      <c r="Y819">
        <v>0</v>
      </c>
      <c r="AA819">
        <v>0</v>
      </c>
      <c r="AB819">
        <v>9</v>
      </c>
      <c r="AC819">
        <v>3</v>
      </c>
      <c r="AD819">
        <v>0</v>
      </c>
      <c r="AE819">
        <v>9</v>
      </c>
      <c r="AF819" t="s">
        <v>128</v>
      </c>
      <c r="AG819">
        <v>0</v>
      </c>
      <c r="AH819">
        <v>0</v>
      </c>
      <c r="AI819">
        <v>1</v>
      </c>
      <c r="AJ819">
        <v>0</v>
      </c>
      <c r="AK819" t="s">
        <v>513</v>
      </c>
      <c r="AL819">
        <v>33.768217999999997</v>
      </c>
      <c r="AM819" t="s">
        <v>514</v>
      </c>
      <c r="AN819">
        <v>-101.228864</v>
      </c>
      <c r="AO819">
        <v>100</v>
      </c>
      <c r="AP819">
        <v>3200</v>
      </c>
      <c r="AQ819" t="s">
        <v>131</v>
      </c>
      <c r="AR819">
        <v>-25</v>
      </c>
      <c r="AS819">
        <v>-15</v>
      </c>
      <c r="AT819">
        <v>-704</v>
      </c>
      <c r="BB819" t="str">
        <f t="shared" si="78"/>
        <v>1200</v>
      </c>
      <c r="BC819">
        <v>1</v>
      </c>
      <c r="BD819" t="str">
        <f t="shared" si="79"/>
        <v xml:space="preserve">N445JS  </v>
      </c>
      <c r="BE819">
        <v>7</v>
      </c>
      <c r="BG819">
        <v>0</v>
      </c>
      <c r="BH819">
        <v>0</v>
      </c>
      <c r="BI819">
        <v>0</v>
      </c>
      <c r="BJ819">
        <v>2975</v>
      </c>
      <c r="BK819">
        <v>-225</v>
      </c>
      <c r="BL819" t="s">
        <v>132</v>
      </c>
      <c r="BM819">
        <v>1</v>
      </c>
      <c r="BN819">
        <v>1</v>
      </c>
      <c r="BO819">
        <v>1</v>
      </c>
      <c r="BP819">
        <v>0</v>
      </c>
      <c r="BT819">
        <v>0</v>
      </c>
      <c r="BU819">
        <v>0</v>
      </c>
      <c r="CE819" t="str">
        <f>"15:45:29.801"</f>
        <v>15:45:29.801</v>
      </c>
      <c r="CF819">
        <v>801283734</v>
      </c>
      <c r="CS819">
        <v>0</v>
      </c>
      <c r="CT819">
        <v>2</v>
      </c>
      <c r="CU819">
        <v>0</v>
      </c>
      <c r="CV819">
        <v>2</v>
      </c>
      <c r="CW819">
        <v>0</v>
      </c>
      <c r="CX819">
        <v>2</v>
      </c>
      <c r="CY819">
        <v>7</v>
      </c>
      <c r="CZ819" t="s">
        <v>133</v>
      </c>
      <c r="DA819">
        <v>125</v>
      </c>
      <c r="DB819">
        <v>1</v>
      </c>
      <c r="DC819" t="s">
        <v>134</v>
      </c>
      <c r="DD819" t="s">
        <v>135</v>
      </c>
      <c r="DG819">
        <v>2933569</v>
      </c>
      <c r="DI819">
        <v>0</v>
      </c>
      <c r="DJ819">
        <v>0</v>
      </c>
      <c r="DK819">
        <v>0</v>
      </c>
      <c r="DL819">
        <v>0</v>
      </c>
      <c r="DM819">
        <v>0</v>
      </c>
      <c r="DN819">
        <v>0</v>
      </c>
      <c r="DO819">
        <v>0</v>
      </c>
      <c r="DP819">
        <v>0</v>
      </c>
      <c r="DQ819">
        <v>0</v>
      </c>
      <c r="DR819">
        <v>0</v>
      </c>
      <c r="DS819">
        <v>0</v>
      </c>
    </row>
    <row r="820" spans="1:123" x14ac:dyDescent="0.25">
      <c r="A820" t="str">
        <f>"04/17/2026 15:45:30.071"</f>
        <v>04/17/2026 15:45:30.071</v>
      </c>
      <c r="C820" t="str">
        <f t="shared" si="77"/>
        <v>FFDFD3C0</v>
      </c>
      <c r="D820" t="s">
        <v>124</v>
      </c>
      <c r="E820" t="str">
        <f>"03"</f>
        <v>03</v>
      </c>
      <c r="H820">
        <v>160</v>
      </c>
      <c r="I820" t="s">
        <v>125</v>
      </c>
      <c r="J820" t="s">
        <v>126</v>
      </c>
      <c r="K820">
        <v>0</v>
      </c>
      <c r="L820">
        <v>3</v>
      </c>
      <c r="M820">
        <v>0</v>
      </c>
      <c r="N820">
        <v>2</v>
      </c>
      <c r="O820">
        <v>1</v>
      </c>
      <c r="P820">
        <v>0</v>
      </c>
      <c r="Q820">
        <v>0</v>
      </c>
      <c r="R820" t="s">
        <v>127</v>
      </c>
      <c r="S820" t="str">
        <f>"15:45:29.797"</f>
        <v>15:45:29.797</v>
      </c>
      <c r="T820" t="str">
        <f>"15:45:29.297"</f>
        <v>15:45:29.297</v>
      </c>
      <c r="U820" t="str">
        <f t="shared" si="76"/>
        <v>A55E09</v>
      </c>
      <c r="V820">
        <v>0</v>
      </c>
      <c r="W820">
        <v>0</v>
      </c>
      <c r="X820">
        <v>2</v>
      </c>
      <c r="Y820">
        <v>0</v>
      </c>
      <c r="AA820">
        <v>0</v>
      </c>
      <c r="AB820">
        <v>9</v>
      </c>
      <c r="AC820">
        <v>3</v>
      </c>
      <c r="AD820">
        <v>0</v>
      </c>
      <c r="AE820">
        <v>9</v>
      </c>
      <c r="AF820" t="s">
        <v>128</v>
      </c>
      <c r="AG820">
        <v>0</v>
      </c>
      <c r="AH820">
        <v>0</v>
      </c>
      <c r="AI820">
        <v>1</v>
      </c>
      <c r="AJ820">
        <v>0</v>
      </c>
      <c r="AK820" t="s">
        <v>513</v>
      </c>
      <c r="AL820">
        <v>33.768217999999997</v>
      </c>
      <c r="AM820" t="s">
        <v>514</v>
      </c>
      <c r="AN820">
        <v>-101.228864</v>
      </c>
      <c r="AO820">
        <v>100</v>
      </c>
      <c r="AP820">
        <v>3200</v>
      </c>
      <c r="AQ820" t="s">
        <v>131</v>
      </c>
      <c r="AR820">
        <v>-25</v>
      </c>
      <c r="AS820">
        <v>-15</v>
      </c>
      <c r="AT820">
        <v>-704</v>
      </c>
      <c r="BB820" t="str">
        <f t="shared" si="78"/>
        <v>1200</v>
      </c>
      <c r="BC820">
        <v>1</v>
      </c>
      <c r="BD820" t="str">
        <f t="shared" si="79"/>
        <v xml:space="preserve">N445JS  </v>
      </c>
      <c r="BE820">
        <v>7</v>
      </c>
      <c r="BG820">
        <v>0</v>
      </c>
      <c r="BH820">
        <v>0</v>
      </c>
      <c r="BI820">
        <v>0</v>
      </c>
      <c r="BJ820">
        <v>2975</v>
      </c>
      <c r="BK820">
        <v>-225</v>
      </c>
      <c r="BL820" t="s">
        <v>132</v>
      </c>
      <c r="BM820">
        <v>1</v>
      </c>
      <c r="BN820">
        <v>1</v>
      </c>
      <c r="BO820">
        <v>1</v>
      </c>
      <c r="BP820">
        <v>0</v>
      </c>
      <c r="BT820">
        <v>0</v>
      </c>
      <c r="BU820">
        <v>0</v>
      </c>
      <c r="CE820" t="str">
        <f>"15:45:29.801"</f>
        <v>15:45:29.801</v>
      </c>
      <c r="CF820">
        <v>801283734</v>
      </c>
      <c r="CS820">
        <v>0</v>
      </c>
      <c r="CT820">
        <v>2</v>
      </c>
      <c r="CU820">
        <v>0</v>
      </c>
      <c r="CV820">
        <v>2</v>
      </c>
      <c r="CW820">
        <v>0</v>
      </c>
      <c r="CX820">
        <v>2</v>
      </c>
      <c r="CY820">
        <v>7</v>
      </c>
      <c r="CZ820" t="s">
        <v>133</v>
      </c>
      <c r="DA820">
        <v>125</v>
      </c>
      <c r="DB820">
        <v>1</v>
      </c>
      <c r="DC820" t="s">
        <v>134</v>
      </c>
      <c r="DD820" t="s">
        <v>135</v>
      </c>
      <c r="DG820">
        <v>2933569</v>
      </c>
      <c r="DI820">
        <v>0</v>
      </c>
      <c r="DJ820">
        <v>0</v>
      </c>
      <c r="DK820">
        <v>1</v>
      </c>
      <c r="DL820">
        <v>0</v>
      </c>
      <c r="DM820">
        <v>0</v>
      </c>
      <c r="DN820">
        <v>0</v>
      </c>
      <c r="DO820">
        <v>0</v>
      </c>
      <c r="DP820">
        <v>0</v>
      </c>
      <c r="DQ820">
        <v>0</v>
      </c>
      <c r="DR820">
        <v>0</v>
      </c>
      <c r="DS820">
        <v>0</v>
      </c>
    </row>
    <row r="821" spans="1:123" x14ac:dyDescent="0.25">
      <c r="A821" t="str">
        <f>"04/17/2026 15:45:30.089"</f>
        <v>04/17/2026 15:45:30.089</v>
      </c>
      <c r="C821" t="str">
        <f t="shared" si="77"/>
        <v>FFDFD3C0</v>
      </c>
      <c r="D821" t="s">
        <v>136</v>
      </c>
      <c r="E821" t="str">
        <f>"0E"</f>
        <v>0E</v>
      </c>
      <c r="F821">
        <v>1014</v>
      </c>
      <c r="G821" t="s">
        <v>125</v>
      </c>
      <c r="J821" t="s">
        <v>137</v>
      </c>
      <c r="K821">
        <v>0</v>
      </c>
      <c r="L821">
        <v>3</v>
      </c>
      <c r="M821">
        <v>0</v>
      </c>
      <c r="N821">
        <v>2</v>
      </c>
      <c r="O821">
        <v>1</v>
      </c>
      <c r="P821">
        <v>0</v>
      </c>
      <c r="Q821">
        <v>0</v>
      </c>
      <c r="R821" t="s">
        <v>127</v>
      </c>
      <c r="S821" t="str">
        <f>"15:45:29.797"</f>
        <v>15:45:29.797</v>
      </c>
      <c r="T821" t="str">
        <f>"15:45:29.297"</f>
        <v>15:45:29.297</v>
      </c>
      <c r="U821" t="str">
        <f t="shared" si="76"/>
        <v>A55E09</v>
      </c>
      <c r="V821">
        <v>0</v>
      </c>
      <c r="W821">
        <v>0</v>
      </c>
      <c r="X821">
        <v>2</v>
      </c>
      <c r="Y821">
        <v>0</v>
      </c>
      <c r="AA821">
        <v>0</v>
      </c>
      <c r="AB821">
        <v>9</v>
      </c>
      <c r="AC821">
        <v>3</v>
      </c>
      <c r="AD821">
        <v>0</v>
      </c>
      <c r="AE821">
        <v>9</v>
      </c>
      <c r="AF821" t="s">
        <v>128</v>
      </c>
      <c r="AG821">
        <v>0</v>
      </c>
      <c r="AH821">
        <v>0</v>
      </c>
      <c r="AI821">
        <v>1</v>
      </c>
      <c r="AJ821">
        <v>0</v>
      </c>
      <c r="AK821" t="s">
        <v>513</v>
      </c>
      <c r="AL821">
        <v>33.768217999999997</v>
      </c>
      <c r="AM821" t="s">
        <v>514</v>
      </c>
      <c r="AN821">
        <v>-101.228864</v>
      </c>
      <c r="AO821">
        <v>100</v>
      </c>
      <c r="AP821">
        <v>3200</v>
      </c>
      <c r="AQ821" t="s">
        <v>131</v>
      </c>
      <c r="AR821">
        <v>-25</v>
      </c>
      <c r="AS821">
        <v>-15</v>
      </c>
      <c r="AT821">
        <v>-704</v>
      </c>
      <c r="BB821" t="str">
        <f t="shared" si="78"/>
        <v>1200</v>
      </c>
      <c r="BC821">
        <v>1</v>
      </c>
      <c r="BD821" t="str">
        <f t="shared" si="79"/>
        <v xml:space="preserve">N445JS  </v>
      </c>
      <c r="BE821">
        <v>7</v>
      </c>
      <c r="BG821">
        <v>0</v>
      </c>
      <c r="BH821">
        <v>0</v>
      </c>
      <c r="BI821">
        <v>0</v>
      </c>
      <c r="BJ821">
        <v>2975</v>
      </c>
      <c r="BK821">
        <v>-225</v>
      </c>
      <c r="BL821" t="s">
        <v>132</v>
      </c>
      <c r="BM821">
        <v>1</v>
      </c>
      <c r="BN821">
        <v>1</v>
      </c>
      <c r="BO821">
        <v>1</v>
      </c>
      <c r="BP821">
        <v>0</v>
      </c>
      <c r="BT821">
        <v>0</v>
      </c>
      <c r="BU821">
        <v>0</v>
      </c>
      <c r="CE821" t="str">
        <f>"15:45:29.801"</f>
        <v>15:45:29.801</v>
      </c>
      <c r="CF821">
        <v>801283734</v>
      </c>
      <c r="CS821">
        <v>0</v>
      </c>
      <c r="CT821">
        <v>2</v>
      </c>
      <c r="CU821">
        <v>0</v>
      </c>
      <c r="CV821">
        <v>2</v>
      </c>
      <c r="CW821">
        <v>0</v>
      </c>
      <c r="CX821">
        <v>2</v>
      </c>
      <c r="CY821">
        <v>7</v>
      </c>
      <c r="CZ821" t="s">
        <v>133</v>
      </c>
      <c r="DA821">
        <v>125</v>
      </c>
      <c r="DB821">
        <v>1</v>
      </c>
      <c r="DC821" t="s">
        <v>134</v>
      </c>
      <c r="DD821" t="s">
        <v>135</v>
      </c>
      <c r="DG821">
        <v>2933569</v>
      </c>
      <c r="DI821">
        <v>0</v>
      </c>
      <c r="DJ821">
        <v>0</v>
      </c>
      <c r="DK821">
        <v>1</v>
      </c>
      <c r="DL821">
        <v>0</v>
      </c>
      <c r="DM821">
        <v>0</v>
      </c>
      <c r="DN821">
        <v>0</v>
      </c>
      <c r="DO821">
        <v>0</v>
      </c>
      <c r="DP821">
        <v>0</v>
      </c>
      <c r="DQ821">
        <v>0</v>
      </c>
      <c r="DR821">
        <v>0</v>
      </c>
      <c r="DS821">
        <v>0</v>
      </c>
    </row>
    <row r="822" spans="1:123" x14ac:dyDescent="0.25">
      <c r="A822" t="str">
        <f>"04/17/2026 15:45:30.104"</f>
        <v>04/17/2026 15:45:30.104</v>
      </c>
      <c r="C822" t="str">
        <f t="shared" si="77"/>
        <v>FFDFD3C0</v>
      </c>
      <c r="D822" t="s">
        <v>136</v>
      </c>
      <c r="E822" t="str">
        <f>"0F"</f>
        <v>0F</v>
      </c>
      <c r="F822">
        <v>1015</v>
      </c>
      <c r="G822" t="s">
        <v>138</v>
      </c>
      <c r="J822" t="s">
        <v>137</v>
      </c>
      <c r="K822">
        <v>0</v>
      </c>
      <c r="L822">
        <v>3</v>
      </c>
      <c r="M822">
        <v>0</v>
      </c>
      <c r="N822">
        <v>2</v>
      </c>
      <c r="O822">
        <v>1</v>
      </c>
      <c r="P822">
        <v>0</v>
      </c>
      <c r="Q822">
        <v>0</v>
      </c>
      <c r="R822" t="s">
        <v>127</v>
      </c>
      <c r="S822" t="str">
        <f>"15:45:29.797"</f>
        <v>15:45:29.797</v>
      </c>
      <c r="T822" t="str">
        <f>"15:45:29.297"</f>
        <v>15:45:29.297</v>
      </c>
      <c r="U822" t="str">
        <f t="shared" si="76"/>
        <v>A55E09</v>
      </c>
      <c r="V822">
        <v>0</v>
      </c>
      <c r="W822">
        <v>0</v>
      </c>
      <c r="X822">
        <v>2</v>
      </c>
      <c r="Y822">
        <v>0</v>
      </c>
      <c r="AA822">
        <v>0</v>
      </c>
      <c r="AB822">
        <v>9</v>
      </c>
      <c r="AC822">
        <v>3</v>
      </c>
      <c r="AD822">
        <v>0</v>
      </c>
      <c r="AE822">
        <v>9</v>
      </c>
      <c r="AF822" t="s">
        <v>128</v>
      </c>
      <c r="AG822">
        <v>0</v>
      </c>
      <c r="AH822">
        <v>0</v>
      </c>
      <c r="AI822">
        <v>1</v>
      </c>
      <c r="AJ822">
        <v>0</v>
      </c>
      <c r="AK822" t="s">
        <v>513</v>
      </c>
      <c r="AL822">
        <v>33.768217999999997</v>
      </c>
      <c r="AM822" t="s">
        <v>514</v>
      </c>
      <c r="AN822">
        <v>-101.228864</v>
      </c>
      <c r="AO822">
        <v>100</v>
      </c>
      <c r="AP822">
        <v>3200</v>
      </c>
      <c r="AQ822" t="s">
        <v>131</v>
      </c>
      <c r="AR822">
        <v>-25</v>
      </c>
      <c r="AS822">
        <v>-15</v>
      </c>
      <c r="AT822">
        <v>-704</v>
      </c>
      <c r="BB822" t="str">
        <f t="shared" si="78"/>
        <v>1200</v>
      </c>
      <c r="BC822">
        <v>1</v>
      </c>
      <c r="BD822" t="str">
        <f t="shared" si="79"/>
        <v xml:space="preserve">N445JS  </v>
      </c>
      <c r="BE822">
        <v>7</v>
      </c>
      <c r="BG822">
        <v>0</v>
      </c>
      <c r="BH822">
        <v>0</v>
      </c>
      <c r="BI822">
        <v>0</v>
      </c>
      <c r="BJ822">
        <v>2975</v>
      </c>
      <c r="BK822">
        <v>-225</v>
      </c>
      <c r="BL822" t="s">
        <v>132</v>
      </c>
      <c r="BM822">
        <v>1</v>
      </c>
      <c r="BN822">
        <v>1</v>
      </c>
      <c r="BO822">
        <v>1</v>
      </c>
      <c r="BP822">
        <v>0</v>
      </c>
      <c r="BT822">
        <v>0</v>
      </c>
      <c r="BU822">
        <v>0</v>
      </c>
      <c r="CE822" t="str">
        <f>"15:45:29.801"</f>
        <v>15:45:29.801</v>
      </c>
      <c r="CF822">
        <v>801283734</v>
      </c>
      <c r="CS822">
        <v>0</v>
      </c>
      <c r="CT822">
        <v>2</v>
      </c>
      <c r="CU822">
        <v>0</v>
      </c>
      <c r="CV822">
        <v>2</v>
      </c>
      <c r="CW822">
        <v>0</v>
      </c>
      <c r="CX822">
        <v>2</v>
      </c>
      <c r="CY822">
        <v>7</v>
      </c>
      <c r="CZ822" t="s">
        <v>133</v>
      </c>
      <c r="DA822">
        <v>125</v>
      </c>
      <c r="DB822">
        <v>1</v>
      </c>
      <c r="DC822" t="s">
        <v>134</v>
      </c>
      <c r="DD822" t="s">
        <v>135</v>
      </c>
      <c r="DG822">
        <v>2933569</v>
      </c>
      <c r="DI822">
        <v>0</v>
      </c>
      <c r="DJ822">
        <v>0</v>
      </c>
      <c r="DK822">
        <v>1</v>
      </c>
      <c r="DL822">
        <v>0</v>
      </c>
      <c r="DM822">
        <v>0</v>
      </c>
      <c r="DN822">
        <v>0</v>
      </c>
      <c r="DO822">
        <v>0</v>
      </c>
      <c r="DP822">
        <v>0</v>
      </c>
      <c r="DQ822">
        <v>0</v>
      </c>
      <c r="DR822">
        <v>0</v>
      </c>
      <c r="DS82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20260417_A55E09_620477490_ADSB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Torgerson, Anne (FAA)</dc:creator>
  <cp:lastModifiedBy>Torgerson, Anne (FAA)</cp:lastModifiedBy>
  <dcterms:created xsi:type="dcterms:W3CDTF">2026-04-20T14:31:48Z</dcterms:created>
  <dcterms:modified xsi:type="dcterms:W3CDTF">2026-04-20T14:31:48Z</dcterms:modified>
</cp:coreProperties>
</file>